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drawings/drawing28.xml" ContentType="application/vnd.openxmlformats-officedocument.drawingml.chartshapes+xml"/>
  <Override PartName="/xl/drawings/drawing27.xml" ContentType="application/vnd.openxmlformats-officedocument.drawingml.chartshap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1.xml" ContentType="application/vnd.openxmlformats-officedocument.drawingml.chart+xml"/>
  <Override PartName="/xl/drawings/drawing9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18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19.xml" ContentType="application/vnd.openxmlformats-officedocument.drawing+xml"/>
  <Override PartName="/xl/charts/chart2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9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0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31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0.xml" ContentType="application/vnd.openxmlformats-officedocument.drawing+xml"/>
  <Override PartName="/xl/charts/chart32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6.xml" ContentType="application/vnd.openxmlformats-officedocument.drawing+xml"/>
  <Override PartName="/xl/drawings/drawing21.xml" ContentType="application/vnd.openxmlformats-officedocument.drawing+xml"/>
  <Override PartName="/xl/charts/chart33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34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35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drawings/drawing24.xml" ContentType="application/vnd.openxmlformats-officedocument.drawing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drawings/drawing25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vbaProject.bin" ContentType="application/vnd.ms-office.vbaProject"/>
  <Override PartName="/xl/externalLinks/externalLink1.xml" ContentType="application/vnd.openxmlformats-officedocument.spreadsheetml.externalLink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M:\IE\Projects\Nuffield via NFER AI and automation\Data\Results\Workbooks\LEPs\M3_LEP\"/>
    </mc:Choice>
  </mc:AlternateContent>
  <xr:revisionPtr revIDLastSave="0" documentId="13_ncr:1_{B01CAB6A-4F1D-4374-BB79-73B9D5DFF900}" xr6:coauthVersionLast="47" xr6:coauthVersionMax="47" xr10:uidLastSave="{00000000-0000-0000-0000-000000000000}"/>
  <bookViews>
    <workbookView xWindow="0" yWindow="0" windowWidth="10350" windowHeight="6390" tabRatio="880" firstSheet="1" activeTab="1" xr2:uid="{00000000-000D-0000-FFFF-FFFF00000000}"/>
  </bookViews>
  <sheets>
    <sheet name="Stored" sheetId="8" state="hidden" r:id="rId1"/>
    <sheet name="Warning" sheetId="100" r:id="rId2"/>
    <sheet name="Info" sheetId="50" r:id="rId3"/>
    <sheet name="Manager" sheetId="13" r:id="rId4"/>
    <sheet name="Contents" sheetId="99" r:id="rId5"/>
    <sheet name="Ind T1" sheetId="11" r:id="rId6"/>
    <sheet name="Ind T2" sheetId="12" r:id="rId7"/>
    <sheet name="Ind T4" sheetId="15" r:id="rId8"/>
    <sheet name="Ind T5" sheetId="104" r:id="rId9"/>
    <sheet name="Ind T6" sheetId="102" r:id="rId10"/>
    <sheet name="Ind F1" sheetId="19" r:id="rId11"/>
    <sheet name="Ind F2" sheetId="21" r:id="rId12"/>
    <sheet name="Ind Occ T1" sheetId="101" r:id="rId13"/>
    <sheet name="Ind Occ T2" sheetId="103" r:id="rId14"/>
    <sheet name="Occ T1" sheetId="16" r:id="rId15"/>
    <sheet name="Occ T2" sheetId="71" r:id="rId16"/>
    <sheet name="Occ T3" sheetId="18" r:id="rId17"/>
    <sheet name="Occ T4" sheetId="105" r:id="rId18"/>
    <sheet name="Occ T5" sheetId="109" r:id="rId19"/>
    <sheet name="Occ F1" sheetId="75" r:id="rId20"/>
    <sheet name="Occ F2" sheetId="76" r:id="rId21"/>
    <sheet name="Occ F3" sheetId="106" r:id="rId22"/>
    <sheet name="Occ F4" sheetId="107" r:id="rId23"/>
    <sheet name="Occ F5" sheetId="108" r:id="rId24"/>
    <sheet name="Qual T1" sheetId="44" r:id="rId25"/>
    <sheet name="Qual F1" sheetId="51" r:id="rId26"/>
    <sheet name="SummaryTable12" sheetId="62" state="veryHidden" r:id="rId27"/>
    <sheet name="ShiftShare T1" sheetId="80" r:id="rId28"/>
    <sheet name="RD T1" sheetId="49" r:id="rId29"/>
    <sheet name="RD F1" sheetId="31" r:id="rId30"/>
    <sheet name="Basic T1" sheetId="52" r:id="rId31"/>
    <sheet name="Basic T2" sheetId="78" r:id="rId32"/>
    <sheet name="Basic T3" sheetId="79" r:id="rId33"/>
    <sheet name="BasicTable5" sheetId="60" state="veryHidden" r:id="rId34"/>
    <sheet name="ShiftShare2" sheetId="83" state="veryHidden" r:id="rId35"/>
    <sheet name="SupplyBasicTable2" sheetId="93" state="veryHidden" r:id="rId36"/>
    <sheet name="name" sheetId="2" r:id="rId37"/>
    <sheet name="aggregation" sheetId="5" r:id="rId38"/>
    <sheet name="AggregationTables" sheetId="46" r:id="rId39"/>
  </sheets>
  <externalReferences>
    <externalReference r:id="rId40"/>
  </externalReferences>
  <definedNames>
    <definedName name="_Fill" localSheetId="33">#REF!</definedName>
    <definedName name="_Fill" localSheetId="13" hidden="1">#REF!</definedName>
    <definedName name="_Fill" localSheetId="34">#REF!</definedName>
    <definedName name="_Fill" localSheetId="26">#REF!</definedName>
    <definedName name="chart22" localSheetId="34">'[1]Chapter 2 - Charts'!$D$71:$N$108</definedName>
    <definedName name="chart31" localSheetId="34">'[1]Chapter 3 - Charts'!$D$27:$O$60</definedName>
    <definedName name="chart32" localSheetId="34">'[1]Chapter 3 - Charts'!$D$74:$O$106</definedName>
    <definedName name="chart33" localSheetId="34">'[1]Chapter 3 - Charts'!$D$117:$Z$153</definedName>
    <definedName name="chart34" localSheetId="34">'[1]Chapter 3 - Charts'!$D$598:$Y$629</definedName>
    <definedName name="Chart42" localSheetId="34">'[1]Chapter 4 - Charts'!$D$25:$N$62</definedName>
    <definedName name="Chart43" localSheetId="34">'[1]Chapter 4 - Charts'!$D$71:$N$108</definedName>
    <definedName name="Chart43_b" localSheetId="34">'[1]Chapter 4 - Charts'!$D$216:$N$260</definedName>
    <definedName name="Chart44" localSheetId="34">'[1]Chapter 4 - Charts'!$D$118:$N$155</definedName>
    <definedName name="Chart44_b" localSheetId="34">'[1]Chapter 4 - Charts'!$D$165:$N$209</definedName>
    <definedName name="Chart44_b_a" localSheetId="34">'[1]Chapter 4 - Charts'!$D$267:$N$311</definedName>
    <definedName name="Chart51" localSheetId="34">'[1]Chapter 5 - Charts'!$D$25:$N$62</definedName>
    <definedName name="Chart52" localSheetId="34">'[1]Chapter 5 - Charts'!$D$71:$N$108</definedName>
    <definedName name="Chart52_b" localSheetId="34">'[1]Chapter 5 - Charts'!$D$118:$N$153</definedName>
    <definedName name="Chart53" localSheetId="34">'[1]Chapter 5 - Charts'!$D$530:$N$567</definedName>
    <definedName name="Chart71" localSheetId="34">'[1]Chapter 7 - Charts'!$D$25:$N$60</definedName>
    <definedName name="Chart710" localSheetId="34">'[1]Chapter 7 - Charts'!$D$843:$N$878</definedName>
    <definedName name="Chart710_b" localSheetId="34">'[1]Chapter 7 - Charts'!$D$886:$N$921</definedName>
    <definedName name="Chart711" localSheetId="34">'[1]Chapter 7 - Charts'!$D$931:$N$966</definedName>
    <definedName name="Chart711_b" localSheetId="34">'[1]Chapter 7 - Charts'!$D$976:$N$1011</definedName>
    <definedName name="Chart712" localSheetId="34">'[1]Chapter 7 - Charts'!$D$1021:$N$1056</definedName>
    <definedName name="Chart712_b" localSheetId="34">'[1]Chapter 7 - Charts'!$D$1065:$N$1100</definedName>
    <definedName name="Chart712_c" localSheetId="34">'[1]Chapter 7 - Charts'!$D$1110:$N$1145</definedName>
    <definedName name="Chart72" localSheetId="34">'[1]Chapter 7 - Charts'!$D$67:$N$102</definedName>
    <definedName name="Chart75" localSheetId="34">'[1]Chapter 7 - Charts'!$D$454:$N$489</definedName>
    <definedName name="Chart76" localSheetId="34">'[1]Chapter 7 - Charts'!$D$366:$N$401</definedName>
    <definedName name="Chart76_b" localSheetId="34">'[1]Chapter 7 - Charts'!$D$499:$N$534</definedName>
    <definedName name="Chart77" localSheetId="34">'[1]Chapter 7 - Charts'!$D$410:$N$445</definedName>
    <definedName name="Chart77_b" localSheetId="34">'[1]Chapter 7 - Charts'!$D$543:$N$578</definedName>
    <definedName name="colourboard" localSheetId="34">[1]Contents!$I$6:$M$30</definedName>
    <definedName name="_xlnm.Print_Area" localSheetId="30">'Basic T1'!$A$1:$AN$101</definedName>
    <definedName name="_xlnm.Print_Area" localSheetId="31">'Basic T2'!$A$1:$CT$146</definedName>
    <definedName name="_xlnm.Print_Area" localSheetId="32">'Basic T3'!$A$1:$AG$35</definedName>
    <definedName name="_xlnm.Print_Area" localSheetId="33">BasicTable5!$1:$96</definedName>
    <definedName name="_xlnm.Print_Area" localSheetId="10">'Ind F1'!$A:$J</definedName>
    <definedName name="_xlnm.Print_Area" localSheetId="11">'Ind F2'!$A:$J</definedName>
    <definedName name="_xlnm.Print_Area" localSheetId="12">'Ind Occ T1'!$A$1:$L$393</definedName>
    <definedName name="_xlnm.Print_Area" localSheetId="13">'Ind Occ T2'!$A$1:$O$393</definedName>
    <definedName name="_xlnm.Print_Area" localSheetId="5">'Ind T1'!$A$1:$S$52</definedName>
    <definedName name="_xlnm.Print_Area" localSheetId="6">'Ind T2'!$A$1:$G$113</definedName>
    <definedName name="_xlnm.Print_Area" localSheetId="7">'Ind T4'!$A$1:$L$123</definedName>
    <definedName name="_xlnm.Print_Area" localSheetId="8">'Ind T5'!$A$1:$N$508</definedName>
    <definedName name="_xlnm.Print_Area" localSheetId="9">'Ind T6'!$A$1:$Y$199</definedName>
    <definedName name="_xlnm.Print_Area" localSheetId="3">Manager!$A$1:$O$18</definedName>
    <definedName name="_xlnm.Print_Area" localSheetId="19">'Occ F1'!$A$1:$K$185</definedName>
    <definedName name="_xlnm.Print_Area" localSheetId="20">'Occ F2'!$A:$J</definedName>
    <definedName name="_xlnm.Print_Area" localSheetId="21">'Occ F3'!$A$1:$S$29</definedName>
    <definedName name="_xlnm.Print_Area" localSheetId="22">'Occ F4'!$A$1:$J$38</definedName>
    <definedName name="_xlnm.Print_Area" localSheetId="23">'Occ F5'!$A$1:$J$116</definedName>
    <definedName name="_xlnm.Print_Area" localSheetId="14">'Occ T1'!$A$1:$AF$90</definedName>
    <definedName name="_xlnm.Print_Area" localSheetId="15">'Occ T2'!$A$1:$AG$180</definedName>
    <definedName name="_xlnm.Print_Area" localSheetId="16">'Occ T3'!$A$1:$L$103</definedName>
    <definedName name="_xlnm.Print_Area" localSheetId="17">'Occ T4'!$A$1:$U$37</definedName>
    <definedName name="_xlnm.Print_Area" localSheetId="18">'Occ T5'!$A$1:$AU$54</definedName>
    <definedName name="_xlnm.Print_Area" localSheetId="25">'Qual F1'!$A:$J</definedName>
    <definedName name="_xlnm.Print_Area" localSheetId="24">'Qual T1'!$A$1:$F$57</definedName>
    <definedName name="_xlnm.Print_Area" localSheetId="29">'RD F1'!$A:$N</definedName>
    <definedName name="_xlnm.Print_Area" localSheetId="28">'RD T1'!$A$1:$H$294,'RD T1'!$I$1:$O$117,'RD T1'!$P$1:$V$62,'RD T1'!$X$1:$AD$29</definedName>
    <definedName name="_xlnm.Print_Area" localSheetId="27">'ShiftShare T1'!$A$1:$R$71</definedName>
    <definedName name="_xlnm.Print_Titles" localSheetId="32">'Basic T3'!$A:$A</definedName>
    <definedName name="_xlnm.Print_Titles" localSheetId="26">SummaryTable12!$1:$6</definedName>
    <definedName name="thecontents" localSheetId="34">[1]Contents!$A$1:$N$1</definedName>
    <definedName name="Total79" localSheetId="34">'[1]Chapter 5 - Charts'!$AJ$75:$AJ$85</definedName>
    <definedName name="Total98" localSheetId="34">'[1]Chapter 5 - Charts'!$AK$75:$AK$85</definedName>
    <definedName name="wshNames">RIGHT(GET.WORKBOOK(1),LEN(GET.WORKBOOK(1))-FIND("]",GET.WORKBOOK(1)))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51" i="76" l="1"/>
  <c r="O51" i="76"/>
  <c r="P51" i="76"/>
  <c r="Q51" i="76"/>
  <c r="R51" i="76"/>
  <c r="S51" i="76"/>
  <c r="T51" i="76"/>
  <c r="U51" i="76"/>
  <c r="V51" i="76"/>
  <c r="W51" i="76"/>
  <c r="X51" i="76"/>
  <c r="Y51" i="76"/>
  <c r="Z51" i="76"/>
  <c r="AA51" i="76"/>
  <c r="AB51" i="76"/>
  <c r="AC51" i="76"/>
  <c r="AD51" i="76"/>
  <c r="AE51" i="76"/>
  <c r="AF51" i="76"/>
  <c r="AG51" i="76"/>
  <c r="AH51" i="76"/>
  <c r="AI51" i="76"/>
  <c r="AJ51" i="76"/>
  <c r="AK51" i="76"/>
  <c r="AL51" i="76"/>
  <c r="M51" i="76"/>
  <c r="O9" i="105"/>
  <c r="O10" i="105"/>
  <c r="O11" i="105"/>
  <c r="O12" i="105"/>
  <c r="O13" i="105"/>
  <c r="O14" i="105"/>
  <c r="O15" i="105"/>
  <c r="O16" i="105"/>
  <c r="O17" i="105"/>
  <c r="O18" i="105"/>
  <c r="O19" i="105"/>
  <c r="O20" i="105"/>
  <c r="O21" i="105"/>
  <c r="O22" i="105"/>
  <c r="O23" i="105"/>
  <c r="O24" i="105"/>
  <c r="O25" i="105"/>
  <c r="O26" i="105"/>
  <c r="O27" i="105"/>
  <c r="O28" i="105"/>
  <c r="O29" i="105"/>
  <c r="O30" i="105"/>
  <c r="O31" i="105"/>
  <c r="O32" i="105"/>
  <c r="O33" i="105"/>
  <c r="O34" i="105"/>
  <c r="F91" i="12"/>
  <c r="F92" i="12"/>
  <c r="F93" i="12"/>
  <c r="F94" i="12"/>
  <c r="F95" i="12"/>
  <c r="F96" i="12"/>
  <c r="F97" i="12"/>
  <c r="F98" i="12"/>
  <c r="F99" i="12"/>
  <c r="F100" i="12"/>
  <c r="F101" i="12"/>
  <c r="F102" i="12"/>
  <c r="F103" i="12"/>
  <c r="F104" i="12"/>
  <c r="F105" i="12"/>
  <c r="F106" i="12"/>
  <c r="F107" i="12"/>
  <c r="F108" i="12"/>
  <c r="F109" i="12"/>
  <c r="F110" i="12"/>
  <c r="F111" i="12"/>
  <c r="F90" i="12"/>
  <c r="F89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63" i="12"/>
  <c r="F61" i="12"/>
  <c r="AL45" i="76"/>
  <c r="AK45" i="76"/>
  <c r="AJ45" i="76"/>
  <c r="AI45" i="76"/>
  <c r="AH45" i="76"/>
  <c r="AG45" i="76"/>
  <c r="AF45" i="76"/>
  <c r="AE45" i="76"/>
  <c r="AD45" i="76"/>
  <c r="AC45" i="76"/>
  <c r="AB45" i="76"/>
  <c r="AA45" i="76"/>
  <c r="Z45" i="76"/>
  <c r="Y45" i="76"/>
  <c r="X45" i="76"/>
  <c r="W45" i="76"/>
  <c r="V45" i="76"/>
  <c r="U45" i="76"/>
  <c r="T45" i="76"/>
  <c r="S45" i="76"/>
  <c r="R45" i="76"/>
  <c r="Q45" i="76"/>
  <c r="P45" i="76"/>
  <c r="O45" i="76"/>
  <c r="N45" i="76"/>
  <c r="M45" i="76"/>
  <c r="AL41" i="76"/>
  <c r="AK41" i="76"/>
  <c r="AJ41" i="76"/>
  <c r="AI41" i="76"/>
  <c r="AH41" i="76"/>
  <c r="AG41" i="76"/>
  <c r="AF41" i="76"/>
  <c r="AE41" i="76"/>
  <c r="AD41" i="76"/>
  <c r="AC41" i="76"/>
  <c r="AB41" i="76"/>
  <c r="AA41" i="76"/>
  <c r="Z41" i="76"/>
  <c r="Y41" i="76"/>
  <c r="X41" i="76"/>
  <c r="W41" i="76"/>
  <c r="V41" i="76"/>
  <c r="U41" i="76"/>
  <c r="T41" i="76"/>
  <c r="S41" i="76"/>
  <c r="R41" i="76"/>
  <c r="Q41" i="76"/>
  <c r="P41" i="76"/>
  <c r="O41" i="76"/>
  <c r="N41" i="76"/>
  <c r="M41" i="76"/>
  <c r="N37" i="76"/>
  <c r="O37" i="76"/>
  <c r="P37" i="76"/>
  <c r="Q37" i="76"/>
  <c r="R37" i="76"/>
  <c r="S37" i="76"/>
  <c r="T37" i="76"/>
  <c r="U37" i="76"/>
  <c r="V37" i="76"/>
  <c r="W37" i="76"/>
  <c r="X37" i="76"/>
  <c r="Y37" i="76"/>
  <c r="Z37" i="76"/>
  <c r="AA37" i="76"/>
  <c r="AB37" i="76"/>
  <c r="AC37" i="76"/>
  <c r="AD37" i="76"/>
  <c r="AE37" i="76"/>
  <c r="AF37" i="76"/>
  <c r="AG37" i="76"/>
  <c r="AH37" i="76"/>
  <c r="AI37" i="76"/>
  <c r="AJ37" i="76"/>
  <c r="AK37" i="76"/>
  <c r="AL37" i="76"/>
  <c r="M37" i="76"/>
  <c r="A1" i="52"/>
  <c r="X1" i="49"/>
  <c r="P1" i="49"/>
  <c r="I1" i="49"/>
  <c r="A1" i="49"/>
  <c r="AK1" i="80"/>
  <c r="W1" i="80"/>
  <c r="A51" i="51"/>
  <c r="Q1" i="109"/>
  <c r="A1" i="109"/>
  <c r="A1" i="105"/>
  <c r="A1" i="71"/>
  <c r="A1" i="103"/>
  <c r="A1" i="101"/>
  <c r="A1" i="102"/>
  <c r="A1" i="12"/>
  <c r="W46" i="109"/>
  <c r="AR5" i="109"/>
  <c r="AM5" i="109"/>
  <c r="AH5" i="109"/>
  <c r="AB5" i="109"/>
  <c r="W5" i="109"/>
  <c r="R5" i="109"/>
  <c r="B82" i="71"/>
  <c r="Q10" i="105"/>
  <c r="R10" i="105"/>
  <c r="Q11" i="105"/>
  <c r="R11" i="105"/>
  <c r="Q12" i="105"/>
  <c r="R12" i="105"/>
  <c r="Q13" i="105"/>
  <c r="R13" i="105"/>
  <c r="Q14" i="105"/>
  <c r="R14" i="105"/>
  <c r="Q15" i="105"/>
  <c r="R15" i="105"/>
  <c r="Q16" i="105"/>
  <c r="R16" i="105"/>
  <c r="Q17" i="105"/>
  <c r="R17" i="105"/>
  <c r="Q18" i="105"/>
  <c r="R18" i="105"/>
  <c r="Q19" i="105"/>
  <c r="R19" i="105"/>
  <c r="Q20" i="105"/>
  <c r="R20" i="105"/>
  <c r="Q21" i="105"/>
  <c r="R21" i="105"/>
  <c r="Q22" i="105"/>
  <c r="R22" i="105"/>
  <c r="Q23" i="105"/>
  <c r="R23" i="105"/>
  <c r="Q24" i="105"/>
  <c r="R24" i="105"/>
  <c r="Q25" i="105"/>
  <c r="R25" i="105"/>
  <c r="Q26" i="105"/>
  <c r="R26" i="105"/>
  <c r="Q27" i="105"/>
  <c r="R27" i="105"/>
  <c r="Q28" i="105"/>
  <c r="R28" i="105"/>
  <c r="Q29" i="105"/>
  <c r="R29" i="105"/>
  <c r="Q30" i="105"/>
  <c r="R30" i="105"/>
  <c r="Q31" i="105"/>
  <c r="R31" i="105"/>
  <c r="Q32" i="105"/>
  <c r="R32" i="105"/>
  <c r="Q33" i="105"/>
  <c r="R33" i="105"/>
  <c r="Q34" i="105"/>
  <c r="R34" i="105"/>
  <c r="R9" i="105"/>
  <c r="Q9" i="105"/>
  <c r="N9" i="105"/>
  <c r="N10" i="105"/>
  <c r="N11" i="105"/>
  <c r="N12" i="105"/>
  <c r="N13" i="105"/>
  <c r="N14" i="105"/>
  <c r="N15" i="105"/>
  <c r="N16" i="105"/>
  <c r="N17" i="105"/>
  <c r="N18" i="105"/>
  <c r="N19" i="105"/>
  <c r="N20" i="105"/>
  <c r="N21" i="105"/>
  <c r="N22" i="105"/>
  <c r="N23" i="105"/>
  <c r="N24" i="105"/>
  <c r="N25" i="105"/>
  <c r="N26" i="105"/>
  <c r="N27" i="105"/>
  <c r="N28" i="105"/>
  <c r="N29" i="105"/>
  <c r="N30" i="105"/>
  <c r="N31" i="105"/>
  <c r="N32" i="105"/>
  <c r="N33" i="105"/>
  <c r="N34" i="105"/>
  <c r="Y6" i="71"/>
  <c r="Z6" i="71"/>
  <c r="AA6" i="71"/>
  <c r="AB6" i="71"/>
  <c r="X6" i="71"/>
  <c r="W1" i="71" s="1"/>
  <c r="N6" i="71"/>
  <c r="O6" i="71"/>
  <c r="P6" i="71"/>
  <c r="Q6" i="71"/>
  <c r="M6" i="71"/>
  <c r="L1" i="71" s="1"/>
  <c r="AE33" i="71"/>
  <c r="S35" i="49"/>
  <c r="T35" i="49"/>
  <c r="U35" i="49"/>
  <c r="D267" i="49"/>
  <c r="E267" i="49"/>
  <c r="F267" i="49"/>
  <c r="D238" i="49"/>
  <c r="E238" i="49"/>
  <c r="F238" i="49"/>
  <c r="D209" i="49"/>
  <c r="E209" i="49"/>
  <c r="F209" i="49"/>
  <c r="D180" i="49"/>
  <c r="E180" i="49"/>
  <c r="F180" i="49"/>
  <c r="D151" i="49"/>
  <c r="E151" i="49"/>
  <c r="F151" i="49"/>
  <c r="D122" i="49"/>
  <c r="E122" i="49"/>
  <c r="F122" i="49"/>
  <c r="B93" i="49"/>
  <c r="B180" i="49" s="1"/>
  <c r="B267" i="49" s="1"/>
  <c r="C93" i="49"/>
  <c r="C180" i="49" s="1"/>
  <c r="C267" i="49" s="1"/>
  <c r="D93" i="49"/>
  <c r="E93" i="49"/>
  <c r="F93" i="49"/>
  <c r="B64" i="49"/>
  <c r="B151" i="49" s="1"/>
  <c r="B238" i="49" s="1"/>
  <c r="C64" i="49"/>
  <c r="C151" i="49" s="1"/>
  <c r="C238" i="49" s="1"/>
  <c r="E64" i="49"/>
  <c r="E35" i="49"/>
  <c r="B35" i="49"/>
  <c r="B122" i="49" s="1"/>
  <c r="B209" i="49" s="1"/>
  <c r="C35" i="49"/>
  <c r="C122" i="49" s="1"/>
  <c r="C209" i="49" s="1"/>
  <c r="E294" i="49"/>
  <c r="C294" i="49"/>
  <c r="B294" i="49"/>
  <c r="E265" i="49"/>
  <c r="C265" i="49"/>
  <c r="B265" i="49"/>
  <c r="E236" i="49"/>
  <c r="C236" i="49"/>
  <c r="B236" i="49"/>
  <c r="E207" i="49"/>
  <c r="C207" i="49"/>
  <c r="B207" i="49"/>
  <c r="E178" i="49"/>
  <c r="C178" i="49"/>
  <c r="B178" i="49"/>
  <c r="E149" i="49"/>
  <c r="C149" i="49"/>
  <c r="B149" i="49"/>
  <c r="E120" i="49"/>
  <c r="C120" i="49"/>
  <c r="B120" i="49"/>
  <c r="E91" i="49"/>
  <c r="C91" i="49"/>
  <c r="B91" i="49"/>
  <c r="AL33" i="21"/>
  <c r="AH33" i="21"/>
  <c r="AI33" i="21"/>
  <c r="AJ33" i="21"/>
  <c r="AK33" i="21"/>
  <c r="AH23" i="21"/>
  <c r="AI23" i="21"/>
  <c r="AJ23" i="21"/>
  <c r="AK23" i="21"/>
  <c r="AL23" i="21"/>
  <c r="AH18" i="21"/>
  <c r="AI18" i="21"/>
  <c r="AJ18" i="21"/>
  <c r="AK18" i="21"/>
  <c r="AL18" i="21"/>
  <c r="AH11" i="21"/>
  <c r="AI11" i="21"/>
  <c r="AJ11" i="21"/>
  <c r="AK11" i="21"/>
  <c r="AL11" i="21"/>
  <c r="AH5" i="21"/>
  <c r="AI5" i="21"/>
  <c r="AJ5" i="21"/>
  <c r="AK5" i="21"/>
  <c r="AL5" i="21"/>
  <c r="L163" i="75"/>
  <c r="L154" i="75"/>
  <c r="L155" i="75"/>
  <c r="L156" i="75"/>
  <c r="L157" i="75"/>
  <c r="L158" i="75"/>
  <c r="L159" i="75"/>
  <c r="L160" i="75"/>
  <c r="L161" i="75"/>
  <c r="L153" i="75"/>
  <c r="AG1" i="109" l="1"/>
  <c r="Q89" i="71"/>
  <c r="G120" i="49"/>
  <c r="G236" i="49"/>
  <c r="Z91" i="71"/>
  <c r="G149" i="49"/>
  <c r="G265" i="49"/>
  <c r="G207" i="49"/>
  <c r="G294" i="49"/>
  <c r="G91" i="49"/>
  <c r="G178" i="49"/>
  <c r="R35" i="49"/>
  <c r="Q35" i="49"/>
  <c r="AJ38" i="21"/>
  <c r="AI38" i="21"/>
  <c r="AL38" i="21"/>
  <c r="AK38" i="21"/>
  <c r="AH38" i="21"/>
  <c r="A33" i="79" l="1"/>
  <c r="B33" i="79"/>
  <c r="C33" i="79"/>
  <c r="D33" i="79"/>
  <c r="E33" i="79"/>
  <c r="F33" i="79"/>
  <c r="G33" i="79"/>
  <c r="H33" i="79"/>
  <c r="I33" i="79"/>
  <c r="J33" i="79"/>
  <c r="A144" i="78"/>
  <c r="W144" i="78" s="1"/>
  <c r="AS144" i="78" s="1"/>
  <c r="BO144" i="78" s="1"/>
  <c r="CK144" i="78" s="1"/>
  <c r="B144" i="78"/>
  <c r="C144" i="78"/>
  <c r="D144" i="78"/>
  <c r="E144" i="78"/>
  <c r="F144" i="78"/>
  <c r="M144" i="78"/>
  <c r="N144" i="78"/>
  <c r="O144" i="78"/>
  <c r="P144" i="78"/>
  <c r="Q144" i="78"/>
  <c r="X144" i="78"/>
  <c r="Y144" i="78"/>
  <c r="Z144" i="78"/>
  <c r="AA144" i="78"/>
  <c r="AB144" i="78"/>
  <c r="AI144" i="78"/>
  <c r="AJ144" i="78"/>
  <c r="AK144" i="78"/>
  <c r="AL144" i="78"/>
  <c r="AM144" i="78"/>
  <c r="AT144" i="78"/>
  <c r="AU144" i="78"/>
  <c r="AV144" i="78"/>
  <c r="AW144" i="78"/>
  <c r="AX144" i="78"/>
  <c r="BE144" i="78"/>
  <c r="BF144" i="78"/>
  <c r="BG144" i="78"/>
  <c r="BH144" i="78"/>
  <c r="BI144" i="78"/>
  <c r="BP144" i="78"/>
  <c r="BQ144" i="78"/>
  <c r="BR144" i="78"/>
  <c r="BS144" i="78"/>
  <c r="BT144" i="78"/>
  <c r="CA144" i="78"/>
  <c r="CB144" i="78"/>
  <c r="CC144" i="78"/>
  <c r="CD144" i="78"/>
  <c r="CE144" i="78"/>
  <c r="CL144" i="78"/>
  <c r="CM144" i="78"/>
  <c r="CN144" i="78"/>
  <c r="CO144" i="78"/>
  <c r="CP144" i="78"/>
  <c r="B107" i="78"/>
  <c r="C107" i="78"/>
  <c r="D107" i="78"/>
  <c r="E107" i="78"/>
  <c r="F107" i="78"/>
  <c r="CP35" i="78"/>
  <c r="CP70" i="78" s="1"/>
  <c r="CO35" i="78"/>
  <c r="CO70" i="78" s="1"/>
  <c r="CN35" i="78"/>
  <c r="CN70" i="78" s="1"/>
  <c r="CM35" i="78"/>
  <c r="CM70" i="78" s="1"/>
  <c r="CL35" i="78"/>
  <c r="CL70" i="78" s="1"/>
  <c r="CE35" i="78"/>
  <c r="CE70" i="78" s="1"/>
  <c r="CD35" i="78"/>
  <c r="CD70" i="78" s="1"/>
  <c r="CC35" i="78"/>
  <c r="CC70" i="78" s="1"/>
  <c r="CB35" i="78"/>
  <c r="CB70" i="78" s="1"/>
  <c r="CA35" i="78"/>
  <c r="CA70" i="78" s="1"/>
  <c r="BT35" i="78"/>
  <c r="BT70" i="78" s="1"/>
  <c r="BS35" i="78"/>
  <c r="BS70" i="78" s="1"/>
  <c r="BR35" i="78"/>
  <c r="BR70" i="78" s="1"/>
  <c r="BQ35" i="78"/>
  <c r="BQ70" i="78" s="1"/>
  <c r="BP35" i="78"/>
  <c r="BP70" i="78" s="1"/>
  <c r="BI35" i="78"/>
  <c r="BI70" i="78" s="1"/>
  <c r="BH35" i="78"/>
  <c r="BH70" i="78" s="1"/>
  <c r="BG35" i="78"/>
  <c r="BG70" i="78" s="1"/>
  <c r="BF35" i="78"/>
  <c r="BF70" i="78" s="1"/>
  <c r="BE35" i="78"/>
  <c r="BE70" i="78" s="1"/>
  <c r="AX35" i="78"/>
  <c r="AX70" i="78" s="1"/>
  <c r="AW35" i="78"/>
  <c r="AW70" i="78" s="1"/>
  <c r="AV35" i="78"/>
  <c r="AV70" i="78" s="1"/>
  <c r="AU35" i="78"/>
  <c r="AU70" i="78" s="1"/>
  <c r="AT35" i="78"/>
  <c r="AT70" i="78" s="1"/>
  <c r="AM35" i="78"/>
  <c r="AM70" i="78" s="1"/>
  <c r="AL35" i="78"/>
  <c r="AL70" i="78" s="1"/>
  <c r="AK35" i="78"/>
  <c r="AK70" i="78" s="1"/>
  <c r="AJ35" i="78"/>
  <c r="AJ70" i="78" s="1"/>
  <c r="AI35" i="78"/>
  <c r="AI70" i="78" s="1"/>
  <c r="AB35" i="78"/>
  <c r="AB70" i="78" s="1"/>
  <c r="AA35" i="78"/>
  <c r="AA70" i="78" s="1"/>
  <c r="Z35" i="78"/>
  <c r="Z70" i="78" s="1"/>
  <c r="Y35" i="78"/>
  <c r="Y70" i="78" s="1"/>
  <c r="X35" i="78"/>
  <c r="X70" i="78" s="1"/>
  <c r="Q35" i="78"/>
  <c r="Q70" i="78" s="1"/>
  <c r="P35" i="78"/>
  <c r="P70" i="78" s="1"/>
  <c r="O35" i="78"/>
  <c r="O70" i="78" s="1"/>
  <c r="N35" i="78"/>
  <c r="N70" i="78" s="1"/>
  <c r="M35" i="78"/>
  <c r="M70" i="78" s="1"/>
  <c r="C35" i="78"/>
  <c r="C70" i="78" s="1"/>
  <c r="D35" i="78"/>
  <c r="E35" i="78"/>
  <c r="E70" i="78" s="1"/>
  <c r="F35" i="78"/>
  <c r="F70" i="78" s="1"/>
  <c r="B35" i="78"/>
  <c r="B72" i="78" s="1"/>
  <c r="A33" i="78"/>
  <c r="W33" i="78" s="1"/>
  <c r="AS33" i="78" s="1"/>
  <c r="BO33" i="78" s="1"/>
  <c r="CK33" i="78" s="1"/>
  <c r="H33" i="78"/>
  <c r="H70" i="78" s="1"/>
  <c r="H107" i="78" s="1"/>
  <c r="I33" i="78"/>
  <c r="I70" i="78" s="1"/>
  <c r="S33" i="78"/>
  <c r="S70" i="78" s="1"/>
  <c r="S107" i="78" s="1"/>
  <c r="T33" i="78"/>
  <c r="T70" i="78" s="1"/>
  <c r="AD33" i="78"/>
  <c r="AD70" i="78" s="1"/>
  <c r="AD107" i="78" s="1"/>
  <c r="AE33" i="78"/>
  <c r="AE70" i="78" s="1"/>
  <c r="AO33" i="78"/>
  <c r="AO70" i="78" s="1"/>
  <c r="AO107" i="78" s="1"/>
  <c r="AP33" i="78"/>
  <c r="AP70" i="78" s="1"/>
  <c r="AZ33" i="78"/>
  <c r="BA33" i="78"/>
  <c r="BA70" i="78" s="1"/>
  <c r="BK33" i="78"/>
  <c r="BK70" i="78" s="1"/>
  <c r="BK107" i="78" s="1"/>
  <c r="BL33" i="78"/>
  <c r="BL70" i="78" s="1"/>
  <c r="BV33" i="78"/>
  <c r="BV70" i="78" s="1"/>
  <c r="BV107" i="78" s="1"/>
  <c r="BW33" i="78"/>
  <c r="BW70" i="78" s="1"/>
  <c r="CG33" i="78"/>
  <c r="CG70" i="78" s="1"/>
  <c r="CG107" i="78" s="1"/>
  <c r="CH33" i="78"/>
  <c r="CH70" i="78" s="1"/>
  <c r="CR33" i="78"/>
  <c r="CR70" i="78" s="1"/>
  <c r="CR107" i="78" s="1"/>
  <c r="CS33" i="78"/>
  <c r="CS70" i="78" s="1"/>
  <c r="T33" i="71"/>
  <c r="O62" i="31"/>
  <c r="T62" i="49"/>
  <c r="R62" i="49"/>
  <c r="Q62" i="49"/>
  <c r="P61" i="49"/>
  <c r="S61" i="49"/>
  <c r="U61" i="49" s="1"/>
  <c r="V61" i="49"/>
  <c r="T33" i="49"/>
  <c r="R33" i="49"/>
  <c r="Q33" i="49"/>
  <c r="P32" i="49"/>
  <c r="S32" i="49"/>
  <c r="U32" i="49" s="1"/>
  <c r="V32" i="49"/>
  <c r="M107" i="49" a="1"/>
  <c r="M108" i="49" s="1"/>
  <c r="K107" i="49" a="1"/>
  <c r="K107" i="49" s="1"/>
  <c r="J107" i="49" a="1"/>
  <c r="J107" i="49" s="1"/>
  <c r="M96" i="49" a="1"/>
  <c r="M96" i="49" s="1"/>
  <c r="K96" i="49" a="1"/>
  <c r="K96" i="49" s="1"/>
  <c r="J96" i="49" a="1"/>
  <c r="J97" i="49" s="1"/>
  <c r="M85" i="49" a="1"/>
  <c r="M85" i="49" s="1"/>
  <c r="K85" i="49" a="1"/>
  <c r="K86" i="49" s="1"/>
  <c r="J85" i="49" a="1"/>
  <c r="J86" i="49" s="1"/>
  <c r="M74" i="49" a="1"/>
  <c r="M74" i="49" s="1"/>
  <c r="K74" i="49" a="1"/>
  <c r="K74" i="49" s="1"/>
  <c r="J74" i="49" a="1"/>
  <c r="J74" i="49" s="1"/>
  <c r="M63" i="49" a="1"/>
  <c r="M63" i="49" s="1"/>
  <c r="K63" i="49" a="1"/>
  <c r="K64" i="49" s="1"/>
  <c r="J63" i="49" a="1"/>
  <c r="J63" i="49" s="1"/>
  <c r="M52" i="49" a="1"/>
  <c r="M53" i="49" s="1"/>
  <c r="K52" i="49" a="1"/>
  <c r="K52" i="49" s="1"/>
  <c r="J52" i="49" a="1"/>
  <c r="J52" i="49" s="1"/>
  <c r="M41" i="49" a="1"/>
  <c r="M41" i="49" s="1"/>
  <c r="K41" i="49" a="1"/>
  <c r="K41" i="49" s="1"/>
  <c r="J41" i="49" a="1"/>
  <c r="J41" i="49" s="1"/>
  <c r="M30" i="49" a="1"/>
  <c r="M30" i="49" s="1"/>
  <c r="K30" i="49" a="1"/>
  <c r="K30" i="49" s="1"/>
  <c r="J30" i="49" a="1"/>
  <c r="J30" i="49" s="1"/>
  <c r="M19" i="49" a="1"/>
  <c r="M20" i="49" s="1"/>
  <c r="K19" i="49" a="1"/>
  <c r="K21" i="49" s="1"/>
  <c r="J19" i="49" a="1"/>
  <c r="J19" i="49" s="1"/>
  <c r="B32" i="49"/>
  <c r="C32" i="49"/>
  <c r="E32" i="49"/>
  <c r="I33" i="71" s="1"/>
  <c r="I107" i="71" s="1"/>
  <c r="C31" i="49"/>
  <c r="E31" i="49"/>
  <c r="C62" i="49"/>
  <c r="C33" i="49" s="1"/>
  <c r="E62" i="49"/>
  <c r="B62" i="49"/>
  <c r="D61" i="49"/>
  <c r="F61" i="49" s="1"/>
  <c r="G61" i="49"/>
  <c r="G119" i="49"/>
  <c r="D90" i="49"/>
  <c r="F90" i="49" s="1"/>
  <c r="G90" i="49"/>
  <c r="D119" i="49"/>
  <c r="F119" i="49" s="1"/>
  <c r="D148" i="49"/>
  <c r="F148" i="49" s="1"/>
  <c r="G148" i="49"/>
  <c r="G177" i="49"/>
  <c r="D177" i="49"/>
  <c r="F177" i="49" s="1"/>
  <c r="D206" i="49"/>
  <c r="F206" i="49" s="1"/>
  <c r="G206" i="49"/>
  <c r="D235" i="49"/>
  <c r="F235" i="49" s="1"/>
  <c r="G235" i="49"/>
  <c r="D264" i="49"/>
  <c r="F264" i="49" s="1"/>
  <c r="G264" i="49"/>
  <c r="D293" i="49"/>
  <c r="F293" i="49" s="1"/>
  <c r="G293" i="49"/>
  <c r="A32" i="49"/>
  <c r="A119" i="49" s="1"/>
  <c r="A206" i="49" s="1"/>
  <c r="A293" i="49" s="1"/>
  <c r="E71" i="80"/>
  <c r="F69" i="80" s="1"/>
  <c r="B71" i="80"/>
  <c r="C69" i="80" s="1"/>
  <c r="A69" i="80"/>
  <c r="H69" i="80"/>
  <c r="I69" i="80"/>
  <c r="R69" i="80"/>
  <c r="I33" i="80"/>
  <c r="E35" i="80"/>
  <c r="F33" i="80" s="1"/>
  <c r="B35" i="80"/>
  <c r="C33" i="80" s="1"/>
  <c r="A33" i="80"/>
  <c r="H33" i="80"/>
  <c r="R33" i="80"/>
  <c r="M2" i="51"/>
  <c r="AE32" i="76"/>
  <c r="AF32" i="76"/>
  <c r="AG32" i="76"/>
  <c r="AH32" i="76"/>
  <c r="AI32" i="76"/>
  <c r="AJ32" i="76"/>
  <c r="AK32" i="76"/>
  <c r="AL32" i="76"/>
  <c r="AE26" i="76"/>
  <c r="AF26" i="76"/>
  <c r="AG26" i="76"/>
  <c r="AH26" i="76"/>
  <c r="AI26" i="76"/>
  <c r="AJ26" i="76"/>
  <c r="AK26" i="76"/>
  <c r="AL26" i="76"/>
  <c r="AE22" i="76"/>
  <c r="AF22" i="76"/>
  <c r="AG22" i="76"/>
  <c r="AH22" i="76"/>
  <c r="AI22" i="76"/>
  <c r="AJ22" i="76"/>
  <c r="AK22" i="76"/>
  <c r="AL22" i="76"/>
  <c r="AE15" i="76"/>
  <c r="AF15" i="76"/>
  <c r="AG15" i="76"/>
  <c r="AH15" i="76"/>
  <c r="AI15" i="76"/>
  <c r="AJ15" i="76"/>
  <c r="AK15" i="76"/>
  <c r="AL15" i="76"/>
  <c r="AE9" i="76"/>
  <c r="AF9" i="76"/>
  <c r="AG9" i="76"/>
  <c r="AH9" i="76"/>
  <c r="AI9" i="76"/>
  <c r="AJ9" i="76"/>
  <c r="AK9" i="76"/>
  <c r="AL9" i="76"/>
  <c r="M2" i="76"/>
  <c r="AE5" i="76"/>
  <c r="AF5" i="76"/>
  <c r="AG5" i="76"/>
  <c r="AH5" i="76"/>
  <c r="AI5" i="76"/>
  <c r="AJ5" i="76"/>
  <c r="AK5" i="76"/>
  <c r="AL5" i="76"/>
  <c r="L82" i="76"/>
  <c r="M32" i="76"/>
  <c r="N32" i="76"/>
  <c r="O32" i="76"/>
  <c r="P32" i="76"/>
  <c r="Q32" i="76"/>
  <c r="R32" i="76"/>
  <c r="S32" i="76"/>
  <c r="T32" i="76"/>
  <c r="U32" i="76"/>
  <c r="V32" i="76"/>
  <c r="W32" i="76"/>
  <c r="X32" i="76"/>
  <c r="Y32" i="76"/>
  <c r="Z32" i="76"/>
  <c r="AA32" i="76"/>
  <c r="AB32" i="76"/>
  <c r="AC32" i="76"/>
  <c r="AD32" i="76"/>
  <c r="L35" i="76"/>
  <c r="L107" i="75"/>
  <c r="M107" i="75"/>
  <c r="L21" i="75"/>
  <c r="K36" i="105"/>
  <c r="J36" i="105"/>
  <c r="G36" i="105"/>
  <c r="F36" i="105"/>
  <c r="O36" i="105" s="1"/>
  <c r="C36" i="105"/>
  <c r="B36" i="105"/>
  <c r="A34" i="105"/>
  <c r="D34" i="105"/>
  <c r="H34" i="105"/>
  <c r="L34" i="105"/>
  <c r="A89" i="18"/>
  <c r="AB8" i="16" a="1"/>
  <c r="AB10" i="16" s="1"/>
  <c r="AA8" i="16" a="1"/>
  <c r="AA10" i="16" s="1"/>
  <c r="Z8" i="16" a="1"/>
  <c r="Z10" i="16" s="1"/>
  <c r="Y8" i="16" a="1"/>
  <c r="Y10" i="16" s="1"/>
  <c r="X8" i="16" a="1"/>
  <c r="X10" i="16" s="1"/>
  <c r="Q8" i="16" a="1"/>
  <c r="Q11" i="16" s="1"/>
  <c r="P8" i="16" a="1"/>
  <c r="P8" i="16" s="1"/>
  <c r="O8" i="16" a="1"/>
  <c r="O10" i="16" s="1"/>
  <c r="N8" i="16" a="1"/>
  <c r="N8" i="16" s="1"/>
  <c r="M8" i="16" a="1"/>
  <c r="M10" i="16" s="1"/>
  <c r="F8" i="16" a="1"/>
  <c r="F9" i="16" s="1"/>
  <c r="E8" i="16" a="1"/>
  <c r="E10" i="16" s="1"/>
  <c r="D8" i="16" a="1"/>
  <c r="D8" i="16" s="1"/>
  <c r="C8" i="16" a="1"/>
  <c r="C10" i="16" s="1"/>
  <c r="B8" i="16" a="1"/>
  <c r="B8" i="16" s="1"/>
  <c r="B49" i="18"/>
  <c r="C49" i="18"/>
  <c r="D49" i="18"/>
  <c r="E49" i="18"/>
  <c r="F49" i="18"/>
  <c r="C48" i="18"/>
  <c r="D48" i="18"/>
  <c r="E48" i="18"/>
  <c r="F48" i="18"/>
  <c r="B48" i="18"/>
  <c r="A49" i="18"/>
  <c r="A48" i="18"/>
  <c r="B45" i="18"/>
  <c r="C45" i="18"/>
  <c r="D45" i="18"/>
  <c r="E45" i="18"/>
  <c r="F45" i="18"/>
  <c r="C44" i="18"/>
  <c r="D44" i="18"/>
  <c r="E44" i="18"/>
  <c r="F44" i="18"/>
  <c r="B44" i="18"/>
  <c r="A45" i="18"/>
  <c r="A44" i="18"/>
  <c r="C41" i="18"/>
  <c r="D41" i="18"/>
  <c r="E41" i="18"/>
  <c r="F41" i="18"/>
  <c r="B41" i="18"/>
  <c r="C40" i="18"/>
  <c r="D40" i="18"/>
  <c r="E40" i="18"/>
  <c r="F40" i="18"/>
  <c r="B40" i="18"/>
  <c r="A41" i="18"/>
  <c r="A40" i="18"/>
  <c r="B36" i="18"/>
  <c r="B37" i="18"/>
  <c r="C37" i="18"/>
  <c r="D37" i="18"/>
  <c r="E37" i="18"/>
  <c r="F37" i="18"/>
  <c r="A37" i="18"/>
  <c r="A178" i="71"/>
  <c r="B178" i="71"/>
  <c r="C178" i="71"/>
  <c r="D178" i="71"/>
  <c r="E178" i="71"/>
  <c r="F178" i="71"/>
  <c r="L178" i="71"/>
  <c r="M178" i="71"/>
  <c r="N178" i="71"/>
  <c r="O178" i="71"/>
  <c r="P178" i="71"/>
  <c r="Q178" i="71"/>
  <c r="W178" i="71"/>
  <c r="X178" i="71"/>
  <c r="Y178" i="71"/>
  <c r="Z178" i="71"/>
  <c r="AA178" i="71"/>
  <c r="AB178" i="71"/>
  <c r="X144" i="71"/>
  <c r="Y144" i="71"/>
  <c r="Z144" i="71"/>
  <c r="AA144" i="71"/>
  <c r="AB144" i="71"/>
  <c r="M144" i="71"/>
  <c r="N144" i="71"/>
  <c r="O144" i="71"/>
  <c r="P144" i="71"/>
  <c r="Q144" i="71"/>
  <c r="B144" i="71"/>
  <c r="C144" i="71"/>
  <c r="D144" i="71"/>
  <c r="E144" i="71"/>
  <c r="F144" i="71"/>
  <c r="N107" i="75" s="1"/>
  <c r="B107" i="71"/>
  <c r="C107" i="71"/>
  <c r="D107" i="71"/>
  <c r="E107" i="71"/>
  <c r="F107" i="71"/>
  <c r="M107" i="71"/>
  <c r="N107" i="71"/>
  <c r="O107" i="71"/>
  <c r="P107" i="71"/>
  <c r="Q107" i="71"/>
  <c r="X107" i="71"/>
  <c r="Y107" i="71"/>
  <c r="Z107" i="71"/>
  <c r="AA107" i="71"/>
  <c r="AB107" i="71"/>
  <c r="AB35" i="71"/>
  <c r="AB70" i="71" s="1"/>
  <c r="AA35" i="71"/>
  <c r="AA70" i="71" s="1"/>
  <c r="Z35" i="71"/>
  <c r="Z70" i="71" s="1"/>
  <c r="Y35" i="71"/>
  <c r="Y70" i="71" s="1"/>
  <c r="X35" i="71"/>
  <c r="X70" i="71" s="1"/>
  <c r="W33" i="71"/>
  <c r="W70" i="71" s="1"/>
  <c r="AD33" i="71"/>
  <c r="Q35" i="71"/>
  <c r="P35" i="71"/>
  <c r="P70" i="71" s="1"/>
  <c r="O35" i="71"/>
  <c r="O70" i="71" s="1"/>
  <c r="N35" i="71"/>
  <c r="N70" i="71" s="1"/>
  <c r="M35" i="71"/>
  <c r="M70" i="71" s="1"/>
  <c r="S33" i="71"/>
  <c r="L33" i="71"/>
  <c r="L70" i="71" s="1"/>
  <c r="F35" i="71"/>
  <c r="E35" i="71"/>
  <c r="E70" i="71" s="1"/>
  <c r="D35" i="71"/>
  <c r="C35" i="71"/>
  <c r="C70" i="71" s="1"/>
  <c r="B35" i="71"/>
  <c r="B70" i="71" s="1"/>
  <c r="H33" i="71"/>
  <c r="H70" i="71" s="1"/>
  <c r="H107" i="71" s="1"/>
  <c r="A33" i="71"/>
  <c r="A70" i="71" s="1"/>
  <c r="A11" i="5"/>
  <c r="AB29" i="49"/>
  <c r="Q36" i="105" l="1"/>
  <c r="K37" i="18"/>
  <c r="U34" i="105"/>
  <c r="N36" i="105"/>
  <c r="AI49" i="76"/>
  <c r="AI88" i="76" s="1"/>
  <c r="S33" i="49"/>
  <c r="U33" i="49" s="1"/>
  <c r="R36" i="105"/>
  <c r="T34" i="105"/>
  <c r="M153" i="75"/>
  <c r="K93" i="49"/>
  <c r="M64" i="49"/>
  <c r="H35" i="71"/>
  <c r="H72" i="71" s="1"/>
  <c r="M70" i="49"/>
  <c r="K69" i="80"/>
  <c r="L69" i="80" s="1"/>
  <c r="M109" i="75"/>
  <c r="J100" i="49"/>
  <c r="J34" i="49"/>
  <c r="G32" i="49"/>
  <c r="C35" i="80"/>
  <c r="B146" i="78"/>
  <c r="K33" i="79"/>
  <c r="AF33" i="79" s="1"/>
  <c r="AE49" i="76"/>
  <c r="AE56" i="76" s="1"/>
  <c r="AK49" i="76"/>
  <c r="AK73" i="76" s="1"/>
  <c r="AJ49" i="76"/>
  <c r="AJ56" i="76" s="1"/>
  <c r="AH49" i="76"/>
  <c r="AH79" i="76" s="1"/>
  <c r="AG49" i="76"/>
  <c r="AG73" i="76" s="1"/>
  <c r="AF49" i="76"/>
  <c r="AL49" i="76"/>
  <c r="AL52" i="76" s="1"/>
  <c r="S35" i="71"/>
  <c r="J33" i="71"/>
  <c r="H37" i="18"/>
  <c r="P62" i="31"/>
  <c r="L144" i="78"/>
  <c r="AH144" i="78" s="1"/>
  <c r="BD144" i="78" s="1"/>
  <c r="BZ144" i="78" s="1"/>
  <c r="BB33" i="78"/>
  <c r="BB70" i="78" s="1"/>
  <c r="BB107" i="78" s="1"/>
  <c r="A107" i="78"/>
  <c r="L107" i="78" s="1"/>
  <c r="AH107" i="78" s="1"/>
  <c r="BD107" i="78" s="1"/>
  <c r="BZ107" i="78" s="1"/>
  <c r="B109" i="78"/>
  <c r="CS107" i="78"/>
  <c r="CH107" i="78"/>
  <c r="BW107" i="78"/>
  <c r="BL107" i="78"/>
  <c r="BA107" i="78"/>
  <c r="AP107" i="78"/>
  <c r="AE107" i="78"/>
  <c r="T107" i="78"/>
  <c r="I107" i="78"/>
  <c r="D70" i="78"/>
  <c r="B70" i="78"/>
  <c r="A70" i="78"/>
  <c r="L70" i="78" s="1"/>
  <c r="AH70" i="78" s="1"/>
  <c r="BD70" i="78" s="1"/>
  <c r="BZ70" i="78" s="1"/>
  <c r="AZ70" i="78"/>
  <c r="AZ107" i="78" s="1"/>
  <c r="U33" i="78"/>
  <c r="U70" i="78" s="1"/>
  <c r="U107" i="78" s="1"/>
  <c r="CI33" i="78"/>
  <c r="CI70" i="78" s="1"/>
  <c r="CI107" i="78" s="1"/>
  <c r="L33" i="78"/>
  <c r="AH33" i="78" s="1"/>
  <c r="BD33" i="78" s="1"/>
  <c r="BZ33" i="78" s="1"/>
  <c r="BX33" i="78"/>
  <c r="BX70" i="78" s="1"/>
  <c r="BX107" i="78" s="1"/>
  <c r="AQ33" i="78"/>
  <c r="AQ70" i="78" s="1"/>
  <c r="AQ107" i="78" s="1"/>
  <c r="J33" i="78"/>
  <c r="J70" i="78" s="1"/>
  <c r="J107" i="78" s="1"/>
  <c r="AF33" i="78"/>
  <c r="AF70" i="78" s="1"/>
  <c r="AF107" i="78" s="1"/>
  <c r="CT33" i="78"/>
  <c r="CT70" i="78" s="1"/>
  <c r="CT107" i="78" s="1"/>
  <c r="BM33" i="78"/>
  <c r="BM70" i="78" s="1"/>
  <c r="BM107" i="78" s="1"/>
  <c r="K65" i="49"/>
  <c r="A90" i="49"/>
  <c r="A177" i="49" s="1"/>
  <c r="A264" i="49" s="1"/>
  <c r="M92" i="49"/>
  <c r="K114" i="49"/>
  <c r="K81" i="49"/>
  <c r="J104" i="49"/>
  <c r="M110" i="49"/>
  <c r="F32" i="49"/>
  <c r="A61" i="49"/>
  <c r="A148" i="49" s="1"/>
  <c r="A235" i="49" s="1"/>
  <c r="J37" i="49"/>
  <c r="K63" i="49"/>
  <c r="M68" i="49"/>
  <c r="M91" i="49"/>
  <c r="J103" i="49"/>
  <c r="M107" i="49"/>
  <c r="M27" i="49"/>
  <c r="M37" i="49"/>
  <c r="M81" i="49"/>
  <c r="K92" i="49"/>
  <c r="J96" i="49"/>
  <c r="M26" i="49"/>
  <c r="K37" i="49"/>
  <c r="K90" i="49"/>
  <c r="M103" i="49"/>
  <c r="D32" i="49"/>
  <c r="M21" i="49"/>
  <c r="K36" i="49"/>
  <c r="K85" i="49"/>
  <c r="K103" i="49"/>
  <c r="M102" i="49"/>
  <c r="K112" i="49"/>
  <c r="M115" i="49"/>
  <c r="J26" i="49"/>
  <c r="M19" i="49"/>
  <c r="K34" i="49"/>
  <c r="K71" i="49"/>
  <c r="J81" i="49"/>
  <c r="K102" i="49"/>
  <c r="K108" i="49"/>
  <c r="M114" i="49"/>
  <c r="J25" i="49"/>
  <c r="K70" i="49"/>
  <c r="K99" i="49"/>
  <c r="M111" i="49"/>
  <c r="M113" i="49"/>
  <c r="M112" i="49"/>
  <c r="M109" i="49"/>
  <c r="K113" i="49"/>
  <c r="K111" i="49"/>
  <c r="K110" i="49"/>
  <c r="K109" i="49"/>
  <c r="K115" i="49"/>
  <c r="J114" i="49"/>
  <c r="J113" i="49"/>
  <c r="J112" i="49"/>
  <c r="J111" i="49"/>
  <c r="J110" i="49"/>
  <c r="J109" i="49"/>
  <c r="J108" i="49"/>
  <c r="J115" i="49"/>
  <c r="M101" i="49"/>
  <c r="M100" i="49"/>
  <c r="M99" i="49"/>
  <c r="M98" i="49"/>
  <c r="M97" i="49"/>
  <c r="M104" i="49"/>
  <c r="K101" i="49"/>
  <c r="K100" i="49"/>
  <c r="K98" i="49"/>
  <c r="K97" i="49"/>
  <c r="K104" i="49"/>
  <c r="J102" i="49"/>
  <c r="J101" i="49"/>
  <c r="J99" i="49"/>
  <c r="J98" i="49"/>
  <c r="M90" i="49"/>
  <c r="M89" i="49"/>
  <c r="M88" i="49"/>
  <c r="M87" i="49"/>
  <c r="M86" i="49"/>
  <c r="M93" i="49"/>
  <c r="K91" i="49"/>
  <c r="K89" i="49"/>
  <c r="K88" i="49"/>
  <c r="K87" i="49"/>
  <c r="J91" i="49"/>
  <c r="J93" i="49"/>
  <c r="J85" i="49"/>
  <c r="J92" i="49"/>
  <c r="J90" i="49"/>
  <c r="J88" i="49"/>
  <c r="J87" i="49"/>
  <c r="J89" i="49"/>
  <c r="M80" i="49"/>
  <c r="M79" i="49"/>
  <c r="M78" i="49"/>
  <c r="M77" i="49"/>
  <c r="M76" i="49"/>
  <c r="M75" i="49"/>
  <c r="M82" i="49"/>
  <c r="K80" i="49"/>
  <c r="K79" i="49"/>
  <c r="K78" i="49"/>
  <c r="K77" i="49"/>
  <c r="K76" i="49"/>
  <c r="K75" i="49"/>
  <c r="K82" i="49"/>
  <c r="J80" i="49"/>
  <c r="J79" i="49"/>
  <c r="J78" i="49"/>
  <c r="J77" i="49"/>
  <c r="J76" i="49"/>
  <c r="J75" i="49"/>
  <c r="J82" i="49"/>
  <c r="M69" i="49"/>
  <c r="M67" i="49"/>
  <c r="M66" i="49"/>
  <c r="M65" i="49"/>
  <c r="M71" i="49"/>
  <c r="K69" i="49"/>
  <c r="K68" i="49"/>
  <c r="K67" i="49"/>
  <c r="K66" i="49"/>
  <c r="J69" i="49"/>
  <c r="J70" i="49"/>
  <c r="J68" i="49"/>
  <c r="J67" i="49"/>
  <c r="J66" i="49"/>
  <c r="J65" i="49"/>
  <c r="J64" i="49"/>
  <c r="J71" i="49"/>
  <c r="M58" i="49"/>
  <c r="M52" i="49"/>
  <c r="M59" i="49"/>
  <c r="M57" i="49"/>
  <c r="M56" i="49"/>
  <c r="M55" i="49"/>
  <c r="M54" i="49"/>
  <c r="M60" i="49"/>
  <c r="K58" i="49"/>
  <c r="K59" i="49"/>
  <c r="K57" i="49"/>
  <c r="K56" i="49"/>
  <c r="K54" i="49"/>
  <c r="K55" i="49"/>
  <c r="K53" i="49"/>
  <c r="K60" i="49"/>
  <c r="J58" i="49"/>
  <c r="J59" i="49"/>
  <c r="J57" i="49"/>
  <c r="J56" i="49"/>
  <c r="J55" i="49"/>
  <c r="J54" i="49"/>
  <c r="J53" i="49"/>
  <c r="J60" i="49"/>
  <c r="M47" i="49"/>
  <c r="M46" i="49"/>
  <c r="M48" i="49"/>
  <c r="M45" i="49"/>
  <c r="M44" i="49"/>
  <c r="M43" i="49"/>
  <c r="M42" i="49"/>
  <c r="M49" i="49"/>
  <c r="K47" i="49"/>
  <c r="K48" i="49"/>
  <c r="K46" i="49"/>
  <c r="K45" i="49"/>
  <c r="K44" i="49"/>
  <c r="K42" i="49"/>
  <c r="K43" i="49"/>
  <c r="K49" i="49"/>
  <c r="J48" i="49"/>
  <c r="J47" i="49"/>
  <c r="J46" i="49"/>
  <c r="J45" i="49"/>
  <c r="J44" i="49"/>
  <c r="J43" i="49"/>
  <c r="J42" i="49"/>
  <c r="J49" i="49"/>
  <c r="M36" i="49"/>
  <c r="M35" i="49"/>
  <c r="M34" i="49"/>
  <c r="M33" i="49"/>
  <c r="M32" i="49"/>
  <c r="M31" i="49"/>
  <c r="M38" i="49"/>
  <c r="K35" i="49"/>
  <c r="K33" i="49"/>
  <c r="K32" i="49"/>
  <c r="K31" i="49"/>
  <c r="K38" i="49"/>
  <c r="J36" i="49"/>
  <c r="J35" i="49"/>
  <c r="J33" i="49"/>
  <c r="J32" i="49"/>
  <c r="J31" i="49"/>
  <c r="J38" i="49"/>
  <c r="M25" i="49"/>
  <c r="M24" i="49"/>
  <c r="M23" i="49"/>
  <c r="M22" i="49"/>
  <c r="K25" i="49"/>
  <c r="K27" i="49"/>
  <c r="K26" i="49"/>
  <c r="K24" i="49"/>
  <c r="K19" i="49"/>
  <c r="K23" i="49"/>
  <c r="K22" i="49"/>
  <c r="K20" i="49"/>
  <c r="J24" i="49"/>
  <c r="J23" i="49"/>
  <c r="J22" i="49"/>
  <c r="J21" i="49"/>
  <c r="J20" i="49"/>
  <c r="J27" i="49"/>
  <c r="H35" i="80"/>
  <c r="I35" i="80"/>
  <c r="K33" i="80"/>
  <c r="N33" i="80" s="1"/>
  <c r="H40" i="18"/>
  <c r="L37" i="18"/>
  <c r="I37" i="18"/>
  <c r="J37" i="18"/>
  <c r="AB16" i="16"/>
  <c r="AB8" i="16"/>
  <c r="AB15" i="16"/>
  <c r="AB14" i="16"/>
  <c r="AB11" i="16"/>
  <c r="AB9" i="16"/>
  <c r="AB13" i="16"/>
  <c r="AB12" i="16"/>
  <c r="AA16" i="16"/>
  <c r="AA8" i="16"/>
  <c r="AA15" i="16"/>
  <c r="AA14" i="16"/>
  <c r="AA11" i="16"/>
  <c r="AA9" i="16"/>
  <c r="AA13" i="16"/>
  <c r="AA12" i="16"/>
  <c r="Z16" i="16"/>
  <c r="Z14" i="16"/>
  <c r="Z13" i="16"/>
  <c r="Z12" i="16"/>
  <c r="Z11" i="16"/>
  <c r="Z9" i="16"/>
  <c r="Z8" i="16"/>
  <c r="Z15" i="16"/>
  <c r="Y9" i="16"/>
  <c r="Y16" i="16"/>
  <c r="Y8" i="16"/>
  <c r="Y15" i="16"/>
  <c r="Y14" i="16"/>
  <c r="Y13" i="16"/>
  <c r="Y12" i="16"/>
  <c r="Y11" i="16"/>
  <c r="X9" i="16"/>
  <c r="X16" i="16"/>
  <c r="X8" i="16"/>
  <c r="X15" i="16"/>
  <c r="X14" i="16"/>
  <c r="X13" i="16"/>
  <c r="X11" i="16"/>
  <c r="X12" i="16"/>
  <c r="Q8" i="16"/>
  <c r="Q14" i="16"/>
  <c r="Q10" i="16"/>
  <c r="Q9" i="16"/>
  <c r="Q16" i="16"/>
  <c r="Q15" i="16"/>
  <c r="Q13" i="16"/>
  <c r="Q12" i="16"/>
  <c r="P14" i="16"/>
  <c r="P10" i="16"/>
  <c r="P9" i="16"/>
  <c r="P16" i="16"/>
  <c r="P15" i="16"/>
  <c r="P13" i="16"/>
  <c r="P12" i="16"/>
  <c r="P11" i="16"/>
  <c r="O14" i="16"/>
  <c r="O13" i="16"/>
  <c r="O16" i="16"/>
  <c r="O15" i="16"/>
  <c r="O12" i="16"/>
  <c r="O8" i="16"/>
  <c r="O11" i="16"/>
  <c r="O9" i="16"/>
  <c r="N14" i="16"/>
  <c r="N13" i="16"/>
  <c r="N12" i="16"/>
  <c r="N11" i="16"/>
  <c r="N15" i="16"/>
  <c r="N10" i="16"/>
  <c r="N9" i="16"/>
  <c r="N16" i="16"/>
  <c r="M9" i="16"/>
  <c r="M8" i="16"/>
  <c r="M15" i="16"/>
  <c r="M14" i="16"/>
  <c r="M16" i="16"/>
  <c r="M13" i="16"/>
  <c r="M12" i="16"/>
  <c r="M11" i="16"/>
  <c r="F14" i="16"/>
  <c r="F16" i="16"/>
  <c r="F15" i="16"/>
  <c r="F13" i="16"/>
  <c r="F8" i="16"/>
  <c r="F12" i="16"/>
  <c r="F11" i="16"/>
  <c r="F10" i="16"/>
  <c r="E9" i="16"/>
  <c r="E8" i="16"/>
  <c r="E14" i="16"/>
  <c r="E16" i="16"/>
  <c r="E15" i="16"/>
  <c r="E13" i="16"/>
  <c r="E12" i="16"/>
  <c r="E11" i="16"/>
  <c r="D14" i="16"/>
  <c r="D12" i="16"/>
  <c r="D11" i="16"/>
  <c r="D15" i="16"/>
  <c r="D13" i="16"/>
  <c r="D10" i="16"/>
  <c r="D9" i="16"/>
  <c r="D16" i="16"/>
  <c r="C16" i="16"/>
  <c r="C8" i="16"/>
  <c r="C15" i="16"/>
  <c r="C14" i="16"/>
  <c r="C11" i="16"/>
  <c r="C9" i="16"/>
  <c r="C13" i="16"/>
  <c r="C12" i="16"/>
  <c r="B14" i="16"/>
  <c r="B13" i="16"/>
  <c r="B34" i="18" s="1"/>
  <c r="H92" i="18" s="1"/>
  <c r="B12" i="16"/>
  <c r="B11" i="16"/>
  <c r="B10" i="16"/>
  <c r="B9" i="16"/>
  <c r="B15" i="16"/>
  <c r="B43" i="18" s="1"/>
  <c r="H96" i="18" s="1"/>
  <c r="B16" i="16"/>
  <c r="W144" i="71"/>
  <c r="L144" i="71"/>
  <c r="A144" i="71"/>
  <c r="W107" i="71"/>
  <c r="L107" i="71"/>
  <c r="A107" i="71"/>
  <c r="B109" i="71"/>
  <c r="S70" i="71"/>
  <c r="S107" i="71" s="1"/>
  <c r="B72" i="71"/>
  <c r="Q70" i="71"/>
  <c r="AD70" i="71"/>
  <c r="AD107" i="71" s="1"/>
  <c r="F70" i="71"/>
  <c r="D70" i="71"/>
  <c r="C72" i="71"/>
  <c r="AI58" i="76" l="1"/>
  <c r="AI73" i="76"/>
  <c r="AI79" i="76"/>
  <c r="AI64" i="76"/>
  <c r="AI69" i="76"/>
  <c r="AI62" i="76"/>
  <c r="AI80" i="76"/>
  <c r="AI85" i="76"/>
  <c r="AI74" i="76"/>
  <c r="AI81" i="76"/>
  <c r="AI67" i="76"/>
  <c r="AI57" i="76"/>
  <c r="AI96" i="76"/>
  <c r="AI94" i="76"/>
  <c r="AI90" i="76"/>
  <c r="AI56" i="76"/>
  <c r="AI77" i="76"/>
  <c r="AI76" i="76"/>
  <c r="AI84" i="76"/>
  <c r="AI54" i="76"/>
  <c r="AI71" i="76"/>
  <c r="AI66" i="76"/>
  <c r="AI92" i="76"/>
  <c r="AI86" i="76"/>
  <c r="AI82" i="76"/>
  <c r="AI75" i="76"/>
  <c r="AI70" i="76"/>
  <c r="AB33" i="79"/>
  <c r="AI65" i="76"/>
  <c r="AI60" i="76"/>
  <c r="AI93" i="76"/>
  <c r="AI89" i="76"/>
  <c r="AI63" i="76"/>
  <c r="AI53" i="76"/>
  <c r="AI52" i="76"/>
  <c r="AI59" i="76"/>
  <c r="Y33" i="79"/>
  <c r="AE33" i="79"/>
  <c r="AK69" i="76"/>
  <c r="N69" i="80"/>
  <c r="O69" i="80" s="1"/>
  <c r="AC33" i="79"/>
  <c r="AG33" i="79"/>
  <c r="AA33" i="79"/>
  <c r="X33" i="79"/>
  <c r="AD33" i="79"/>
  <c r="Z33" i="79"/>
  <c r="AL69" i="76"/>
  <c r="AL56" i="76"/>
  <c r="AH62" i="76"/>
  <c r="M154" i="75"/>
  <c r="AH56" i="76"/>
  <c r="AE69" i="76"/>
  <c r="AE62" i="76"/>
  <c r="AL79" i="76"/>
  <c r="AL73" i="76"/>
  <c r="M158" i="75"/>
  <c r="M159" i="75"/>
  <c r="M161" i="75"/>
  <c r="AF53" i="76"/>
  <c r="AF54" i="76"/>
  <c r="AF57" i="76"/>
  <c r="AF58" i="76"/>
  <c r="AF59" i="76"/>
  <c r="AF60" i="76"/>
  <c r="AF63" i="76"/>
  <c r="AF64" i="76"/>
  <c r="AF65" i="76"/>
  <c r="AF66" i="76"/>
  <c r="AF67" i="76"/>
  <c r="AF70" i="76"/>
  <c r="AF71" i="76"/>
  <c r="AF74" i="76"/>
  <c r="AF75" i="76"/>
  <c r="AF76" i="76"/>
  <c r="AF77" i="76"/>
  <c r="AF80" i="76"/>
  <c r="AF81" i="76"/>
  <c r="AF82" i="76"/>
  <c r="AF84" i="76"/>
  <c r="AF85" i="76"/>
  <c r="AF86" i="76"/>
  <c r="AF88" i="76"/>
  <c r="AF89" i="76"/>
  <c r="AF90" i="76"/>
  <c r="AF92" i="76"/>
  <c r="AF93" i="76"/>
  <c r="AF94" i="76"/>
  <c r="AF96" i="76"/>
  <c r="AJ73" i="76"/>
  <c r="AF56" i="76"/>
  <c r="AG53" i="76"/>
  <c r="AG54" i="76"/>
  <c r="AG57" i="76"/>
  <c r="AG58" i="76"/>
  <c r="AG59" i="76"/>
  <c r="AG60" i="76"/>
  <c r="AG63" i="76"/>
  <c r="AG64" i="76"/>
  <c r="AG65" i="76"/>
  <c r="AG66" i="76"/>
  <c r="AG67" i="76"/>
  <c r="AG70" i="76"/>
  <c r="AG71" i="76"/>
  <c r="AG74" i="76"/>
  <c r="AG75" i="76"/>
  <c r="AG76" i="76"/>
  <c r="AG77" i="76"/>
  <c r="AG80" i="76"/>
  <c r="AG81" i="76"/>
  <c r="AG82" i="76"/>
  <c r="AG84" i="76"/>
  <c r="AG85" i="76"/>
  <c r="AG86" i="76"/>
  <c r="AG88" i="76"/>
  <c r="AG89" i="76"/>
  <c r="AG90" i="76"/>
  <c r="AG92" i="76"/>
  <c r="AG93" i="76"/>
  <c r="AG94" i="76"/>
  <c r="AG96" i="76"/>
  <c r="AG69" i="76"/>
  <c r="AJ62" i="76"/>
  <c r="AJ69" i="76"/>
  <c r="AH53" i="76"/>
  <c r="AH54" i="76"/>
  <c r="AH57" i="76"/>
  <c r="AH58" i="76"/>
  <c r="AH59" i="76"/>
  <c r="AH60" i="76"/>
  <c r="AH63" i="76"/>
  <c r="AH64" i="76"/>
  <c r="AH65" i="76"/>
  <c r="AH66" i="76"/>
  <c r="AH67" i="76"/>
  <c r="AH70" i="76"/>
  <c r="AH71" i="76"/>
  <c r="AH74" i="76"/>
  <c r="AH75" i="76"/>
  <c r="AH76" i="76"/>
  <c r="AH77" i="76"/>
  <c r="AH80" i="76"/>
  <c r="AH81" i="76"/>
  <c r="AH82" i="76"/>
  <c r="AH84" i="76"/>
  <c r="AH85" i="76"/>
  <c r="AH86" i="76"/>
  <c r="AH88" i="76"/>
  <c r="AH89" i="76"/>
  <c r="AH90" i="76"/>
  <c r="AH92" i="76"/>
  <c r="AH93" i="76"/>
  <c r="AH94" i="76"/>
  <c r="AH96" i="76"/>
  <c r="AG62" i="76"/>
  <c r="AG52" i="76"/>
  <c r="AK79" i="76"/>
  <c r="AG56" i="76"/>
  <c r="AL62" i="76"/>
  <c r="AJ53" i="76"/>
  <c r="AJ54" i="76"/>
  <c r="AJ57" i="76"/>
  <c r="AJ58" i="76"/>
  <c r="AJ59" i="76"/>
  <c r="AJ60" i="76"/>
  <c r="AJ63" i="76"/>
  <c r="AJ64" i="76"/>
  <c r="AJ65" i="76"/>
  <c r="AJ66" i="76"/>
  <c r="AJ67" i="76"/>
  <c r="AJ70" i="76"/>
  <c r="AJ71" i="76"/>
  <c r="AJ74" i="76"/>
  <c r="AJ75" i="76"/>
  <c r="AJ76" i="76"/>
  <c r="AJ77" i="76"/>
  <c r="AJ80" i="76"/>
  <c r="AJ81" i="76"/>
  <c r="AJ82" i="76"/>
  <c r="AJ84" i="76"/>
  <c r="AJ85" i="76"/>
  <c r="AJ86" i="76"/>
  <c r="AJ88" i="76"/>
  <c r="AJ89" i="76"/>
  <c r="AJ90" i="76"/>
  <c r="AJ92" i="76"/>
  <c r="AJ93" i="76"/>
  <c r="AJ94" i="76"/>
  <c r="AJ96" i="76"/>
  <c r="AF52" i="76"/>
  <c r="AF79" i="76"/>
  <c r="AK53" i="76"/>
  <c r="AK54" i="76"/>
  <c r="AK57" i="76"/>
  <c r="AK58" i="76"/>
  <c r="AK59" i="76"/>
  <c r="AK60" i="76"/>
  <c r="AK63" i="76"/>
  <c r="AK64" i="76"/>
  <c r="AK65" i="76"/>
  <c r="AK66" i="76"/>
  <c r="AK67" i="76"/>
  <c r="AK70" i="76"/>
  <c r="AK71" i="76"/>
  <c r="AK74" i="76"/>
  <c r="AK75" i="76"/>
  <c r="AK76" i="76"/>
  <c r="AK77" i="76"/>
  <c r="AK80" i="76"/>
  <c r="AK81" i="76"/>
  <c r="AK82" i="76"/>
  <c r="AK84" i="76"/>
  <c r="AK85" i="76"/>
  <c r="AK86" i="76"/>
  <c r="AK88" i="76"/>
  <c r="AK89" i="76"/>
  <c r="AK90" i="76"/>
  <c r="AK92" i="76"/>
  <c r="AK93" i="76"/>
  <c r="AK94" i="76"/>
  <c r="AK96" i="76"/>
  <c r="AK62" i="76"/>
  <c r="AK52" i="76"/>
  <c r="AF73" i="76"/>
  <c r="AE57" i="76"/>
  <c r="AE58" i="76"/>
  <c r="AE59" i="76"/>
  <c r="AE60" i="76"/>
  <c r="AE63" i="76"/>
  <c r="AE64" i="76"/>
  <c r="AE66" i="76"/>
  <c r="AE70" i="76"/>
  <c r="AE71" i="76"/>
  <c r="AE76" i="76"/>
  <c r="AE82" i="76"/>
  <c r="AE86" i="76"/>
  <c r="AE92" i="76"/>
  <c r="AE96" i="76"/>
  <c r="AE52" i="76"/>
  <c r="AE65" i="76"/>
  <c r="AE89" i="76"/>
  <c r="AE53" i="76"/>
  <c r="AE67" i="76"/>
  <c r="AE74" i="76"/>
  <c r="AE77" i="76"/>
  <c r="AE81" i="76"/>
  <c r="AE85" i="76"/>
  <c r="AE90" i="76"/>
  <c r="AE94" i="76"/>
  <c r="AE54" i="76"/>
  <c r="AE75" i="76"/>
  <c r="AE80" i="76"/>
  <c r="AE84" i="76"/>
  <c r="AE88" i="76"/>
  <c r="AE93" i="76"/>
  <c r="AH73" i="76"/>
  <c r="AH52" i="76"/>
  <c r="AK56" i="76"/>
  <c r="AE79" i="76"/>
  <c r="AF69" i="76"/>
  <c r="AL53" i="76"/>
  <c r="AL54" i="76"/>
  <c r="AL57" i="76"/>
  <c r="AL58" i="76"/>
  <c r="AL59" i="76"/>
  <c r="AL60" i="76"/>
  <c r="AL63" i="76"/>
  <c r="AL64" i="76"/>
  <c r="AL65" i="76"/>
  <c r="AL66" i="76"/>
  <c r="AL67" i="76"/>
  <c r="AL70" i="76"/>
  <c r="AL71" i="76"/>
  <c r="AL74" i="76"/>
  <c r="AL75" i="76"/>
  <c r="AL76" i="76"/>
  <c r="AL77" i="76"/>
  <c r="AL80" i="76"/>
  <c r="AL81" i="76"/>
  <c r="AL82" i="76"/>
  <c r="AL84" i="76"/>
  <c r="AL85" i="76"/>
  <c r="AL86" i="76"/>
  <c r="AL88" i="76"/>
  <c r="AL89" i="76"/>
  <c r="AL90" i="76"/>
  <c r="AL92" i="76"/>
  <c r="AL93" i="76"/>
  <c r="AL94" i="76"/>
  <c r="AL96" i="76"/>
  <c r="AG79" i="76"/>
  <c r="AH69" i="76"/>
  <c r="AJ79" i="76"/>
  <c r="AJ52" i="76"/>
  <c r="AE73" i="76"/>
  <c r="AF62" i="76"/>
  <c r="M155" i="75"/>
  <c r="M156" i="75"/>
  <c r="H89" i="18"/>
  <c r="M160" i="75"/>
  <c r="M157" i="75"/>
  <c r="W107" i="78"/>
  <c r="AS107" i="78" s="1"/>
  <c r="BO107" i="78" s="1"/>
  <c r="CK107" i="78" s="1"/>
  <c r="W70" i="78"/>
  <c r="AS70" i="78" s="1"/>
  <c r="BO70" i="78" s="1"/>
  <c r="CK70" i="78" s="1"/>
  <c r="L33" i="80"/>
  <c r="O33" i="80"/>
  <c r="Y29" i="49"/>
  <c r="AD29" i="49" s="1"/>
  <c r="Z29" i="49"/>
  <c r="I7" i="11" a="1"/>
  <c r="I10" i="11" s="1"/>
  <c r="X29" i="49"/>
  <c r="X8" i="49"/>
  <c r="X9" i="49"/>
  <c r="X10" i="49"/>
  <c r="X11" i="49"/>
  <c r="X12" i="49"/>
  <c r="X13" i="49"/>
  <c r="X14" i="49"/>
  <c r="X15" i="49"/>
  <c r="X16" i="49"/>
  <c r="X17" i="49"/>
  <c r="X18" i="49"/>
  <c r="X19" i="49"/>
  <c r="X20" i="49"/>
  <c r="X21" i="49"/>
  <c r="X22" i="49"/>
  <c r="X23" i="49"/>
  <c r="X24" i="49"/>
  <c r="X25" i="49"/>
  <c r="X26" i="49"/>
  <c r="X27" i="49"/>
  <c r="X28" i="49"/>
  <c r="X7" i="49"/>
  <c r="AD28" i="49"/>
  <c r="AA28" i="49"/>
  <c r="AC28" i="49" s="1"/>
  <c r="AD27" i="49"/>
  <c r="AA27" i="49"/>
  <c r="AC27" i="49" s="1"/>
  <c r="AD26" i="49"/>
  <c r="AA26" i="49"/>
  <c r="AC26" i="49" s="1"/>
  <c r="AD25" i="49"/>
  <c r="AA25" i="49"/>
  <c r="AC25" i="49" s="1"/>
  <c r="AD24" i="49"/>
  <c r="AA24" i="49"/>
  <c r="AC24" i="49" s="1"/>
  <c r="AD23" i="49"/>
  <c r="AA23" i="49"/>
  <c r="AC23" i="49" s="1"/>
  <c r="AD22" i="49"/>
  <c r="AA22" i="49"/>
  <c r="AC22" i="49" s="1"/>
  <c r="AD21" i="49"/>
  <c r="AA21" i="49"/>
  <c r="AC21" i="49" s="1"/>
  <c r="AD20" i="49"/>
  <c r="AA20" i="49"/>
  <c r="AC20" i="49" s="1"/>
  <c r="AD19" i="49"/>
  <c r="AA19" i="49"/>
  <c r="AC19" i="49" s="1"/>
  <c r="AD18" i="49"/>
  <c r="AA18" i="49"/>
  <c r="AC18" i="49" s="1"/>
  <c r="AD17" i="49"/>
  <c r="AA17" i="49"/>
  <c r="AC17" i="49" s="1"/>
  <c r="AD16" i="49"/>
  <c r="AA16" i="49"/>
  <c r="AC16" i="49" s="1"/>
  <c r="AD15" i="49"/>
  <c r="AA15" i="49"/>
  <c r="AC15" i="49" s="1"/>
  <c r="AD14" i="49"/>
  <c r="AA14" i="49"/>
  <c r="AC14" i="49" s="1"/>
  <c r="AD13" i="49"/>
  <c r="AA13" i="49"/>
  <c r="AC13" i="49" s="1"/>
  <c r="AD12" i="49"/>
  <c r="AA12" i="49"/>
  <c r="AC12" i="49" s="1"/>
  <c r="AD11" i="49"/>
  <c r="AA11" i="49"/>
  <c r="AC11" i="49" s="1"/>
  <c r="AD10" i="49"/>
  <c r="AA10" i="49"/>
  <c r="AC10" i="49" s="1"/>
  <c r="AD9" i="49"/>
  <c r="AA9" i="49"/>
  <c r="AC9" i="49" s="1"/>
  <c r="AD8" i="49"/>
  <c r="AA8" i="49"/>
  <c r="AC8" i="49" s="1"/>
  <c r="AD7" i="49"/>
  <c r="AA7" i="49"/>
  <c r="AC7" i="49" s="1"/>
  <c r="AD6" i="49"/>
  <c r="AA29" i="49" l="1"/>
  <c r="AC29" i="49" s="1"/>
  <c r="I8" i="11"/>
  <c r="I9" i="11"/>
  <c r="I7" i="11"/>
  <c r="I12" i="11"/>
  <c r="I11" i="11"/>
  <c r="I14" i="11" l="1"/>
  <c r="AE9" i="71" l="1"/>
  <c r="AE10" i="71"/>
  <c r="AE11" i="71"/>
  <c r="AE12" i="71"/>
  <c r="AE13" i="71"/>
  <c r="AE14" i="71"/>
  <c r="AE15" i="71"/>
  <c r="AE16" i="71"/>
  <c r="AE17" i="71"/>
  <c r="AE18" i="71"/>
  <c r="AE19" i="71"/>
  <c r="AE20" i="71"/>
  <c r="AE21" i="71"/>
  <c r="AE22" i="71"/>
  <c r="AE23" i="71"/>
  <c r="AE24" i="71"/>
  <c r="AE25" i="71"/>
  <c r="AE26" i="71"/>
  <c r="AE27" i="71"/>
  <c r="AE28" i="71"/>
  <c r="AE29" i="71"/>
  <c r="AE30" i="71"/>
  <c r="AE31" i="71"/>
  <c r="AE32" i="71"/>
  <c r="AE8" i="71"/>
  <c r="T9" i="71"/>
  <c r="T10" i="71"/>
  <c r="T11" i="71"/>
  <c r="T12" i="71"/>
  <c r="T13" i="71"/>
  <c r="T14" i="71"/>
  <c r="T15" i="71"/>
  <c r="T16" i="71"/>
  <c r="T17" i="71"/>
  <c r="T18" i="71"/>
  <c r="T19" i="71"/>
  <c r="T20" i="71"/>
  <c r="T21" i="71"/>
  <c r="T22" i="71"/>
  <c r="T23" i="71"/>
  <c r="T24" i="71"/>
  <c r="T25" i="71"/>
  <c r="T26" i="71"/>
  <c r="T27" i="71"/>
  <c r="T28" i="71"/>
  <c r="T29" i="71"/>
  <c r="T30" i="71"/>
  <c r="T31" i="71"/>
  <c r="T32" i="71"/>
  <c r="T8" i="71"/>
  <c r="P62" i="49"/>
  <c r="P37" i="49"/>
  <c r="P38" i="49"/>
  <c r="P39" i="49"/>
  <c r="P40" i="49"/>
  <c r="P41" i="49"/>
  <c r="P42" i="49"/>
  <c r="P43" i="49"/>
  <c r="P44" i="49"/>
  <c r="P45" i="49"/>
  <c r="P46" i="49"/>
  <c r="P47" i="49"/>
  <c r="P48" i="49"/>
  <c r="P49" i="49"/>
  <c r="P50" i="49"/>
  <c r="P51" i="49"/>
  <c r="P52" i="49"/>
  <c r="P53" i="49"/>
  <c r="P54" i="49"/>
  <c r="P55" i="49"/>
  <c r="P56" i="49"/>
  <c r="P57" i="49"/>
  <c r="P58" i="49"/>
  <c r="P59" i="49"/>
  <c r="P60" i="49"/>
  <c r="P36" i="49"/>
  <c r="V60" i="49"/>
  <c r="S60" i="49"/>
  <c r="U60" i="49" s="1"/>
  <c r="V59" i="49"/>
  <c r="S59" i="49"/>
  <c r="U59" i="49" s="1"/>
  <c r="V58" i="49"/>
  <c r="S58" i="49"/>
  <c r="U58" i="49" s="1"/>
  <c r="V57" i="49"/>
  <c r="S57" i="49"/>
  <c r="U57" i="49" s="1"/>
  <c r="V56" i="49"/>
  <c r="S56" i="49"/>
  <c r="U56" i="49" s="1"/>
  <c r="V55" i="49"/>
  <c r="S55" i="49"/>
  <c r="U55" i="49" s="1"/>
  <c r="V54" i="49"/>
  <c r="S54" i="49"/>
  <c r="U54" i="49" s="1"/>
  <c r="V53" i="49"/>
  <c r="S53" i="49"/>
  <c r="U53" i="49" s="1"/>
  <c r="V52" i="49"/>
  <c r="S52" i="49"/>
  <c r="U52" i="49" s="1"/>
  <c r="V51" i="49"/>
  <c r="S51" i="49"/>
  <c r="U51" i="49" s="1"/>
  <c r="V50" i="49"/>
  <c r="S50" i="49"/>
  <c r="U50" i="49" s="1"/>
  <c r="V49" i="49"/>
  <c r="S49" i="49"/>
  <c r="U49" i="49" s="1"/>
  <c r="V48" i="49"/>
  <c r="S48" i="49"/>
  <c r="U48" i="49" s="1"/>
  <c r="V47" i="49"/>
  <c r="S47" i="49"/>
  <c r="U47" i="49" s="1"/>
  <c r="V46" i="49"/>
  <c r="S46" i="49"/>
  <c r="U46" i="49" s="1"/>
  <c r="V45" i="49"/>
  <c r="S45" i="49"/>
  <c r="U45" i="49" s="1"/>
  <c r="V44" i="49"/>
  <c r="S44" i="49"/>
  <c r="U44" i="49" s="1"/>
  <c r="V43" i="49"/>
  <c r="S43" i="49"/>
  <c r="U43" i="49" s="1"/>
  <c r="V42" i="49"/>
  <c r="S42" i="49"/>
  <c r="U42" i="49" s="1"/>
  <c r="V41" i="49"/>
  <c r="S41" i="49"/>
  <c r="U41" i="49" s="1"/>
  <c r="V40" i="49"/>
  <c r="S40" i="49"/>
  <c r="U40" i="49" s="1"/>
  <c r="V39" i="49"/>
  <c r="S39" i="49"/>
  <c r="U39" i="49" s="1"/>
  <c r="V38" i="49"/>
  <c r="S38" i="49"/>
  <c r="U38" i="49" s="1"/>
  <c r="V37" i="49"/>
  <c r="S37" i="49"/>
  <c r="U37" i="49" s="1"/>
  <c r="V36" i="49"/>
  <c r="S36" i="49"/>
  <c r="U36" i="49" s="1"/>
  <c r="D36" i="49"/>
  <c r="S8" i="49"/>
  <c r="U8" i="49" s="1"/>
  <c r="S9" i="49"/>
  <c r="U9" i="49" s="1"/>
  <c r="S10" i="49"/>
  <c r="U10" i="49" s="1"/>
  <c r="S11" i="49"/>
  <c r="U11" i="49" s="1"/>
  <c r="S12" i="49"/>
  <c r="U12" i="49" s="1"/>
  <c r="S13" i="49"/>
  <c r="U13" i="49" s="1"/>
  <c r="S14" i="49"/>
  <c r="U14" i="49" s="1"/>
  <c r="S15" i="49"/>
  <c r="U15" i="49" s="1"/>
  <c r="S16" i="49"/>
  <c r="U16" i="49" s="1"/>
  <c r="S17" i="49"/>
  <c r="U17" i="49" s="1"/>
  <c r="S18" i="49"/>
  <c r="U18" i="49" s="1"/>
  <c r="S19" i="49"/>
  <c r="U19" i="49" s="1"/>
  <c r="S20" i="49"/>
  <c r="U20" i="49" s="1"/>
  <c r="S21" i="49"/>
  <c r="U21" i="49" s="1"/>
  <c r="S22" i="49"/>
  <c r="U22" i="49" s="1"/>
  <c r="S23" i="49"/>
  <c r="U23" i="49" s="1"/>
  <c r="S24" i="49"/>
  <c r="U24" i="49" s="1"/>
  <c r="S25" i="49"/>
  <c r="U25" i="49" s="1"/>
  <c r="S26" i="49"/>
  <c r="U26" i="49" s="1"/>
  <c r="S27" i="49"/>
  <c r="U27" i="49" s="1"/>
  <c r="S28" i="49"/>
  <c r="U28" i="49" s="1"/>
  <c r="S29" i="49"/>
  <c r="U29" i="49" s="1"/>
  <c r="S30" i="49"/>
  <c r="U30" i="49" s="1"/>
  <c r="S31" i="49"/>
  <c r="U31" i="49" s="1"/>
  <c r="S7" i="49"/>
  <c r="U7" i="49" s="1"/>
  <c r="V7" i="49"/>
  <c r="P33" i="49"/>
  <c r="P8" i="49"/>
  <c r="P9" i="49"/>
  <c r="P10" i="49"/>
  <c r="P11" i="49"/>
  <c r="P12" i="49"/>
  <c r="P13" i="49"/>
  <c r="P14" i="49"/>
  <c r="P15" i="49"/>
  <c r="P16" i="49"/>
  <c r="P17" i="49"/>
  <c r="P18" i="49"/>
  <c r="P19" i="49"/>
  <c r="P20" i="49"/>
  <c r="P21" i="49"/>
  <c r="P22" i="49"/>
  <c r="P23" i="49"/>
  <c r="P24" i="49"/>
  <c r="P25" i="49"/>
  <c r="P26" i="49"/>
  <c r="P27" i="49"/>
  <c r="P28" i="49"/>
  <c r="P29" i="49"/>
  <c r="P30" i="49"/>
  <c r="P31" i="49"/>
  <c r="P7" i="49"/>
  <c r="S6" i="49"/>
  <c r="T6" i="49"/>
  <c r="U6" i="49"/>
  <c r="V6" i="49"/>
  <c r="R6" i="49"/>
  <c r="Q6" i="49"/>
  <c r="V31" i="49"/>
  <c r="V30" i="49"/>
  <c r="V29" i="49"/>
  <c r="V28" i="49"/>
  <c r="V27" i="49"/>
  <c r="V26" i="49"/>
  <c r="V25" i="49"/>
  <c r="V24" i="49"/>
  <c r="V23" i="49"/>
  <c r="V22" i="49"/>
  <c r="V21" i="49"/>
  <c r="V20" i="49"/>
  <c r="V19" i="49"/>
  <c r="V18" i="49"/>
  <c r="V17" i="49"/>
  <c r="V16" i="49"/>
  <c r="V15" i="49"/>
  <c r="V14" i="49"/>
  <c r="V13" i="49"/>
  <c r="V12" i="49"/>
  <c r="V11" i="49"/>
  <c r="V10" i="49"/>
  <c r="V9" i="49"/>
  <c r="V8" i="49"/>
  <c r="F36" i="49" l="1"/>
  <c r="T8" i="16" a="1"/>
  <c r="AE8" i="16" a="1"/>
  <c r="T70" i="71"/>
  <c r="U33" i="71"/>
  <c r="U70" i="71" s="1"/>
  <c r="U107" i="71" s="1"/>
  <c r="T107" i="71"/>
  <c r="AE107" i="71"/>
  <c r="AF33" i="71"/>
  <c r="AF70" i="71" s="1"/>
  <c r="AF107" i="71" s="1"/>
  <c r="AE70" i="71"/>
  <c r="T35" i="71"/>
  <c r="AE35" i="71"/>
  <c r="S62" i="49"/>
  <c r="U62" i="49" s="1"/>
  <c r="V33" i="49"/>
  <c r="V62" i="49"/>
  <c r="AE9" i="16" l="1"/>
  <c r="AE14" i="16"/>
  <c r="AE16" i="16"/>
  <c r="AE8" i="16"/>
  <c r="AE15" i="16"/>
  <c r="AE13" i="16"/>
  <c r="AE11" i="16"/>
  <c r="AE10" i="16"/>
  <c r="AE12" i="16"/>
  <c r="T8" i="16"/>
  <c r="T15" i="16"/>
  <c r="T14" i="16"/>
  <c r="T13" i="16"/>
  <c r="T12" i="16"/>
  <c r="T11" i="16"/>
  <c r="T10" i="16"/>
  <c r="T9" i="16"/>
  <c r="T16" i="16"/>
  <c r="A1" i="78"/>
  <c r="N33" i="21"/>
  <c r="O33" i="21"/>
  <c r="P33" i="21"/>
  <c r="Q33" i="21"/>
  <c r="R33" i="21"/>
  <c r="S33" i="21"/>
  <c r="T33" i="21"/>
  <c r="U33" i="21"/>
  <c r="V33" i="21"/>
  <c r="W33" i="21"/>
  <c r="X33" i="21"/>
  <c r="Y33" i="21"/>
  <c r="Z33" i="21"/>
  <c r="AA33" i="21"/>
  <c r="AB33" i="21"/>
  <c r="AC33" i="21"/>
  <c r="AD33" i="21"/>
  <c r="AE33" i="21"/>
  <c r="AF33" i="21"/>
  <c r="AG33" i="21"/>
  <c r="M33" i="21"/>
  <c r="N23" i="21"/>
  <c r="O23" i="21"/>
  <c r="P23" i="21"/>
  <c r="Q23" i="21"/>
  <c r="R23" i="21"/>
  <c r="S23" i="21"/>
  <c r="T23" i="21"/>
  <c r="U23" i="21"/>
  <c r="V23" i="21"/>
  <c r="W23" i="21"/>
  <c r="X23" i="21"/>
  <c r="Y23" i="21"/>
  <c r="Z23" i="21"/>
  <c r="AA23" i="21"/>
  <c r="AB23" i="21"/>
  <c r="AC23" i="21"/>
  <c r="AD23" i="21"/>
  <c r="AE23" i="21"/>
  <c r="AF23" i="21"/>
  <c r="AG23" i="21"/>
  <c r="M23" i="21"/>
  <c r="N18" i="21"/>
  <c r="O18" i="21"/>
  <c r="P18" i="21"/>
  <c r="Q18" i="21"/>
  <c r="R18" i="21"/>
  <c r="S18" i="21"/>
  <c r="T18" i="21"/>
  <c r="U18" i="21"/>
  <c r="V18" i="21"/>
  <c r="W18" i="21"/>
  <c r="X18" i="21"/>
  <c r="Y18" i="21"/>
  <c r="Z18" i="21"/>
  <c r="AA18" i="21"/>
  <c r="AB18" i="21"/>
  <c r="AC18" i="21"/>
  <c r="AD18" i="21"/>
  <c r="AE18" i="21"/>
  <c r="AF18" i="21"/>
  <c r="AG18" i="21"/>
  <c r="M18" i="21"/>
  <c r="M11" i="21"/>
  <c r="N11" i="21"/>
  <c r="O11" i="21"/>
  <c r="P11" i="21"/>
  <c r="Q11" i="21"/>
  <c r="C74" i="12" l="1"/>
  <c r="C73" i="12"/>
  <c r="B78" i="12"/>
  <c r="B77" i="12"/>
  <c r="B76" i="12"/>
  <c r="B75" i="12"/>
  <c r="B74" i="12"/>
  <c r="B72" i="12"/>
  <c r="B73" i="12"/>
  <c r="C5" i="11"/>
  <c r="D5" i="11"/>
  <c r="E5" i="11"/>
  <c r="F5" i="11"/>
  <c r="B5" i="11"/>
  <c r="B28" i="12"/>
  <c r="B32" i="12" s="1"/>
  <c r="D12" i="13"/>
  <c r="E12" i="13"/>
  <c r="F12" i="13"/>
  <c r="G12" i="13"/>
  <c r="C12" i="13"/>
  <c r="L1" i="11" l="1"/>
  <c r="A1" i="11"/>
  <c r="H3" i="11"/>
  <c r="N17" i="103"/>
  <c r="M17" i="103"/>
  <c r="L17" i="103"/>
  <c r="N16" i="103"/>
  <c r="M16" i="103"/>
  <c r="L16" i="103"/>
  <c r="N15" i="103"/>
  <c r="M15" i="103"/>
  <c r="L15" i="103"/>
  <c r="N14" i="103"/>
  <c r="M14" i="103"/>
  <c r="L14" i="103"/>
  <c r="N13" i="103"/>
  <c r="M13" i="103"/>
  <c r="L13" i="103"/>
  <c r="N12" i="103"/>
  <c r="M12" i="103"/>
  <c r="L12" i="103"/>
  <c r="N11" i="103"/>
  <c r="M11" i="103"/>
  <c r="L11" i="103"/>
  <c r="N10" i="103"/>
  <c r="M10" i="103"/>
  <c r="L10" i="103"/>
  <c r="N9" i="103"/>
  <c r="M9" i="103"/>
  <c r="L9" i="103"/>
  <c r="I17" i="103"/>
  <c r="H17" i="103"/>
  <c r="G17" i="103"/>
  <c r="I16" i="103"/>
  <c r="H16" i="103"/>
  <c r="G16" i="103"/>
  <c r="I15" i="103"/>
  <c r="H15" i="103"/>
  <c r="G15" i="103"/>
  <c r="I14" i="103"/>
  <c r="H14" i="103"/>
  <c r="G14" i="103"/>
  <c r="I13" i="103"/>
  <c r="H13" i="103"/>
  <c r="G13" i="103"/>
  <c r="I12" i="103"/>
  <c r="H12" i="103"/>
  <c r="G12" i="103"/>
  <c r="I11" i="103"/>
  <c r="H11" i="103"/>
  <c r="G11" i="103"/>
  <c r="I10" i="103"/>
  <c r="H10" i="103"/>
  <c r="G10" i="103"/>
  <c r="I9" i="103"/>
  <c r="H9" i="103"/>
  <c r="G9" i="103"/>
  <c r="C9" i="103"/>
  <c r="D9" i="103"/>
  <c r="C10" i="103"/>
  <c r="D10" i="103"/>
  <c r="C11" i="103"/>
  <c r="D11" i="103"/>
  <c r="C12" i="103"/>
  <c r="D12" i="103"/>
  <c r="C13" i="103"/>
  <c r="D13" i="103"/>
  <c r="C14" i="103"/>
  <c r="D14" i="103"/>
  <c r="C15" i="103"/>
  <c r="D15" i="103"/>
  <c r="C16" i="103"/>
  <c r="D16" i="103"/>
  <c r="C17" i="103"/>
  <c r="D17" i="103"/>
  <c r="B10" i="103"/>
  <c r="B11" i="103"/>
  <c r="B12" i="103"/>
  <c r="B13" i="103"/>
  <c r="B14" i="103"/>
  <c r="B15" i="103"/>
  <c r="B16" i="103"/>
  <c r="B17" i="103"/>
  <c r="B9" i="103"/>
  <c r="A380" i="103"/>
  <c r="A363" i="103"/>
  <c r="A346" i="103"/>
  <c r="A329" i="103"/>
  <c r="A312" i="103"/>
  <c r="A295" i="103"/>
  <c r="A278" i="103"/>
  <c r="A261" i="103"/>
  <c r="A244" i="103"/>
  <c r="A227" i="103"/>
  <c r="A210" i="103"/>
  <c r="A193" i="103"/>
  <c r="A176" i="103"/>
  <c r="A159" i="103"/>
  <c r="A142" i="103"/>
  <c r="A125" i="103"/>
  <c r="A108" i="103"/>
  <c r="A91" i="103"/>
  <c r="A74" i="103"/>
  <c r="A57" i="103"/>
  <c r="A40" i="103"/>
  <c r="A23" i="103"/>
  <c r="K9" i="101"/>
  <c r="K10" i="101"/>
  <c r="K11" i="101"/>
  <c r="K12" i="101"/>
  <c r="K13" i="101"/>
  <c r="K14" i="101"/>
  <c r="K15" i="101"/>
  <c r="K16" i="101"/>
  <c r="K17" i="101"/>
  <c r="J10" i="101"/>
  <c r="J11" i="101"/>
  <c r="J12" i="101"/>
  <c r="J13" i="101"/>
  <c r="J14" i="101"/>
  <c r="J15" i="101"/>
  <c r="J16" i="101"/>
  <c r="J17" i="101"/>
  <c r="J9" i="101"/>
  <c r="G9" i="101"/>
  <c r="G10" i="101"/>
  <c r="G11" i="101"/>
  <c r="G12" i="101"/>
  <c r="G13" i="101"/>
  <c r="G14" i="101"/>
  <c r="G15" i="101"/>
  <c r="G16" i="101"/>
  <c r="G17" i="101"/>
  <c r="F10" i="101"/>
  <c r="F11" i="101"/>
  <c r="F12" i="101"/>
  <c r="F13" i="101"/>
  <c r="F14" i="101"/>
  <c r="F15" i="101"/>
  <c r="F16" i="101"/>
  <c r="F17" i="101"/>
  <c r="F9" i="101"/>
  <c r="C9" i="101"/>
  <c r="C10" i="101"/>
  <c r="C11" i="101"/>
  <c r="C12" i="101"/>
  <c r="C13" i="101"/>
  <c r="C14" i="101"/>
  <c r="C15" i="101"/>
  <c r="C16" i="101"/>
  <c r="C17" i="101"/>
  <c r="B10" i="101"/>
  <c r="B11" i="101"/>
  <c r="B12" i="101"/>
  <c r="B13" i="101"/>
  <c r="B14" i="101"/>
  <c r="B15" i="101"/>
  <c r="B16" i="101"/>
  <c r="B17" i="101"/>
  <c r="B9" i="101"/>
  <c r="A380" i="101"/>
  <c r="A363" i="101"/>
  <c r="A346" i="101"/>
  <c r="A329" i="101"/>
  <c r="A312" i="101"/>
  <c r="A295" i="101"/>
  <c r="A278" i="101"/>
  <c r="A261" i="101"/>
  <c r="A244" i="101"/>
  <c r="A227" i="101"/>
  <c r="A210" i="101"/>
  <c r="A193" i="101"/>
  <c r="A176" i="101"/>
  <c r="A159" i="101"/>
  <c r="A142" i="101"/>
  <c r="A125" i="101"/>
  <c r="A108" i="101"/>
  <c r="A91" i="101"/>
  <c r="A74" i="101"/>
  <c r="A57" i="101"/>
  <c r="A40" i="101"/>
  <c r="A23" i="101"/>
  <c r="F7" i="11" a="1"/>
  <c r="F9" i="11" s="1"/>
  <c r="E7" i="11" a="1"/>
  <c r="E7" i="11" s="1"/>
  <c r="D7" i="11" a="1"/>
  <c r="D9" i="11" s="1"/>
  <c r="C7" i="11" a="1"/>
  <c r="C8" i="11" s="1"/>
  <c r="B7" i="11" a="1"/>
  <c r="B10" i="11" s="1"/>
  <c r="H9" i="11" l="1"/>
  <c r="H22" i="11" s="1"/>
  <c r="I22" i="11"/>
  <c r="F8" i="11"/>
  <c r="F7" i="11"/>
  <c r="F12" i="11"/>
  <c r="F11" i="11"/>
  <c r="F10" i="11"/>
  <c r="E11" i="11"/>
  <c r="E12" i="11"/>
  <c r="E10" i="11"/>
  <c r="E9" i="11"/>
  <c r="E8" i="11"/>
  <c r="D8" i="11"/>
  <c r="D7" i="11"/>
  <c r="D12" i="11"/>
  <c r="D11" i="11"/>
  <c r="D10" i="11"/>
  <c r="C11" i="11"/>
  <c r="C10" i="11"/>
  <c r="C9" i="11"/>
  <c r="C7" i="11"/>
  <c r="C12" i="11"/>
  <c r="B9" i="11"/>
  <c r="N264" i="21" s="1"/>
  <c r="B8" i="11"/>
  <c r="B7" i="11"/>
  <c r="B12" i="11"/>
  <c r="B11" i="11"/>
  <c r="D37" i="11" l="1"/>
  <c r="R7" i="11"/>
  <c r="H10" i="11"/>
  <c r="J10" i="11" s="1"/>
  <c r="J23" i="11" s="1"/>
  <c r="H7" i="11"/>
  <c r="J7" i="11" s="1"/>
  <c r="J20" i="11" s="1"/>
  <c r="H11" i="11"/>
  <c r="J11" i="11" s="1"/>
  <c r="J24" i="11" s="1"/>
  <c r="H8" i="11"/>
  <c r="H21" i="11" s="1"/>
  <c r="I20" i="11"/>
  <c r="I23" i="11"/>
  <c r="H12" i="11"/>
  <c r="I24" i="11"/>
  <c r="I25" i="11"/>
  <c r="N265" i="21"/>
  <c r="I21" i="11"/>
  <c r="N262" i="21"/>
  <c r="J9" i="11"/>
  <c r="J22" i="11" s="1"/>
  <c r="N263" i="21"/>
  <c r="N261" i="21"/>
  <c r="N266" i="21"/>
  <c r="A1" i="5"/>
  <c r="B2" i="5" a="1"/>
  <c r="C2" i="5" s="1"/>
  <c r="H20" i="11" l="1"/>
  <c r="J8" i="11"/>
  <c r="J21" i="11" s="1"/>
  <c r="H14" i="11"/>
  <c r="H23" i="11"/>
  <c r="H24" i="11"/>
  <c r="H25" i="11"/>
  <c r="N2" i="5"/>
  <c r="B2" i="5"/>
  <c r="M2" i="5"/>
  <c r="L2" i="5"/>
  <c r="W2" i="5"/>
  <c r="K2" i="5"/>
  <c r="V2" i="5"/>
  <c r="J2" i="5"/>
  <c r="U2" i="5"/>
  <c r="I2" i="5"/>
  <c r="T2" i="5"/>
  <c r="H2" i="5"/>
  <c r="S2" i="5"/>
  <c r="G2" i="5"/>
  <c r="R2" i="5"/>
  <c r="F2" i="5"/>
  <c r="Q2" i="5"/>
  <c r="E2" i="5"/>
  <c r="P2" i="5"/>
  <c r="D2" i="5"/>
  <c r="O2" i="5"/>
  <c r="M83" i="75"/>
  <c r="M84" i="75"/>
  <c r="M85" i="75"/>
  <c r="M86" i="75"/>
  <c r="M87" i="75"/>
  <c r="M88" i="75"/>
  <c r="M89" i="75"/>
  <c r="M90" i="75"/>
  <c r="M91" i="75"/>
  <c r="M92" i="75"/>
  <c r="M93" i="75"/>
  <c r="M94" i="75"/>
  <c r="M95" i="75"/>
  <c r="M96" i="75"/>
  <c r="M97" i="75"/>
  <c r="M98" i="75"/>
  <c r="M99" i="75"/>
  <c r="M100" i="75"/>
  <c r="M101" i="75"/>
  <c r="M102" i="75"/>
  <c r="M103" i="75"/>
  <c r="M104" i="75"/>
  <c r="M105" i="75"/>
  <c r="M106" i="75"/>
  <c r="M82" i="75"/>
  <c r="L109" i="75"/>
  <c r="L83" i="75"/>
  <c r="L84" i="75"/>
  <c r="L85" i="75"/>
  <c r="L86" i="75"/>
  <c r="L87" i="75"/>
  <c r="L88" i="75"/>
  <c r="L89" i="75"/>
  <c r="L90" i="75"/>
  <c r="L91" i="75"/>
  <c r="L92" i="75"/>
  <c r="L93" i="75"/>
  <c r="L94" i="75"/>
  <c r="L95" i="75"/>
  <c r="L96" i="75"/>
  <c r="L97" i="75"/>
  <c r="L98" i="75"/>
  <c r="L99" i="75"/>
  <c r="L100" i="75"/>
  <c r="L101" i="75"/>
  <c r="L102" i="75"/>
  <c r="L103" i="75"/>
  <c r="L104" i="75"/>
  <c r="L105" i="75"/>
  <c r="L106" i="75"/>
  <c r="L82" i="75"/>
  <c r="AB180" i="71" l="1"/>
  <c r="AA180" i="71"/>
  <c r="Z180" i="71"/>
  <c r="Y180" i="71"/>
  <c r="X180" i="71"/>
  <c r="AB177" i="71"/>
  <c r="AA177" i="71"/>
  <c r="Z177" i="71"/>
  <c r="Y177" i="71"/>
  <c r="X177" i="71"/>
  <c r="AB176" i="71"/>
  <c r="AA176" i="71"/>
  <c r="Z176" i="71"/>
  <c r="Y176" i="71"/>
  <c r="X176" i="71"/>
  <c r="AB175" i="71"/>
  <c r="AA175" i="71"/>
  <c r="Z175" i="71"/>
  <c r="Y175" i="71"/>
  <c r="X175" i="71"/>
  <c r="AB174" i="71"/>
  <c r="AA174" i="71"/>
  <c r="Z174" i="71"/>
  <c r="Y174" i="71"/>
  <c r="X174" i="71"/>
  <c r="AB173" i="71"/>
  <c r="AA173" i="71"/>
  <c r="Z173" i="71"/>
  <c r="Y173" i="71"/>
  <c r="X173" i="71"/>
  <c r="AB172" i="71"/>
  <c r="AA172" i="71"/>
  <c r="Z172" i="71"/>
  <c r="Y172" i="71"/>
  <c r="X172" i="71"/>
  <c r="AB171" i="71"/>
  <c r="AA171" i="71"/>
  <c r="Z171" i="71"/>
  <c r="Y171" i="71"/>
  <c r="X171" i="71"/>
  <c r="AB170" i="71"/>
  <c r="AA170" i="71"/>
  <c r="Z170" i="71"/>
  <c r="Y170" i="71"/>
  <c r="X170" i="71"/>
  <c r="AB169" i="71"/>
  <c r="AA169" i="71"/>
  <c r="Z169" i="71"/>
  <c r="Y169" i="71"/>
  <c r="X169" i="71"/>
  <c r="AB168" i="71"/>
  <c r="AA168" i="71"/>
  <c r="Z168" i="71"/>
  <c r="Y168" i="71"/>
  <c r="X168" i="71"/>
  <c r="AB167" i="71"/>
  <c r="AA167" i="71"/>
  <c r="Z167" i="71"/>
  <c r="Y167" i="71"/>
  <c r="X167" i="71"/>
  <c r="AB166" i="71"/>
  <c r="AA166" i="71"/>
  <c r="Z166" i="71"/>
  <c r="Y166" i="71"/>
  <c r="X166" i="71"/>
  <c r="AB165" i="71"/>
  <c r="AA165" i="71"/>
  <c r="Z165" i="71"/>
  <c r="Y165" i="71"/>
  <c r="X165" i="71"/>
  <c r="AB164" i="71"/>
  <c r="AA164" i="71"/>
  <c r="Z164" i="71"/>
  <c r="Y164" i="71"/>
  <c r="X164" i="71"/>
  <c r="AB163" i="71"/>
  <c r="AA163" i="71"/>
  <c r="Z163" i="71"/>
  <c r="Y163" i="71"/>
  <c r="X163" i="71"/>
  <c r="AB162" i="71"/>
  <c r="AA162" i="71"/>
  <c r="Z162" i="71"/>
  <c r="Y162" i="71"/>
  <c r="X162" i="71"/>
  <c r="AB161" i="71"/>
  <c r="AA161" i="71"/>
  <c r="Z161" i="71"/>
  <c r="Y161" i="71"/>
  <c r="X161" i="71"/>
  <c r="AB160" i="71"/>
  <c r="AA160" i="71"/>
  <c r="Z160" i="71"/>
  <c r="Y160" i="71"/>
  <c r="X160" i="71"/>
  <c r="AB159" i="71"/>
  <c r="AA159" i="71"/>
  <c r="Z159" i="71"/>
  <c r="Y159" i="71"/>
  <c r="X159" i="71"/>
  <c r="AB158" i="71"/>
  <c r="AA158" i="71"/>
  <c r="Z158" i="71"/>
  <c r="Y158" i="71"/>
  <c r="X158" i="71"/>
  <c r="AB157" i="71"/>
  <c r="AA157" i="71"/>
  <c r="Z157" i="71"/>
  <c r="Y157" i="71"/>
  <c r="X157" i="71"/>
  <c r="AB156" i="71"/>
  <c r="AA156" i="71"/>
  <c r="Z156" i="71"/>
  <c r="Y156" i="71"/>
  <c r="X156" i="71"/>
  <c r="AB155" i="71"/>
  <c r="AA155" i="71"/>
  <c r="Z155" i="71"/>
  <c r="Y155" i="71"/>
  <c r="X155" i="71"/>
  <c r="AB154" i="71"/>
  <c r="AA154" i="71"/>
  <c r="Z154" i="71"/>
  <c r="Y154" i="71"/>
  <c r="X154" i="71"/>
  <c r="AB153" i="71"/>
  <c r="AA153" i="71"/>
  <c r="Z153" i="71"/>
  <c r="Y153" i="71"/>
  <c r="X153" i="71"/>
  <c r="AE151" i="71"/>
  <c r="AD151" i="71"/>
  <c r="AB151" i="71"/>
  <c r="AA151" i="71"/>
  <c r="Z151" i="71"/>
  <c r="Y151" i="71"/>
  <c r="X151" i="71"/>
  <c r="Q180" i="71"/>
  <c r="P180" i="71"/>
  <c r="O180" i="71"/>
  <c r="N180" i="71"/>
  <c r="M180" i="71"/>
  <c r="Q177" i="71"/>
  <c r="P177" i="71"/>
  <c r="O177" i="71"/>
  <c r="N177" i="71"/>
  <c r="M177" i="71"/>
  <c r="Q176" i="71"/>
  <c r="P176" i="71"/>
  <c r="O176" i="71"/>
  <c r="N176" i="71"/>
  <c r="M176" i="71"/>
  <c r="Q175" i="71"/>
  <c r="P175" i="71"/>
  <c r="O175" i="71"/>
  <c r="N175" i="71"/>
  <c r="M175" i="71"/>
  <c r="Q174" i="71"/>
  <c r="P174" i="71"/>
  <c r="O174" i="71"/>
  <c r="N174" i="71"/>
  <c r="M174" i="71"/>
  <c r="Q173" i="71"/>
  <c r="P173" i="71"/>
  <c r="O173" i="71"/>
  <c r="N173" i="71"/>
  <c r="M173" i="71"/>
  <c r="Q172" i="71"/>
  <c r="P172" i="71"/>
  <c r="O172" i="71"/>
  <c r="N172" i="71"/>
  <c r="M172" i="71"/>
  <c r="Q171" i="71"/>
  <c r="P171" i="71"/>
  <c r="O171" i="71"/>
  <c r="N171" i="71"/>
  <c r="M171" i="71"/>
  <c r="Q170" i="71"/>
  <c r="P170" i="71"/>
  <c r="O170" i="71"/>
  <c r="N170" i="71"/>
  <c r="M170" i="71"/>
  <c r="Q169" i="71"/>
  <c r="P169" i="71"/>
  <c r="O169" i="71"/>
  <c r="N169" i="71"/>
  <c r="M169" i="71"/>
  <c r="Q168" i="71"/>
  <c r="P168" i="71"/>
  <c r="O168" i="71"/>
  <c r="N168" i="71"/>
  <c r="M168" i="71"/>
  <c r="Q167" i="71"/>
  <c r="P167" i="71"/>
  <c r="O167" i="71"/>
  <c r="N167" i="71"/>
  <c r="M167" i="71"/>
  <c r="Q166" i="71"/>
  <c r="P166" i="71"/>
  <c r="O166" i="71"/>
  <c r="N166" i="71"/>
  <c r="M166" i="71"/>
  <c r="Q165" i="71"/>
  <c r="P165" i="71"/>
  <c r="O165" i="71"/>
  <c r="N165" i="71"/>
  <c r="M165" i="71"/>
  <c r="Q164" i="71"/>
  <c r="P164" i="71"/>
  <c r="O164" i="71"/>
  <c r="N164" i="71"/>
  <c r="M164" i="71"/>
  <c r="Q163" i="71"/>
  <c r="P163" i="71"/>
  <c r="O163" i="71"/>
  <c r="N163" i="71"/>
  <c r="M163" i="71"/>
  <c r="Q162" i="71"/>
  <c r="P162" i="71"/>
  <c r="O162" i="71"/>
  <c r="N162" i="71"/>
  <c r="M162" i="71"/>
  <c r="Q161" i="71"/>
  <c r="P161" i="71"/>
  <c r="O161" i="71"/>
  <c r="N161" i="71"/>
  <c r="M161" i="71"/>
  <c r="Q160" i="71"/>
  <c r="P160" i="71"/>
  <c r="O160" i="71"/>
  <c r="N160" i="71"/>
  <c r="M160" i="71"/>
  <c r="Q159" i="71"/>
  <c r="P159" i="71"/>
  <c r="O159" i="71"/>
  <c r="N159" i="71"/>
  <c r="M159" i="71"/>
  <c r="Q158" i="71"/>
  <c r="P158" i="71"/>
  <c r="O158" i="71"/>
  <c r="N158" i="71"/>
  <c r="M158" i="71"/>
  <c r="Q157" i="71"/>
  <c r="P157" i="71"/>
  <c r="O157" i="71"/>
  <c r="N157" i="71"/>
  <c r="M157" i="71"/>
  <c r="Q156" i="71"/>
  <c r="P156" i="71"/>
  <c r="O156" i="71"/>
  <c r="N156" i="71"/>
  <c r="M156" i="71"/>
  <c r="Q155" i="71"/>
  <c r="P155" i="71"/>
  <c r="O155" i="71"/>
  <c r="N155" i="71"/>
  <c r="M155" i="71"/>
  <c r="Q154" i="71"/>
  <c r="P154" i="71"/>
  <c r="O154" i="71"/>
  <c r="N154" i="71"/>
  <c r="M154" i="71"/>
  <c r="Q153" i="71"/>
  <c r="P153" i="71"/>
  <c r="O153" i="71"/>
  <c r="N153" i="71"/>
  <c r="M153" i="71"/>
  <c r="T151" i="71"/>
  <c r="S151" i="71"/>
  <c r="Q151" i="71"/>
  <c r="P151" i="71"/>
  <c r="O151" i="71"/>
  <c r="N151" i="71"/>
  <c r="M151" i="71"/>
  <c r="B154" i="71"/>
  <c r="C154" i="71"/>
  <c r="D154" i="71"/>
  <c r="E154" i="71"/>
  <c r="F154" i="71"/>
  <c r="B155" i="71"/>
  <c r="C155" i="71"/>
  <c r="D155" i="71"/>
  <c r="E155" i="71"/>
  <c r="F155" i="71"/>
  <c r="B156" i="71"/>
  <c r="C156" i="71"/>
  <c r="D156" i="71"/>
  <c r="E156" i="71"/>
  <c r="F156" i="71"/>
  <c r="B157" i="71"/>
  <c r="C157" i="71"/>
  <c r="D157" i="71"/>
  <c r="E157" i="71"/>
  <c r="F157" i="71"/>
  <c r="B158" i="71"/>
  <c r="C158" i="71"/>
  <c r="D158" i="71"/>
  <c r="E158" i="71"/>
  <c r="F158" i="71"/>
  <c r="B159" i="71"/>
  <c r="C159" i="71"/>
  <c r="D159" i="71"/>
  <c r="E159" i="71"/>
  <c r="F159" i="71"/>
  <c r="B160" i="71"/>
  <c r="C160" i="71"/>
  <c r="D160" i="71"/>
  <c r="E160" i="71"/>
  <c r="F160" i="71"/>
  <c r="B161" i="71"/>
  <c r="C161" i="71"/>
  <c r="D161" i="71"/>
  <c r="E161" i="71"/>
  <c r="F161" i="71"/>
  <c r="B162" i="71"/>
  <c r="C162" i="71"/>
  <c r="D162" i="71"/>
  <c r="E162" i="71"/>
  <c r="F162" i="71"/>
  <c r="B163" i="71"/>
  <c r="C163" i="71"/>
  <c r="D163" i="71"/>
  <c r="E163" i="71"/>
  <c r="F163" i="71"/>
  <c r="B164" i="71"/>
  <c r="C164" i="71"/>
  <c r="D164" i="71"/>
  <c r="E164" i="71"/>
  <c r="F164" i="71"/>
  <c r="B165" i="71"/>
  <c r="C165" i="71"/>
  <c r="D165" i="71"/>
  <c r="E165" i="71"/>
  <c r="F165" i="71"/>
  <c r="B166" i="71"/>
  <c r="C166" i="71"/>
  <c r="D166" i="71"/>
  <c r="E166" i="71"/>
  <c r="F166" i="71"/>
  <c r="B167" i="71"/>
  <c r="C167" i="71"/>
  <c r="D167" i="71"/>
  <c r="E167" i="71"/>
  <c r="F167" i="71"/>
  <c r="B168" i="71"/>
  <c r="C168" i="71"/>
  <c r="D168" i="71"/>
  <c r="E168" i="71"/>
  <c r="F168" i="71"/>
  <c r="B169" i="71"/>
  <c r="C169" i="71"/>
  <c r="D169" i="71"/>
  <c r="E169" i="71"/>
  <c r="F169" i="71"/>
  <c r="B170" i="71"/>
  <c r="C170" i="71"/>
  <c r="D170" i="71"/>
  <c r="E170" i="71"/>
  <c r="F170" i="71"/>
  <c r="B171" i="71"/>
  <c r="C171" i="71"/>
  <c r="D171" i="71"/>
  <c r="E171" i="71"/>
  <c r="F171" i="71"/>
  <c r="B172" i="71"/>
  <c r="C172" i="71"/>
  <c r="D172" i="71"/>
  <c r="E172" i="71"/>
  <c r="F172" i="71"/>
  <c r="B173" i="71"/>
  <c r="C173" i="71"/>
  <c r="D173" i="71"/>
  <c r="E173" i="71"/>
  <c r="F173" i="71"/>
  <c r="B174" i="71"/>
  <c r="C174" i="71"/>
  <c r="D174" i="71"/>
  <c r="E174" i="71"/>
  <c r="F174" i="71"/>
  <c r="B175" i="71"/>
  <c r="C175" i="71"/>
  <c r="D175" i="71"/>
  <c r="E175" i="71"/>
  <c r="F175" i="71"/>
  <c r="B176" i="71"/>
  <c r="C176" i="71"/>
  <c r="D176" i="71"/>
  <c r="E176" i="71"/>
  <c r="F176" i="71"/>
  <c r="B177" i="71"/>
  <c r="C177" i="71"/>
  <c r="D177" i="71"/>
  <c r="E177" i="71"/>
  <c r="F177" i="71"/>
  <c r="C153" i="71"/>
  <c r="D153" i="71"/>
  <c r="E153" i="71"/>
  <c r="F153" i="71"/>
  <c r="B153" i="71"/>
  <c r="I151" i="71"/>
  <c r="N6" i="75" s="1"/>
  <c r="N81" i="75" s="1"/>
  <c r="H151" i="71"/>
  <c r="M6" i="75" s="1"/>
  <c r="C151" i="71"/>
  <c r="D151" i="71"/>
  <c r="E151" i="71"/>
  <c r="F151" i="71"/>
  <c r="B151" i="71"/>
  <c r="P36" i="31"/>
  <c r="O64" i="31"/>
  <c r="O53" i="31"/>
  <c r="O54" i="31"/>
  <c r="O55" i="31"/>
  <c r="O56" i="31"/>
  <c r="O57" i="31"/>
  <c r="O58" i="31"/>
  <c r="O59" i="31"/>
  <c r="O60" i="31"/>
  <c r="O61" i="31"/>
  <c r="O65" i="31"/>
  <c r="O38" i="31"/>
  <c r="O39" i="31"/>
  <c r="O40" i="31"/>
  <c r="O41" i="31"/>
  <c r="O42" i="31"/>
  <c r="O43" i="31"/>
  <c r="O44" i="31"/>
  <c r="O45" i="31"/>
  <c r="O46" i="31"/>
  <c r="O47" i="31"/>
  <c r="O48" i="31"/>
  <c r="O49" i="31"/>
  <c r="O50" i="31"/>
  <c r="O51" i="31"/>
  <c r="O52" i="31"/>
  <c r="O37" i="31"/>
  <c r="Q36" i="31"/>
  <c r="P5" i="31"/>
  <c r="A1" i="75" l="1"/>
  <c r="T160" i="71"/>
  <c r="AD153" i="71"/>
  <c r="S165" i="71"/>
  <c r="AE178" i="71"/>
  <c r="AE174" i="71"/>
  <c r="AD178" i="71"/>
  <c r="T178" i="71"/>
  <c r="S178" i="71"/>
  <c r="I178" i="71"/>
  <c r="N9" i="75" s="1"/>
  <c r="H178" i="71"/>
  <c r="M9" i="75" s="1"/>
  <c r="H153" i="71"/>
  <c r="M50" i="75" s="1"/>
  <c r="M81" i="75"/>
  <c r="A80" i="75" s="1"/>
  <c r="S171" i="71"/>
  <c r="H158" i="71"/>
  <c r="M43" i="75" s="1"/>
  <c r="I163" i="71"/>
  <c r="N36" i="75" s="1"/>
  <c r="S157" i="71"/>
  <c r="S156" i="71"/>
  <c r="S168" i="71"/>
  <c r="AD165" i="71"/>
  <c r="AD159" i="71"/>
  <c r="AD168" i="71"/>
  <c r="AD174" i="71"/>
  <c r="T180" i="71"/>
  <c r="T176" i="71"/>
  <c r="AD171" i="71"/>
  <c r="AD177" i="71"/>
  <c r="I168" i="71"/>
  <c r="N27" i="75" s="1"/>
  <c r="I156" i="71"/>
  <c r="N45" i="75" s="1"/>
  <c r="S153" i="71"/>
  <c r="I157" i="71"/>
  <c r="N44" i="75" s="1"/>
  <c r="H164" i="71"/>
  <c r="M33" i="75" s="1"/>
  <c r="S154" i="71"/>
  <c r="H177" i="71"/>
  <c r="M10" i="75" s="1"/>
  <c r="H165" i="71"/>
  <c r="M32" i="75" s="1"/>
  <c r="I153" i="71"/>
  <c r="N50" i="75" s="1"/>
  <c r="S162" i="71"/>
  <c r="H154" i="71"/>
  <c r="M49" i="75" s="1"/>
  <c r="I175" i="71"/>
  <c r="N14" i="75" s="1"/>
  <c r="S174" i="71"/>
  <c r="I167" i="71"/>
  <c r="N28" i="75" s="1"/>
  <c r="I155" i="71"/>
  <c r="N46" i="75" s="1"/>
  <c r="S159" i="71"/>
  <c r="AD156" i="71"/>
  <c r="AD162" i="71"/>
  <c r="H176" i="71"/>
  <c r="M13" i="75" s="1"/>
  <c r="H175" i="71"/>
  <c r="M14" i="75" s="1"/>
  <c r="H163" i="71"/>
  <c r="M36" i="75" s="1"/>
  <c r="I166" i="71"/>
  <c r="N29" i="75" s="1"/>
  <c r="I154" i="71"/>
  <c r="N49" i="75" s="1"/>
  <c r="H174" i="71"/>
  <c r="M17" i="75" s="1"/>
  <c r="H162" i="71"/>
  <c r="M37" i="75" s="1"/>
  <c r="I177" i="71"/>
  <c r="N10" i="75" s="1"/>
  <c r="I165" i="71"/>
  <c r="N32" i="75" s="1"/>
  <c r="H173" i="71"/>
  <c r="M18" i="75" s="1"/>
  <c r="H161" i="71"/>
  <c r="M38" i="75" s="1"/>
  <c r="I176" i="71"/>
  <c r="N13" i="75" s="1"/>
  <c r="I164" i="71"/>
  <c r="N33" i="75" s="1"/>
  <c r="H172" i="71"/>
  <c r="M21" i="75" s="1"/>
  <c r="H160" i="71"/>
  <c r="M39" i="75" s="1"/>
  <c r="H171" i="71"/>
  <c r="M22" i="75" s="1"/>
  <c r="H159" i="71"/>
  <c r="M40" i="75" s="1"/>
  <c r="I174" i="71"/>
  <c r="N17" i="75" s="1"/>
  <c r="I162" i="71"/>
  <c r="N37" i="75" s="1"/>
  <c r="H170" i="71"/>
  <c r="M23" i="75" s="1"/>
  <c r="I173" i="71"/>
  <c r="N18" i="75" s="1"/>
  <c r="I161" i="71"/>
  <c r="N38" i="75" s="1"/>
  <c r="H169" i="71"/>
  <c r="M26" i="75" s="1"/>
  <c r="H157" i="71"/>
  <c r="M44" i="75" s="1"/>
  <c r="I172" i="71"/>
  <c r="N21" i="75" s="1"/>
  <c r="I160" i="71"/>
  <c r="N39" i="75" s="1"/>
  <c r="H168" i="71"/>
  <c r="M27" i="75" s="1"/>
  <c r="H156" i="71"/>
  <c r="M45" i="75" s="1"/>
  <c r="I171" i="71"/>
  <c r="N22" i="75" s="1"/>
  <c r="I159" i="71"/>
  <c r="N40" i="75" s="1"/>
  <c r="H167" i="71"/>
  <c r="M28" i="75" s="1"/>
  <c r="H155" i="71"/>
  <c r="M46" i="75" s="1"/>
  <c r="I170" i="71"/>
  <c r="N23" i="75" s="1"/>
  <c r="I158" i="71"/>
  <c r="N43" i="75" s="1"/>
  <c r="H166" i="71"/>
  <c r="M29" i="75" s="1"/>
  <c r="I169" i="71"/>
  <c r="N26" i="75" s="1"/>
  <c r="AD180" i="71"/>
  <c r="AE180" i="71"/>
  <c r="AE156" i="71"/>
  <c r="AE159" i="71"/>
  <c r="AE162" i="71"/>
  <c r="AE165" i="71"/>
  <c r="AE168" i="71"/>
  <c r="AE171" i="71"/>
  <c r="AE153" i="71"/>
  <c r="AE177" i="71"/>
  <c r="AD155" i="71"/>
  <c r="AD158" i="71"/>
  <c r="AD161" i="71"/>
  <c r="AD164" i="71"/>
  <c r="AD167" i="71"/>
  <c r="AD170" i="71"/>
  <c r="AD173" i="71"/>
  <c r="AD176" i="71"/>
  <c r="AE155" i="71"/>
  <c r="AE158" i="71"/>
  <c r="AE161" i="71"/>
  <c r="AE164" i="71"/>
  <c r="AE167" i="71"/>
  <c r="AE170" i="71"/>
  <c r="AE173" i="71"/>
  <c r="AE176" i="71"/>
  <c r="AD154" i="71"/>
  <c r="AD157" i="71"/>
  <c r="AD160" i="71"/>
  <c r="AD163" i="71"/>
  <c r="AD166" i="71"/>
  <c r="AD169" i="71"/>
  <c r="AD172" i="71"/>
  <c r="AD175" i="71"/>
  <c r="AE154" i="71"/>
  <c r="AE157" i="71"/>
  <c r="AE160" i="71"/>
  <c r="AE163" i="71"/>
  <c r="AE166" i="71"/>
  <c r="AE169" i="71"/>
  <c r="AE172" i="71"/>
  <c r="AE175" i="71"/>
  <c r="S175" i="71"/>
  <c r="S180" i="71"/>
  <c r="T157" i="71"/>
  <c r="T172" i="71"/>
  <c r="S177" i="71"/>
  <c r="T156" i="71"/>
  <c r="T162" i="71"/>
  <c r="T171" i="71"/>
  <c r="T153" i="71"/>
  <c r="T168" i="71"/>
  <c r="T174" i="71"/>
  <c r="T165" i="71"/>
  <c r="S155" i="71"/>
  <c r="S158" i="71"/>
  <c r="S161" i="71"/>
  <c r="S164" i="71"/>
  <c r="S167" i="71"/>
  <c r="S170" i="71"/>
  <c r="S173" i="71"/>
  <c r="S176" i="71"/>
  <c r="T159" i="71"/>
  <c r="T177" i="71"/>
  <c r="T155" i="71"/>
  <c r="T158" i="71"/>
  <c r="T161" i="71"/>
  <c r="T164" i="71"/>
  <c r="T167" i="71"/>
  <c r="T170" i="71"/>
  <c r="T173" i="71"/>
  <c r="S172" i="71"/>
  <c r="S160" i="71"/>
  <c r="S163" i="71"/>
  <c r="S166" i="71"/>
  <c r="S169" i="71"/>
  <c r="T154" i="71"/>
  <c r="T163" i="71"/>
  <c r="T166" i="71"/>
  <c r="T169" i="71"/>
  <c r="T175" i="71"/>
  <c r="Q18" i="109"/>
  <c r="Q9" i="109"/>
  <c r="Q10" i="109"/>
  <c r="Q11" i="109"/>
  <c r="Q12" i="109"/>
  <c r="Q13" i="109"/>
  <c r="Q14" i="109"/>
  <c r="Q15" i="109"/>
  <c r="Q16" i="109"/>
  <c r="Q8" i="109"/>
  <c r="AD18" i="109"/>
  <c r="AC18" i="109"/>
  <c r="AB18" i="109"/>
  <c r="AB32" i="109" s="1"/>
  <c r="Y18" i="109"/>
  <c r="X18" i="109"/>
  <c r="W18" i="109"/>
  <c r="T18" i="109"/>
  <c r="S18" i="109"/>
  <c r="R18" i="109"/>
  <c r="AE16" i="109"/>
  <c r="Z16" i="109"/>
  <c r="U16" i="109"/>
  <c r="AE15" i="109"/>
  <c r="Z15" i="109"/>
  <c r="U15" i="109"/>
  <c r="AE14" i="109"/>
  <c r="Z14" i="109"/>
  <c r="U14" i="109"/>
  <c r="AE13" i="109"/>
  <c r="Z13" i="109"/>
  <c r="U13" i="109"/>
  <c r="AE12" i="109"/>
  <c r="Z12" i="109"/>
  <c r="U12" i="109"/>
  <c r="AE11" i="109"/>
  <c r="Z11" i="109"/>
  <c r="U11" i="109"/>
  <c r="AE10" i="109"/>
  <c r="Z10" i="109"/>
  <c r="U10" i="109"/>
  <c r="AE9" i="109"/>
  <c r="Z9" i="109"/>
  <c r="U9" i="109"/>
  <c r="AE8" i="109"/>
  <c r="Z8" i="109"/>
  <c r="U8" i="109"/>
  <c r="O16" i="109"/>
  <c r="O15" i="109"/>
  <c r="O14" i="109"/>
  <c r="O13" i="109"/>
  <c r="O12" i="109"/>
  <c r="O11" i="109"/>
  <c r="O10" i="109"/>
  <c r="O9" i="109"/>
  <c r="O8" i="109"/>
  <c r="J16" i="109"/>
  <c r="J15" i="109"/>
  <c r="J14" i="109"/>
  <c r="J13" i="109"/>
  <c r="J12" i="109"/>
  <c r="J11" i="109"/>
  <c r="J10" i="109"/>
  <c r="J9" i="109"/>
  <c r="J8" i="109"/>
  <c r="Z18" i="109" l="1"/>
  <c r="AE18" i="109"/>
  <c r="U18" i="109"/>
  <c r="B36" i="103"/>
  <c r="AU16" i="109"/>
  <c r="AU15" i="109"/>
  <c r="AU14" i="109"/>
  <c r="AU13" i="109"/>
  <c r="AU12" i="109"/>
  <c r="AU11" i="109"/>
  <c r="AU10" i="109"/>
  <c r="AU9" i="109"/>
  <c r="AU8" i="109"/>
  <c r="AP16" i="109"/>
  <c r="AP15" i="109"/>
  <c r="AP14" i="109"/>
  <c r="AP13" i="109"/>
  <c r="AP12" i="109"/>
  <c r="AP11" i="109"/>
  <c r="AP10" i="109"/>
  <c r="AP9" i="109"/>
  <c r="AP8" i="109"/>
  <c r="AK16" i="109"/>
  <c r="AK15" i="109"/>
  <c r="AK14" i="109"/>
  <c r="AK13" i="109"/>
  <c r="AK12" i="109"/>
  <c r="AK11" i="109"/>
  <c r="AK10" i="109"/>
  <c r="AK9" i="109"/>
  <c r="AK8" i="109"/>
  <c r="AT18" i="109"/>
  <c r="AS18" i="109"/>
  <c r="AR18" i="109"/>
  <c r="AO18" i="109"/>
  <c r="AN18" i="109"/>
  <c r="AM18" i="109"/>
  <c r="AJ18" i="109"/>
  <c r="AI18" i="109"/>
  <c r="AI27" i="109" s="1"/>
  <c r="AH18" i="109"/>
  <c r="N18" i="109"/>
  <c r="M18" i="109"/>
  <c r="L18" i="109"/>
  <c r="I18" i="109"/>
  <c r="H18" i="109"/>
  <c r="G18" i="109"/>
  <c r="C18" i="109"/>
  <c r="D18" i="109"/>
  <c r="B18" i="109"/>
  <c r="B26" i="109" s="1"/>
  <c r="E8" i="109"/>
  <c r="AP18" i="109" l="1"/>
  <c r="AP36" i="109" s="1"/>
  <c r="AP47" i="109"/>
  <c r="AK18" i="109"/>
  <c r="AK54" i="109" s="1"/>
  <c r="AU18" i="109"/>
  <c r="AU54" i="109" s="1"/>
  <c r="O18" i="109"/>
  <c r="O33" i="109" s="1"/>
  <c r="J45" i="109"/>
  <c r="J18" i="109"/>
  <c r="J26" i="109" s="1"/>
  <c r="J50" i="109"/>
  <c r="E44" i="109"/>
  <c r="E9" i="109"/>
  <c r="O45" i="109" s="1"/>
  <c r="E10" i="109"/>
  <c r="E11" i="109"/>
  <c r="E47" i="109" s="1"/>
  <c r="E12" i="109"/>
  <c r="E13" i="109"/>
  <c r="E14" i="109"/>
  <c r="O50" i="109" s="1"/>
  <c r="E15" i="109"/>
  <c r="O51" i="109" s="1"/>
  <c r="E16" i="109"/>
  <c r="E18" i="109"/>
  <c r="AG18" i="109"/>
  <c r="AG9" i="109"/>
  <c r="AG10" i="109"/>
  <c r="AG11" i="109"/>
  <c r="AG12" i="109"/>
  <c r="AG13" i="109"/>
  <c r="AG14" i="109"/>
  <c r="AG15" i="109"/>
  <c r="AG16" i="109"/>
  <c r="AG8" i="109"/>
  <c r="AT54" i="109"/>
  <c r="AS54" i="109"/>
  <c r="AR54" i="109"/>
  <c r="AO54" i="109"/>
  <c r="N28" i="108" s="1"/>
  <c r="AN54" i="109"/>
  <c r="O28" i="108" s="1"/>
  <c r="AM54" i="109"/>
  <c r="P28" i="108" s="1"/>
  <c r="AJ54" i="109"/>
  <c r="AI54" i="109"/>
  <c r="AH54" i="109"/>
  <c r="AU52" i="109"/>
  <c r="AT52" i="109"/>
  <c r="AS52" i="109"/>
  <c r="AR52" i="109"/>
  <c r="AP52" i="109"/>
  <c r="AO52" i="109"/>
  <c r="N26" i="108" s="1"/>
  <c r="AN52" i="109"/>
  <c r="O26" i="108" s="1"/>
  <c r="AM52" i="109"/>
  <c r="P26" i="108" s="1"/>
  <c r="AK52" i="109"/>
  <c r="AJ52" i="109"/>
  <c r="AI52" i="109"/>
  <c r="AH52" i="109"/>
  <c r="AU51" i="109"/>
  <c r="AT51" i="109"/>
  <c r="AS51" i="109"/>
  <c r="AR51" i="109"/>
  <c r="AP51" i="109"/>
  <c r="AO51" i="109"/>
  <c r="N25" i="108" s="1"/>
  <c r="AN51" i="109"/>
  <c r="O25" i="108" s="1"/>
  <c r="AM51" i="109"/>
  <c r="P25" i="108" s="1"/>
  <c r="AK51" i="109"/>
  <c r="AJ51" i="109"/>
  <c r="AI51" i="109"/>
  <c r="AH51" i="109"/>
  <c r="AU50" i="109"/>
  <c r="AT50" i="109"/>
  <c r="AS50" i="109"/>
  <c r="AR50" i="109"/>
  <c r="AP50" i="109"/>
  <c r="AO50" i="109"/>
  <c r="N24" i="108" s="1"/>
  <c r="AN50" i="109"/>
  <c r="O24" i="108" s="1"/>
  <c r="AM50" i="109"/>
  <c r="P24" i="108" s="1"/>
  <c r="AK50" i="109"/>
  <c r="AJ50" i="109"/>
  <c r="AI50" i="109"/>
  <c r="AH50" i="109"/>
  <c r="AU49" i="109"/>
  <c r="AT49" i="109"/>
  <c r="AS49" i="109"/>
  <c r="AR49" i="109"/>
  <c r="AP49" i="109"/>
  <c r="AO49" i="109"/>
  <c r="N23" i="108" s="1"/>
  <c r="AN49" i="109"/>
  <c r="O23" i="108" s="1"/>
  <c r="AM49" i="109"/>
  <c r="P23" i="108" s="1"/>
  <c r="AK49" i="109"/>
  <c r="AJ49" i="109"/>
  <c r="AI49" i="109"/>
  <c r="AH49" i="109"/>
  <c r="AU48" i="109"/>
  <c r="AT48" i="109"/>
  <c r="AS48" i="109"/>
  <c r="AR48" i="109"/>
  <c r="AP48" i="109"/>
  <c r="AO48" i="109"/>
  <c r="N22" i="108" s="1"/>
  <c r="AN48" i="109"/>
  <c r="O22" i="108" s="1"/>
  <c r="AM48" i="109"/>
  <c r="P22" i="108" s="1"/>
  <c r="AK48" i="109"/>
  <c r="AJ48" i="109"/>
  <c r="AI48" i="109"/>
  <c r="AH48" i="109"/>
  <c r="AU47" i="109"/>
  <c r="AT47" i="109"/>
  <c r="AS47" i="109"/>
  <c r="AR47" i="109"/>
  <c r="AO47" i="109"/>
  <c r="N21" i="108" s="1"/>
  <c r="AN47" i="109"/>
  <c r="O21" i="108" s="1"/>
  <c r="AM47" i="109"/>
  <c r="P21" i="108" s="1"/>
  <c r="AK47" i="109"/>
  <c r="AJ47" i="109"/>
  <c r="AI47" i="109"/>
  <c r="AH47" i="109"/>
  <c r="AU46" i="109"/>
  <c r="AT46" i="109"/>
  <c r="AS46" i="109"/>
  <c r="AR46" i="109"/>
  <c r="AP46" i="109"/>
  <c r="AO46" i="109"/>
  <c r="N20" i="108" s="1"/>
  <c r="AN46" i="109"/>
  <c r="O20" i="108" s="1"/>
  <c r="AM46" i="109"/>
  <c r="P20" i="108" s="1"/>
  <c r="AK46" i="109"/>
  <c r="AJ46" i="109"/>
  <c r="AI46" i="109"/>
  <c r="AH46" i="109"/>
  <c r="AU45" i="109"/>
  <c r="AT45" i="109"/>
  <c r="AS45" i="109"/>
  <c r="AR45" i="109"/>
  <c r="AP45" i="109"/>
  <c r="AO45" i="109"/>
  <c r="N19" i="108" s="1"/>
  <c r="AN45" i="109"/>
  <c r="O19" i="108" s="1"/>
  <c r="AM45" i="109"/>
  <c r="P19" i="108" s="1"/>
  <c r="AK45" i="109"/>
  <c r="AJ45" i="109"/>
  <c r="AI45" i="109"/>
  <c r="AH45" i="109"/>
  <c r="AU44" i="109"/>
  <c r="AT44" i="109"/>
  <c r="AS44" i="109"/>
  <c r="AR44" i="109"/>
  <c r="AP44" i="109"/>
  <c r="AO44" i="109"/>
  <c r="N18" i="108" s="1"/>
  <c r="AN44" i="109"/>
  <c r="O18" i="108" s="1"/>
  <c r="AM44" i="109"/>
  <c r="P18" i="108" s="1"/>
  <c r="AK44" i="109"/>
  <c r="AJ44" i="109"/>
  <c r="AI44" i="109"/>
  <c r="AH44" i="109"/>
  <c r="AR41" i="109"/>
  <c r="AM41" i="109"/>
  <c r="AH41" i="109"/>
  <c r="AT36" i="109"/>
  <c r="AS36" i="109"/>
  <c r="AR36" i="109"/>
  <c r="AO36" i="109"/>
  <c r="AN36" i="109"/>
  <c r="AM36" i="109"/>
  <c r="AK36" i="109"/>
  <c r="AJ36" i="109"/>
  <c r="AI36" i="109"/>
  <c r="AH36" i="109"/>
  <c r="AU34" i="109"/>
  <c r="AT34" i="109"/>
  <c r="AS34" i="109"/>
  <c r="AR34" i="109"/>
  <c r="AO34" i="109"/>
  <c r="AN34" i="109"/>
  <c r="AM34" i="109"/>
  <c r="AK34" i="109"/>
  <c r="AJ34" i="109"/>
  <c r="AI34" i="109"/>
  <c r="AH34" i="109"/>
  <c r="AT33" i="109"/>
  <c r="AS33" i="109"/>
  <c r="AR33" i="109"/>
  <c r="AO33" i="109"/>
  <c r="AN33" i="109"/>
  <c r="AM33" i="109"/>
  <c r="AK33" i="109"/>
  <c r="AJ33" i="109"/>
  <c r="AI33" i="109"/>
  <c r="AH33" i="109"/>
  <c r="AT32" i="109"/>
  <c r="AS32" i="109"/>
  <c r="AR32" i="109"/>
  <c r="AO32" i="109"/>
  <c r="AN32" i="109"/>
  <c r="AM32" i="109"/>
  <c r="AK32" i="109"/>
  <c r="AJ32" i="109"/>
  <c r="AI32" i="109"/>
  <c r="AH32" i="109"/>
  <c r="AT31" i="109"/>
  <c r="AS31" i="109"/>
  <c r="AR31" i="109"/>
  <c r="AO31" i="109"/>
  <c r="AN31" i="109"/>
  <c r="AM31" i="109"/>
  <c r="AK31" i="109"/>
  <c r="AJ31" i="109"/>
  <c r="AI31" i="109"/>
  <c r="AH31" i="109"/>
  <c r="AU30" i="109"/>
  <c r="AT30" i="109"/>
  <c r="AS30" i="109"/>
  <c r="AR30" i="109"/>
  <c r="AO30" i="109"/>
  <c r="AN30" i="109"/>
  <c r="AM30" i="109"/>
  <c r="AK30" i="109"/>
  <c r="AJ30" i="109"/>
  <c r="AI30" i="109"/>
  <c r="AH30" i="109"/>
  <c r="AU29" i="109"/>
  <c r="AT29" i="109"/>
  <c r="AS29" i="109"/>
  <c r="AR29" i="109"/>
  <c r="AO29" i="109"/>
  <c r="AN29" i="109"/>
  <c r="AM29" i="109"/>
  <c r="AK29" i="109"/>
  <c r="AJ29" i="109"/>
  <c r="AI29" i="109"/>
  <c r="AH29" i="109"/>
  <c r="AT28" i="109"/>
  <c r="AS28" i="109"/>
  <c r="AR28" i="109"/>
  <c r="AO28" i="109"/>
  <c r="AN28" i="109"/>
  <c r="AM28" i="109"/>
  <c r="AK28" i="109"/>
  <c r="AJ28" i="109"/>
  <c r="AI28" i="109"/>
  <c r="AH28" i="109"/>
  <c r="AT27" i="109"/>
  <c r="AS27" i="109"/>
  <c r="AR27" i="109"/>
  <c r="AO27" i="109"/>
  <c r="AN27" i="109"/>
  <c r="AM27" i="109"/>
  <c r="AK27" i="109"/>
  <c r="AJ27" i="109"/>
  <c r="AH27" i="109"/>
  <c r="AT26" i="109"/>
  <c r="AS26" i="109"/>
  <c r="AR26" i="109"/>
  <c r="AP26" i="109"/>
  <c r="AO26" i="109"/>
  <c r="AN26" i="109"/>
  <c r="AM26" i="109"/>
  <c r="AJ26" i="109"/>
  <c r="AI26" i="109"/>
  <c r="AH26" i="109"/>
  <c r="AR23" i="109"/>
  <c r="AM23" i="109"/>
  <c r="AH23" i="109"/>
  <c r="W54" i="109"/>
  <c r="P43" i="108" s="1"/>
  <c r="U54" i="109"/>
  <c r="T54" i="109"/>
  <c r="W52" i="109"/>
  <c r="P41" i="108" s="1"/>
  <c r="U52" i="109"/>
  <c r="T52" i="109"/>
  <c r="W51" i="109"/>
  <c r="P40" i="108" s="1"/>
  <c r="U51" i="109"/>
  <c r="T51" i="109"/>
  <c r="W50" i="109"/>
  <c r="P39" i="108" s="1"/>
  <c r="U50" i="109"/>
  <c r="T50" i="109"/>
  <c r="W49" i="109"/>
  <c r="P38" i="108" s="1"/>
  <c r="U49" i="109"/>
  <c r="T49" i="109"/>
  <c r="W48" i="109"/>
  <c r="P37" i="108" s="1"/>
  <c r="U48" i="109"/>
  <c r="T48" i="109"/>
  <c r="W47" i="109"/>
  <c r="P36" i="108" s="1"/>
  <c r="U47" i="109"/>
  <c r="T47" i="109"/>
  <c r="P35" i="108"/>
  <c r="U46" i="109"/>
  <c r="T46" i="109"/>
  <c r="W45" i="109"/>
  <c r="P34" i="108" s="1"/>
  <c r="U45" i="109"/>
  <c r="T45" i="109"/>
  <c r="W44" i="109"/>
  <c r="P33" i="108" s="1"/>
  <c r="U44" i="109"/>
  <c r="T44" i="109"/>
  <c r="AB41" i="109"/>
  <c r="W41" i="109"/>
  <c r="R41" i="109"/>
  <c r="AB36" i="109"/>
  <c r="Z36" i="109"/>
  <c r="Y36" i="109"/>
  <c r="X36" i="109"/>
  <c r="W36" i="109"/>
  <c r="U36" i="109"/>
  <c r="T36" i="109"/>
  <c r="AB34" i="109"/>
  <c r="Z34" i="109"/>
  <c r="Y34" i="109"/>
  <c r="X34" i="109"/>
  <c r="W34" i="109"/>
  <c r="U34" i="109"/>
  <c r="T34" i="109"/>
  <c r="AB33" i="109"/>
  <c r="Z33" i="109"/>
  <c r="Y33" i="109"/>
  <c r="X33" i="109"/>
  <c r="W33" i="109"/>
  <c r="U33" i="109"/>
  <c r="T33" i="109"/>
  <c r="Z32" i="109"/>
  <c r="Y32" i="109"/>
  <c r="X32" i="109"/>
  <c r="W32" i="109"/>
  <c r="U32" i="109"/>
  <c r="T32" i="109"/>
  <c r="AB31" i="109"/>
  <c r="Z31" i="109"/>
  <c r="Y31" i="109"/>
  <c r="X31" i="109"/>
  <c r="W31" i="109"/>
  <c r="U31" i="109"/>
  <c r="T31" i="109"/>
  <c r="AB30" i="109"/>
  <c r="Z30" i="109"/>
  <c r="Y30" i="109"/>
  <c r="X30" i="109"/>
  <c r="W30" i="109"/>
  <c r="U30" i="109"/>
  <c r="T30" i="109"/>
  <c r="AB29" i="109"/>
  <c r="Z29" i="109"/>
  <c r="Y29" i="109"/>
  <c r="X29" i="109"/>
  <c r="W29" i="109"/>
  <c r="U29" i="109"/>
  <c r="T29" i="109"/>
  <c r="AB28" i="109"/>
  <c r="Z28" i="109"/>
  <c r="Y28" i="109"/>
  <c r="X28" i="109"/>
  <c r="W28" i="109"/>
  <c r="U28" i="109"/>
  <c r="T28" i="109"/>
  <c r="AB27" i="109"/>
  <c r="Z27" i="109"/>
  <c r="Y27" i="109"/>
  <c r="X27" i="109"/>
  <c r="W27" i="109"/>
  <c r="U27" i="109"/>
  <c r="T27" i="109"/>
  <c r="AB26" i="109"/>
  <c r="Z26" i="109"/>
  <c r="Y26" i="109"/>
  <c r="X26" i="109"/>
  <c r="W26" i="109"/>
  <c r="U26" i="109"/>
  <c r="T26" i="109"/>
  <c r="AB23" i="109"/>
  <c r="W23" i="109"/>
  <c r="R23" i="109"/>
  <c r="AD52" i="109"/>
  <c r="AD51" i="109"/>
  <c r="AD49" i="109"/>
  <c r="AD47" i="109"/>
  <c r="Y46" i="109"/>
  <c r="N35" i="108" s="1"/>
  <c r="AD45" i="109"/>
  <c r="S49" i="109"/>
  <c r="S48" i="109"/>
  <c r="S47" i="109"/>
  <c r="S45" i="109"/>
  <c r="C26" i="109"/>
  <c r="D26" i="109"/>
  <c r="G26" i="109"/>
  <c r="H26" i="109"/>
  <c r="I26" i="109"/>
  <c r="L26" i="109"/>
  <c r="M26" i="109"/>
  <c r="N26" i="109"/>
  <c r="C27" i="109"/>
  <c r="D27" i="109"/>
  <c r="G27" i="109"/>
  <c r="H27" i="109"/>
  <c r="I27" i="109"/>
  <c r="L27" i="109"/>
  <c r="M27" i="109"/>
  <c r="N27" i="109"/>
  <c r="C28" i="109"/>
  <c r="D28" i="109"/>
  <c r="G28" i="109"/>
  <c r="H28" i="109"/>
  <c r="I28" i="109"/>
  <c r="L28" i="109"/>
  <c r="M28" i="109"/>
  <c r="N28" i="109"/>
  <c r="C29" i="109"/>
  <c r="D29" i="109"/>
  <c r="G29" i="109"/>
  <c r="H29" i="109"/>
  <c r="I29" i="109"/>
  <c r="L29" i="109"/>
  <c r="M29" i="109"/>
  <c r="N29" i="109"/>
  <c r="O29" i="109"/>
  <c r="C30" i="109"/>
  <c r="D30" i="109"/>
  <c r="G30" i="109"/>
  <c r="H30" i="109"/>
  <c r="I30" i="109"/>
  <c r="L30" i="109"/>
  <c r="M30" i="109"/>
  <c r="N30" i="109"/>
  <c r="C31" i="109"/>
  <c r="D31" i="109"/>
  <c r="G31" i="109"/>
  <c r="H31" i="109"/>
  <c r="I31" i="109"/>
  <c r="L31" i="109"/>
  <c r="M31" i="109"/>
  <c r="N31" i="109"/>
  <c r="C32" i="109"/>
  <c r="D32" i="109"/>
  <c r="G32" i="109"/>
  <c r="H32" i="109"/>
  <c r="I32" i="109"/>
  <c r="L32" i="109"/>
  <c r="M32" i="109"/>
  <c r="N32" i="109"/>
  <c r="C33" i="109"/>
  <c r="D33" i="109"/>
  <c r="G33" i="109"/>
  <c r="H33" i="109"/>
  <c r="I33" i="109"/>
  <c r="L33" i="109"/>
  <c r="M33" i="109"/>
  <c r="N33" i="109"/>
  <c r="C34" i="109"/>
  <c r="D34" i="109"/>
  <c r="G34" i="109"/>
  <c r="H34" i="109"/>
  <c r="I34" i="109"/>
  <c r="L34" i="109"/>
  <c r="M34" i="109"/>
  <c r="N34" i="109"/>
  <c r="C36" i="109"/>
  <c r="D36" i="109"/>
  <c r="G36" i="109"/>
  <c r="H36" i="109"/>
  <c r="I36" i="109"/>
  <c r="L36" i="109"/>
  <c r="M36" i="109"/>
  <c r="N36" i="109"/>
  <c r="L45" i="109"/>
  <c r="M45" i="109"/>
  <c r="N45" i="109"/>
  <c r="L46" i="109"/>
  <c r="M46" i="109"/>
  <c r="N46" i="109"/>
  <c r="L47" i="109"/>
  <c r="M47" i="109"/>
  <c r="N47" i="109"/>
  <c r="L48" i="109"/>
  <c r="M48" i="109"/>
  <c r="N48" i="109"/>
  <c r="L49" i="109"/>
  <c r="M49" i="109"/>
  <c r="N49" i="109"/>
  <c r="L50" i="109"/>
  <c r="M50" i="109"/>
  <c r="N50" i="109"/>
  <c r="L51" i="109"/>
  <c r="M51" i="109"/>
  <c r="N51" i="109"/>
  <c r="L52" i="109"/>
  <c r="M52" i="109"/>
  <c r="N52" i="109"/>
  <c r="L54" i="109"/>
  <c r="M54" i="109"/>
  <c r="N54" i="109"/>
  <c r="M44" i="109"/>
  <c r="N44" i="109"/>
  <c r="L44" i="109"/>
  <c r="G45" i="109"/>
  <c r="P4" i="108" s="1"/>
  <c r="H45" i="109"/>
  <c r="O4" i="108" s="1"/>
  <c r="I45" i="109"/>
  <c r="N4" i="108" s="1"/>
  <c r="G46" i="109"/>
  <c r="P5" i="108" s="1"/>
  <c r="H46" i="109"/>
  <c r="O5" i="108" s="1"/>
  <c r="I46" i="109"/>
  <c r="N5" i="108" s="1"/>
  <c r="G47" i="109"/>
  <c r="P6" i="108" s="1"/>
  <c r="H47" i="109"/>
  <c r="O6" i="108" s="1"/>
  <c r="I47" i="109"/>
  <c r="N6" i="108" s="1"/>
  <c r="J47" i="109"/>
  <c r="G48" i="109"/>
  <c r="P7" i="108" s="1"/>
  <c r="H48" i="109"/>
  <c r="O7" i="108" s="1"/>
  <c r="I48" i="109"/>
  <c r="N7" i="108" s="1"/>
  <c r="G49" i="109"/>
  <c r="P8" i="108" s="1"/>
  <c r="H49" i="109"/>
  <c r="O8" i="108" s="1"/>
  <c r="I49" i="109"/>
  <c r="N8" i="108" s="1"/>
  <c r="J49" i="109"/>
  <c r="G50" i="109"/>
  <c r="P9" i="108" s="1"/>
  <c r="H50" i="109"/>
  <c r="O9" i="108" s="1"/>
  <c r="I50" i="109"/>
  <c r="N9" i="108" s="1"/>
  <c r="G51" i="109"/>
  <c r="P10" i="108" s="1"/>
  <c r="H51" i="109"/>
  <c r="O10" i="108" s="1"/>
  <c r="I51" i="109"/>
  <c r="N10" i="108" s="1"/>
  <c r="G52" i="109"/>
  <c r="P11" i="108" s="1"/>
  <c r="H52" i="109"/>
  <c r="O11" i="108" s="1"/>
  <c r="I52" i="109"/>
  <c r="N11" i="108" s="1"/>
  <c r="G54" i="109"/>
  <c r="P13" i="108" s="1"/>
  <c r="H54" i="109"/>
  <c r="O13" i="108" s="1"/>
  <c r="I54" i="109"/>
  <c r="N13" i="108" s="1"/>
  <c r="H44" i="109"/>
  <c r="O3" i="108" s="1"/>
  <c r="I44" i="109"/>
  <c r="N3" i="108" s="1"/>
  <c r="G44" i="109"/>
  <c r="P3" i="108" s="1"/>
  <c r="B45" i="109"/>
  <c r="C45" i="109"/>
  <c r="D45" i="109"/>
  <c r="B46" i="109"/>
  <c r="C46" i="109"/>
  <c r="D46" i="109"/>
  <c r="B47" i="109"/>
  <c r="C47" i="109"/>
  <c r="D47" i="109"/>
  <c r="B48" i="109"/>
  <c r="C48" i="109"/>
  <c r="D48" i="109"/>
  <c r="B49" i="109"/>
  <c r="C49" i="109"/>
  <c r="D49" i="109"/>
  <c r="B50" i="109"/>
  <c r="C50" i="109"/>
  <c r="D50" i="109"/>
  <c r="B51" i="109"/>
  <c r="C51" i="109"/>
  <c r="D51" i="109"/>
  <c r="B52" i="109"/>
  <c r="C52" i="109"/>
  <c r="D52" i="109"/>
  <c r="B54" i="109"/>
  <c r="C54" i="109"/>
  <c r="D54" i="109"/>
  <c r="C44" i="109"/>
  <c r="D44" i="109"/>
  <c r="B44" i="109"/>
  <c r="L41" i="109"/>
  <c r="G41" i="109"/>
  <c r="B41" i="109"/>
  <c r="L23" i="109"/>
  <c r="G23" i="109"/>
  <c r="B23" i="109"/>
  <c r="A8" i="109"/>
  <c r="AG26" i="109" s="1"/>
  <c r="A9" i="109"/>
  <c r="Q27" i="109" s="1"/>
  <c r="A10" i="109"/>
  <c r="Q28" i="109" s="1"/>
  <c r="A11" i="109"/>
  <c r="Q29" i="109" s="1"/>
  <c r="A12" i="109"/>
  <c r="Q30" i="109" s="1"/>
  <c r="A13" i="109"/>
  <c r="Q31" i="109" s="1"/>
  <c r="A14" i="109"/>
  <c r="Q32" i="109" s="1"/>
  <c r="A15" i="109"/>
  <c r="AG51" i="109" s="1"/>
  <c r="A16" i="109"/>
  <c r="AG34" i="109" s="1"/>
  <c r="A18" i="109"/>
  <c r="Q36" i="109" s="1"/>
  <c r="N1" i="108"/>
  <c r="M35" i="108"/>
  <c r="M43" i="108"/>
  <c r="M28" i="108"/>
  <c r="M13" i="108"/>
  <c r="M11" i="108"/>
  <c r="M26" i="108" s="1"/>
  <c r="M10" i="108"/>
  <c r="M40" i="108" s="1"/>
  <c r="M9" i="108"/>
  <c r="M39" i="108" s="1"/>
  <c r="M8" i="108"/>
  <c r="M38" i="108" s="1"/>
  <c r="M7" i="108"/>
  <c r="M37" i="108" s="1"/>
  <c r="M6" i="108"/>
  <c r="M21" i="108" s="1"/>
  <c r="M5" i="108"/>
  <c r="M20" i="108" s="1"/>
  <c r="M4" i="108"/>
  <c r="M34" i="108" s="1"/>
  <c r="M3" i="108"/>
  <c r="M18" i="108" s="1"/>
  <c r="M13" i="107"/>
  <c r="W14" i="106"/>
  <c r="M4" i="107"/>
  <c r="M5" i="107"/>
  <c r="M6" i="107"/>
  <c r="M7" i="107"/>
  <c r="M8" i="107"/>
  <c r="M9" i="107"/>
  <c r="M10" i="107"/>
  <c r="M11" i="107"/>
  <c r="M3" i="107"/>
  <c r="W5" i="106"/>
  <c r="W6" i="106"/>
  <c r="W7" i="106"/>
  <c r="W8" i="106"/>
  <c r="W9" i="106"/>
  <c r="W10" i="106"/>
  <c r="W11" i="106"/>
  <c r="W12" i="106"/>
  <c r="W4" i="106"/>
  <c r="W112" i="71"/>
  <c r="W35" i="71"/>
  <c r="W9" i="71"/>
  <c r="W154" i="71" s="1"/>
  <c r="W10" i="71"/>
  <c r="W11" i="71"/>
  <c r="W48" i="71" s="1"/>
  <c r="W12" i="71"/>
  <c r="W13" i="71"/>
  <c r="W158" i="71" s="1"/>
  <c r="W14" i="71"/>
  <c r="W159" i="71" s="1"/>
  <c r="W15" i="71"/>
  <c r="W160" i="71" s="1"/>
  <c r="W16" i="71"/>
  <c r="W161" i="71" s="1"/>
  <c r="W17" i="71"/>
  <c r="W162" i="71" s="1"/>
  <c r="W18" i="71"/>
  <c r="W19" i="71"/>
  <c r="W20" i="71"/>
  <c r="W21" i="71"/>
  <c r="W166" i="71" s="1"/>
  <c r="W22" i="71"/>
  <c r="W23" i="71"/>
  <c r="W60" i="71" s="1"/>
  <c r="W24" i="71"/>
  <c r="W61" i="71" s="1"/>
  <c r="W25" i="71"/>
  <c r="W170" i="71" s="1"/>
  <c r="W26" i="71"/>
  <c r="W171" i="71" s="1"/>
  <c r="W27" i="71"/>
  <c r="W172" i="71" s="1"/>
  <c r="W28" i="71"/>
  <c r="W173" i="71" s="1"/>
  <c r="W29" i="71"/>
  <c r="W30" i="71"/>
  <c r="W31" i="71"/>
  <c r="W32" i="71"/>
  <c r="W8" i="71"/>
  <c r="AB143" i="71"/>
  <c r="AA143" i="71"/>
  <c r="Z143" i="71"/>
  <c r="Y143" i="71"/>
  <c r="X143" i="71"/>
  <c r="AB142" i="71"/>
  <c r="AA142" i="71"/>
  <c r="Z142" i="71"/>
  <c r="Y142" i="71"/>
  <c r="X142" i="71"/>
  <c r="AB141" i="71"/>
  <c r="AA141" i="71"/>
  <c r="Z141" i="71"/>
  <c r="Y141" i="71"/>
  <c r="X141" i="71"/>
  <c r="AB140" i="71"/>
  <c r="AA140" i="71"/>
  <c r="Z140" i="71"/>
  <c r="Y140" i="71"/>
  <c r="X140" i="71"/>
  <c r="AB139" i="71"/>
  <c r="AA139" i="71"/>
  <c r="Z139" i="71"/>
  <c r="Y139" i="71"/>
  <c r="X139" i="71"/>
  <c r="AB138" i="71"/>
  <c r="AA138" i="71"/>
  <c r="Z138" i="71"/>
  <c r="Y138" i="71"/>
  <c r="X138" i="71"/>
  <c r="AB137" i="71"/>
  <c r="AA137" i="71"/>
  <c r="Z137" i="71"/>
  <c r="Y137" i="71"/>
  <c r="X137" i="71"/>
  <c r="AB136" i="71"/>
  <c r="AA136" i="71"/>
  <c r="Z136" i="71"/>
  <c r="Y136" i="71"/>
  <c r="X136" i="71"/>
  <c r="AB135" i="71"/>
  <c r="AA135" i="71"/>
  <c r="Z135" i="71"/>
  <c r="Y135" i="71"/>
  <c r="X135" i="71"/>
  <c r="AB134" i="71"/>
  <c r="AA134" i="71"/>
  <c r="Z134" i="71"/>
  <c r="Y134" i="71"/>
  <c r="X134" i="71"/>
  <c r="AB133" i="71"/>
  <c r="AA133" i="71"/>
  <c r="Z133" i="71"/>
  <c r="Y133" i="71"/>
  <c r="X133" i="71"/>
  <c r="AB132" i="71"/>
  <c r="AA132" i="71"/>
  <c r="Z132" i="71"/>
  <c r="Y132" i="71"/>
  <c r="X132" i="71"/>
  <c r="AB131" i="71"/>
  <c r="AA131" i="71"/>
  <c r="Z131" i="71"/>
  <c r="Y131" i="71"/>
  <c r="X131" i="71"/>
  <c r="W131" i="71"/>
  <c r="AB130" i="71"/>
  <c r="AA130" i="71"/>
  <c r="Z130" i="71"/>
  <c r="Y130" i="71"/>
  <c r="X130" i="71"/>
  <c r="AB129" i="71"/>
  <c r="AA129" i="71"/>
  <c r="Z129" i="71"/>
  <c r="Y129" i="71"/>
  <c r="X129" i="71"/>
  <c r="AB128" i="71"/>
  <c r="AA128" i="71"/>
  <c r="Z128" i="71"/>
  <c r="Y128" i="71"/>
  <c r="X128" i="71"/>
  <c r="AB127" i="71"/>
  <c r="AA127" i="71"/>
  <c r="Z127" i="71"/>
  <c r="Y127" i="71"/>
  <c r="X127" i="71"/>
  <c r="AB126" i="71"/>
  <c r="AA126" i="71"/>
  <c r="Z126" i="71"/>
  <c r="Y126" i="71"/>
  <c r="X126" i="71"/>
  <c r="AB125" i="71"/>
  <c r="AA125" i="71"/>
  <c r="Z125" i="71"/>
  <c r="Y125" i="71"/>
  <c r="X125" i="71"/>
  <c r="AB124" i="71"/>
  <c r="AA124" i="71"/>
  <c r="Z124" i="71"/>
  <c r="Y124" i="71"/>
  <c r="X124" i="71"/>
  <c r="AB123" i="71"/>
  <c r="AA123" i="71"/>
  <c r="Z123" i="71"/>
  <c r="Y123" i="71"/>
  <c r="X123" i="71"/>
  <c r="AB122" i="71"/>
  <c r="AA122" i="71"/>
  <c r="Z122" i="71"/>
  <c r="Y122" i="71"/>
  <c r="X122" i="71"/>
  <c r="AB121" i="71"/>
  <c r="AA121" i="71"/>
  <c r="Z121" i="71"/>
  <c r="Y121" i="71"/>
  <c r="X121" i="71"/>
  <c r="AB120" i="71"/>
  <c r="AA120" i="71"/>
  <c r="Z120" i="71"/>
  <c r="Y120" i="71"/>
  <c r="X120" i="71"/>
  <c r="AB119" i="71"/>
  <c r="AA119" i="71"/>
  <c r="Z119" i="71"/>
  <c r="Y119" i="71"/>
  <c r="X119" i="71"/>
  <c r="AB117" i="71"/>
  <c r="AA117" i="71"/>
  <c r="Z117" i="71"/>
  <c r="Y117" i="71"/>
  <c r="X117" i="71"/>
  <c r="AB106" i="71"/>
  <c r="AA106" i="71"/>
  <c r="Z106" i="71"/>
  <c r="Y106" i="71"/>
  <c r="X106" i="71"/>
  <c r="AB105" i="71"/>
  <c r="AA105" i="71"/>
  <c r="Z105" i="71"/>
  <c r="Y105" i="71"/>
  <c r="X105" i="71"/>
  <c r="AB104" i="71"/>
  <c r="AA104" i="71"/>
  <c r="Z104" i="71"/>
  <c r="Y104" i="71"/>
  <c r="X104" i="71"/>
  <c r="AB103" i="71"/>
  <c r="AA103" i="71"/>
  <c r="Z103" i="71"/>
  <c r="Y103" i="71"/>
  <c r="X103" i="71"/>
  <c r="AB102" i="71"/>
  <c r="AA102" i="71"/>
  <c r="Z102" i="71"/>
  <c r="Y102" i="71"/>
  <c r="X102" i="71"/>
  <c r="AB101" i="71"/>
  <c r="AA101" i="71"/>
  <c r="Z101" i="71"/>
  <c r="Y101" i="71"/>
  <c r="X101" i="71"/>
  <c r="AB100" i="71"/>
  <c r="AA100" i="71"/>
  <c r="Z100" i="71"/>
  <c r="Y100" i="71"/>
  <c r="X100" i="71"/>
  <c r="AB99" i="71"/>
  <c r="AA99" i="71"/>
  <c r="Z99" i="71"/>
  <c r="Y99" i="71"/>
  <c r="X99" i="71"/>
  <c r="AB98" i="71"/>
  <c r="AA98" i="71"/>
  <c r="Z98" i="71"/>
  <c r="Y98" i="71"/>
  <c r="X98" i="71"/>
  <c r="AB97" i="71"/>
  <c r="AA97" i="71"/>
  <c r="Z97" i="71"/>
  <c r="Y97" i="71"/>
  <c r="X97" i="71"/>
  <c r="AB96" i="71"/>
  <c r="AA96" i="71"/>
  <c r="Z96" i="71"/>
  <c r="Y96" i="71"/>
  <c r="X96" i="71"/>
  <c r="AB95" i="71"/>
  <c r="AA95" i="71"/>
  <c r="Z95" i="71"/>
  <c r="Y95" i="71"/>
  <c r="X95" i="71"/>
  <c r="AB94" i="71"/>
  <c r="AA94" i="71"/>
  <c r="Z94" i="71"/>
  <c r="Y94" i="71"/>
  <c r="X94" i="71"/>
  <c r="AB93" i="71"/>
  <c r="AA93" i="71"/>
  <c r="Z93" i="71"/>
  <c r="Y93" i="71"/>
  <c r="X93" i="71"/>
  <c r="AB92" i="71"/>
  <c r="AA92" i="71"/>
  <c r="Z92" i="71"/>
  <c r="Y92" i="71"/>
  <c r="X92" i="71"/>
  <c r="AB91" i="71"/>
  <c r="AA91" i="71"/>
  <c r="Y91" i="71"/>
  <c r="X91" i="71"/>
  <c r="AB90" i="71"/>
  <c r="AA90" i="71"/>
  <c r="Z90" i="71"/>
  <c r="Y90" i="71"/>
  <c r="X90" i="71"/>
  <c r="AE89" i="71"/>
  <c r="AB89" i="71"/>
  <c r="AA89" i="71"/>
  <c r="Z89" i="71"/>
  <c r="Y89" i="71"/>
  <c r="X89" i="71"/>
  <c r="AB88" i="71"/>
  <c r="AA88" i="71"/>
  <c r="Z88" i="71"/>
  <c r="Y88" i="71"/>
  <c r="X88" i="71"/>
  <c r="AB87" i="71"/>
  <c r="AA87" i="71"/>
  <c r="Z87" i="71"/>
  <c r="Y87" i="71"/>
  <c r="X87" i="71"/>
  <c r="AB86" i="71"/>
  <c r="AA86" i="71"/>
  <c r="Z86" i="71"/>
  <c r="Y86" i="71"/>
  <c r="X86" i="71"/>
  <c r="AB85" i="71"/>
  <c r="AA85" i="71"/>
  <c r="Z85" i="71"/>
  <c r="Y85" i="71"/>
  <c r="X85" i="71"/>
  <c r="AB84" i="71"/>
  <c r="AA84" i="71"/>
  <c r="Z84" i="71"/>
  <c r="Y84" i="71"/>
  <c r="X84" i="71"/>
  <c r="AB83" i="71"/>
  <c r="AA83" i="71"/>
  <c r="Z83" i="71"/>
  <c r="Y83" i="71"/>
  <c r="X83" i="71"/>
  <c r="AB82" i="71"/>
  <c r="AA82" i="71"/>
  <c r="Z82" i="71"/>
  <c r="Y82" i="71"/>
  <c r="X82" i="71"/>
  <c r="AB80" i="71"/>
  <c r="AA80" i="71"/>
  <c r="Z80" i="71"/>
  <c r="Y80" i="71"/>
  <c r="X80" i="71"/>
  <c r="AA68" i="71"/>
  <c r="Y68" i="71"/>
  <c r="AB65" i="71"/>
  <c r="AA64" i="71"/>
  <c r="Y64" i="71"/>
  <c r="W63" i="71"/>
  <c r="AB61" i="71"/>
  <c r="AA60" i="71"/>
  <c r="Y60" i="71"/>
  <c r="Y58" i="71"/>
  <c r="AB57" i="71"/>
  <c r="AA56" i="71"/>
  <c r="Y56" i="71"/>
  <c r="Y54" i="71"/>
  <c r="AB53" i="71"/>
  <c r="Y53" i="71"/>
  <c r="AA52" i="71"/>
  <c r="Y52" i="71"/>
  <c r="Y50" i="71"/>
  <c r="AB49" i="71"/>
  <c r="Y49" i="71"/>
  <c r="AA48" i="71"/>
  <c r="Y48" i="71"/>
  <c r="Y46" i="71"/>
  <c r="AB45" i="71"/>
  <c r="Y45" i="71"/>
  <c r="AF43" i="71"/>
  <c r="AF80" i="71" s="1"/>
  <c r="AE43" i="71"/>
  <c r="AE80" i="71" s="1"/>
  <c r="AD43" i="71"/>
  <c r="AD80" i="71" s="1"/>
  <c r="AB43" i="71"/>
  <c r="AA43" i="71"/>
  <c r="Z43" i="71"/>
  <c r="Y43" i="71"/>
  <c r="X43" i="71"/>
  <c r="AF42" i="71"/>
  <c r="AF79" i="71" s="1"/>
  <c r="AE42" i="71"/>
  <c r="AE79" i="71" s="1"/>
  <c r="AD42" i="71"/>
  <c r="AD79" i="71" s="1"/>
  <c r="AB146" i="71"/>
  <c r="Z146" i="71"/>
  <c r="Y109" i="71"/>
  <c r="X146" i="71"/>
  <c r="X109" i="71"/>
  <c r="AE106" i="71"/>
  <c r="AD32" i="71"/>
  <c r="AE68" i="71"/>
  <c r="AD31" i="71"/>
  <c r="AD68" i="71" s="1"/>
  <c r="AD105" i="71" s="1"/>
  <c r="AE67" i="71"/>
  <c r="AD30" i="71"/>
  <c r="AD67" i="71" s="1"/>
  <c r="AD104" i="71" s="1"/>
  <c r="AE66" i="71"/>
  <c r="AD29" i="71"/>
  <c r="AE102" i="71"/>
  <c r="AD28" i="71"/>
  <c r="AD65" i="71" s="1"/>
  <c r="AD102" i="71" s="1"/>
  <c r="AE64" i="71"/>
  <c r="AD27" i="71"/>
  <c r="AF27" i="71" s="1"/>
  <c r="AF64" i="71" s="1"/>
  <c r="AF101" i="71" s="1"/>
  <c r="W138" i="71"/>
  <c r="AE63" i="71"/>
  <c r="AD26" i="71"/>
  <c r="AF26" i="71" s="1"/>
  <c r="AF63" i="71" s="1"/>
  <c r="AF100" i="71" s="1"/>
  <c r="W100" i="71"/>
  <c r="AE62" i="71"/>
  <c r="AD25" i="71"/>
  <c r="AF25" i="71" s="1"/>
  <c r="AF62" i="71" s="1"/>
  <c r="AF99" i="71" s="1"/>
  <c r="W99" i="71"/>
  <c r="AE98" i="71"/>
  <c r="AD24" i="71"/>
  <c r="AD61" i="71" s="1"/>
  <c r="AD98" i="71" s="1"/>
  <c r="AE60" i="71"/>
  <c r="AD23" i="71"/>
  <c r="AF23" i="71" s="1"/>
  <c r="AF60" i="71" s="1"/>
  <c r="AF97" i="71" s="1"/>
  <c r="AE59" i="71"/>
  <c r="AD22" i="71"/>
  <c r="AD59" i="71" s="1"/>
  <c r="AD96" i="71" s="1"/>
  <c r="AE58" i="71"/>
  <c r="AD21" i="71"/>
  <c r="AD58" i="71" s="1"/>
  <c r="AD95" i="71" s="1"/>
  <c r="AE94" i="71"/>
  <c r="AD20" i="71"/>
  <c r="AF20" i="71" s="1"/>
  <c r="AF57" i="71" s="1"/>
  <c r="AF94" i="71" s="1"/>
  <c r="AE56" i="71"/>
  <c r="AD19" i="71"/>
  <c r="AD56" i="71" s="1"/>
  <c r="AD93" i="71" s="1"/>
  <c r="AE55" i="71"/>
  <c r="AD18" i="71"/>
  <c r="AF18" i="71" s="1"/>
  <c r="AF55" i="71" s="1"/>
  <c r="AF92" i="71" s="1"/>
  <c r="AE54" i="71"/>
  <c r="AD17" i="71"/>
  <c r="AF17" i="71" s="1"/>
  <c r="AF54" i="71" s="1"/>
  <c r="AF91" i="71" s="1"/>
  <c r="W91" i="71"/>
  <c r="AE90" i="71"/>
  <c r="AD16" i="71"/>
  <c r="AD53" i="71" s="1"/>
  <c r="AD90" i="71" s="1"/>
  <c r="AE52" i="71"/>
  <c r="AD15" i="71"/>
  <c r="AF15" i="71" s="1"/>
  <c r="AF52" i="71" s="1"/>
  <c r="AF89" i="71" s="1"/>
  <c r="AE51" i="71"/>
  <c r="AD14" i="71"/>
  <c r="AE50" i="71"/>
  <c r="AD13" i="71"/>
  <c r="AF13" i="71" s="1"/>
  <c r="AF50" i="71" s="1"/>
  <c r="AF87" i="71" s="1"/>
  <c r="AE86" i="71"/>
  <c r="AD12" i="71"/>
  <c r="AD49" i="71" s="1"/>
  <c r="AD86" i="71" s="1"/>
  <c r="AE48" i="71"/>
  <c r="AD11" i="71"/>
  <c r="AE47" i="71"/>
  <c r="AD10" i="71"/>
  <c r="AD47" i="71" s="1"/>
  <c r="AD84" i="71" s="1"/>
  <c r="AE46" i="71"/>
  <c r="AD9" i="71"/>
  <c r="W83" i="71"/>
  <c r="AE82" i="71"/>
  <c r="AD8" i="71"/>
  <c r="AF8" i="71" s="1"/>
  <c r="AD4" i="71"/>
  <c r="L112" i="71"/>
  <c r="L35" i="71"/>
  <c r="L9" i="71"/>
  <c r="L10" i="71"/>
  <c r="L11" i="71"/>
  <c r="L122" i="71" s="1"/>
  <c r="L12" i="71"/>
  <c r="L13" i="71"/>
  <c r="L158" i="71" s="1"/>
  <c r="L14" i="71"/>
  <c r="L159" i="71" s="1"/>
  <c r="L15" i="71"/>
  <c r="L160" i="71" s="1"/>
  <c r="L16" i="71"/>
  <c r="L17" i="71"/>
  <c r="L91" i="71" s="1"/>
  <c r="L18" i="71"/>
  <c r="L19" i="71"/>
  <c r="L164" i="71" s="1"/>
  <c r="L20" i="71"/>
  <c r="L165" i="71" s="1"/>
  <c r="L21" i="71"/>
  <c r="L166" i="71" s="1"/>
  <c r="L22" i="71"/>
  <c r="L23" i="71"/>
  <c r="L24" i="71"/>
  <c r="L25" i="71"/>
  <c r="L170" i="71" s="1"/>
  <c r="L26" i="71"/>
  <c r="L63" i="71" s="1"/>
  <c r="L27" i="71"/>
  <c r="L172" i="71" s="1"/>
  <c r="L28" i="71"/>
  <c r="L173" i="71" s="1"/>
  <c r="L29" i="71"/>
  <c r="L103" i="71" s="1"/>
  <c r="L30" i="71"/>
  <c r="L31" i="71"/>
  <c r="L176" i="71" s="1"/>
  <c r="L32" i="71"/>
  <c r="L69" i="71" s="1"/>
  <c r="L8" i="71"/>
  <c r="Q143" i="71"/>
  <c r="P143" i="71"/>
  <c r="O143" i="71"/>
  <c r="N143" i="71"/>
  <c r="M143" i="71"/>
  <c r="Q142" i="71"/>
  <c r="P142" i="71"/>
  <c r="O142" i="71"/>
  <c r="N142" i="71"/>
  <c r="M142" i="71"/>
  <c r="Q141" i="71"/>
  <c r="P141" i="71"/>
  <c r="O141" i="71"/>
  <c r="N141" i="71"/>
  <c r="M141" i="71"/>
  <c r="Q140" i="71"/>
  <c r="P140" i="71"/>
  <c r="O140" i="71"/>
  <c r="N140" i="71"/>
  <c r="M140" i="71"/>
  <c r="Q139" i="71"/>
  <c r="P139" i="71"/>
  <c r="O139" i="71"/>
  <c r="N139" i="71"/>
  <c r="M139" i="71"/>
  <c r="Q138" i="71"/>
  <c r="P138" i="71"/>
  <c r="O138" i="71"/>
  <c r="N138" i="71"/>
  <c r="M138" i="71"/>
  <c r="Q137" i="71"/>
  <c r="P137" i="71"/>
  <c r="O137" i="71"/>
  <c r="N137" i="71"/>
  <c r="M137" i="71"/>
  <c r="Q136" i="71"/>
  <c r="P136" i="71"/>
  <c r="O136" i="71"/>
  <c r="N136" i="71"/>
  <c r="M136" i="71"/>
  <c r="Q135" i="71"/>
  <c r="P135" i="71"/>
  <c r="O135" i="71"/>
  <c r="N135" i="71"/>
  <c r="M135" i="71"/>
  <c r="Q134" i="71"/>
  <c r="P134" i="71"/>
  <c r="O134" i="71"/>
  <c r="N134" i="71"/>
  <c r="M134" i="71"/>
  <c r="Q133" i="71"/>
  <c r="P133" i="71"/>
  <c r="O133" i="71"/>
  <c r="N133" i="71"/>
  <c r="M133" i="71"/>
  <c r="Q132" i="71"/>
  <c r="P132" i="71"/>
  <c r="O132" i="71"/>
  <c r="N132" i="71"/>
  <c r="M132" i="71"/>
  <c r="Q131" i="71"/>
  <c r="P131" i="71"/>
  <c r="O131" i="71"/>
  <c r="N131" i="71"/>
  <c r="M131" i="71"/>
  <c r="Q130" i="71"/>
  <c r="P130" i="71"/>
  <c r="O130" i="71"/>
  <c r="N130" i="71"/>
  <c r="M130" i="71"/>
  <c r="Q129" i="71"/>
  <c r="P129" i="71"/>
  <c r="O129" i="71"/>
  <c r="N129" i="71"/>
  <c r="M129" i="71"/>
  <c r="Q128" i="71"/>
  <c r="P128" i="71"/>
  <c r="O128" i="71"/>
  <c r="N128" i="71"/>
  <c r="M128" i="71"/>
  <c r="Q127" i="71"/>
  <c r="P127" i="71"/>
  <c r="O127" i="71"/>
  <c r="N127" i="71"/>
  <c r="M127" i="71"/>
  <c r="Q126" i="71"/>
  <c r="P126" i="71"/>
  <c r="O126" i="71"/>
  <c r="N126" i="71"/>
  <c r="M126" i="71"/>
  <c r="Q125" i="71"/>
  <c r="P125" i="71"/>
  <c r="O125" i="71"/>
  <c r="N125" i="71"/>
  <c r="M125" i="71"/>
  <c r="Q124" i="71"/>
  <c r="P124" i="71"/>
  <c r="O124" i="71"/>
  <c r="N124" i="71"/>
  <c r="M124" i="71"/>
  <c r="Q123" i="71"/>
  <c r="P123" i="71"/>
  <c r="O123" i="71"/>
  <c r="N123" i="71"/>
  <c r="M123" i="71"/>
  <c r="Q122" i="71"/>
  <c r="P122" i="71"/>
  <c r="O122" i="71"/>
  <c r="N122" i="71"/>
  <c r="M122" i="71"/>
  <c r="Q121" i="71"/>
  <c r="P121" i="71"/>
  <c r="O121" i="71"/>
  <c r="N121" i="71"/>
  <c r="M121" i="71"/>
  <c r="Q120" i="71"/>
  <c r="P120" i="71"/>
  <c r="O120" i="71"/>
  <c r="N120" i="71"/>
  <c r="M120" i="71"/>
  <c r="Q119" i="71"/>
  <c r="P119" i="71"/>
  <c r="O119" i="71"/>
  <c r="N119" i="71"/>
  <c r="M119" i="71"/>
  <c r="Q117" i="71"/>
  <c r="P117" i="71"/>
  <c r="O117" i="71"/>
  <c r="N117" i="71"/>
  <c r="M117" i="71"/>
  <c r="Q106" i="71"/>
  <c r="P106" i="71"/>
  <c r="O106" i="71"/>
  <c r="N106" i="71"/>
  <c r="M106" i="71"/>
  <c r="Q105" i="71"/>
  <c r="P105" i="71"/>
  <c r="O105" i="71"/>
  <c r="N105" i="71"/>
  <c r="M105" i="71"/>
  <c r="Q104" i="71"/>
  <c r="P104" i="71"/>
  <c r="O104" i="71"/>
  <c r="N104" i="71"/>
  <c r="M104" i="71"/>
  <c r="Q103" i="71"/>
  <c r="P103" i="71"/>
  <c r="O103" i="71"/>
  <c r="N103" i="71"/>
  <c r="M103" i="71"/>
  <c r="Q102" i="71"/>
  <c r="P102" i="71"/>
  <c r="O102" i="71"/>
  <c r="N102" i="71"/>
  <c r="M102" i="71"/>
  <c r="Q101" i="71"/>
  <c r="P101" i="71"/>
  <c r="O101" i="71"/>
  <c r="N101" i="71"/>
  <c r="M101" i="71"/>
  <c r="Q100" i="71"/>
  <c r="P100" i="71"/>
  <c r="O100" i="71"/>
  <c r="N100" i="71"/>
  <c r="M100" i="71"/>
  <c r="Q99" i="71"/>
  <c r="P99" i="71"/>
  <c r="O99" i="71"/>
  <c r="N99" i="71"/>
  <c r="M99" i="71"/>
  <c r="Q98" i="71"/>
  <c r="P98" i="71"/>
  <c r="O98" i="71"/>
  <c r="N98" i="71"/>
  <c r="M98" i="71"/>
  <c r="Q97" i="71"/>
  <c r="P97" i="71"/>
  <c r="O97" i="71"/>
  <c r="N97" i="71"/>
  <c r="M97" i="71"/>
  <c r="Q96" i="71"/>
  <c r="P96" i="71"/>
  <c r="O96" i="71"/>
  <c r="N96" i="71"/>
  <c r="M96" i="71"/>
  <c r="Q95" i="71"/>
  <c r="P95" i="71"/>
  <c r="O95" i="71"/>
  <c r="N95" i="71"/>
  <c r="M95" i="71"/>
  <c r="Q94" i="71"/>
  <c r="P94" i="71"/>
  <c r="O94" i="71"/>
  <c r="N94" i="71"/>
  <c r="M94" i="71"/>
  <c r="Q93" i="71"/>
  <c r="P93" i="71"/>
  <c r="O93" i="71"/>
  <c r="N93" i="71"/>
  <c r="M93" i="71"/>
  <c r="Q92" i="71"/>
  <c r="P92" i="71"/>
  <c r="O92" i="71"/>
  <c r="N92" i="71"/>
  <c r="M92" i="71"/>
  <c r="Q91" i="71"/>
  <c r="P91" i="71"/>
  <c r="O91" i="71"/>
  <c r="N91" i="71"/>
  <c r="M91" i="71"/>
  <c r="Q90" i="71"/>
  <c r="P90" i="71"/>
  <c r="O90" i="71"/>
  <c r="N90" i="71"/>
  <c r="M90" i="71"/>
  <c r="P89" i="71"/>
  <c r="O89" i="71"/>
  <c r="N89" i="71"/>
  <c r="M89" i="71"/>
  <c r="Q88" i="71"/>
  <c r="P88" i="71"/>
  <c r="O88" i="71"/>
  <c r="N88" i="71"/>
  <c r="M88" i="71"/>
  <c r="Q87" i="71"/>
  <c r="P87" i="71"/>
  <c r="O87" i="71"/>
  <c r="N87" i="71"/>
  <c r="M87" i="71"/>
  <c r="Q86" i="71"/>
  <c r="P86" i="71"/>
  <c r="O86" i="71"/>
  <c r="N86" i="71"/>
  <c r="M86" i="71"/>
  <c r="Q85" i="71"/>
  <c r="P85" i="71"/>
  <c r="O85" i="71"/>
  <c r="N85" i="71"/>
  <c r="M85" i="71"/>
  <c r="Q84" i="71"/>
  <c r="P84" i="71"/>
  <c r="O84" i="71"/>
  <c r="N84" i="71"/>
  <c r="M84" i="71"/>
  <c r="Q83" i="71"/>
  <c r="P83" i="71"/>
  <c r="O83" i="71"/>
  <c r="N83" i="71"/>
  <c r="M83" i="71"/>
  <c r="Q82" i="71"/>
  <c r="P82" i="71"/>
  <c r="O82" i="71"/>
  <c r="N82" i="71"/>
  <c r="M82" i="71"/>
  <c r="Q80" i="71"/>
  <c r="P80" i="71"/>
  <c r="O80" i="71"/>
  <c r="N80" i="71"/>
  <c r="M80" i="71"/>
  <c r="L51" i="71"/>
  <c r="U43" i="71"/>
  <c r="U80" i="71" s="1"/>
  <c r="T43" i="71"/>
  <c r="T80" i="71" s="1"/>
  <c r="S43" i="71"/>
  <c r="S80" i="71" s="1"/>
  <c r="Q43" i="71"/>
  <c r="P43" i="71"/>
  <c r="O43" i="71"/>
  <c r="N43" i="71"/>
  <c r="M43" i="71"/>
  <c r="U42" i="71"/>
  <c r="U79" i="71" s="1"/>
  <c r="T42" i="71"/>
  <c r="T79" i="71" s="1"/>
  <c r="S42" i="71"/>
  <c r="S79" i="71" s="1"/>
  <c r="Q72" i="71"/>
  <c r="M68" i="71"/>
  <c r="T106" i="71"/>
  <c r="S32" i="71"/>
  <c r="S69" i="71" s="1"/>
  <c r="S106" i="71" s="1"/>
  <c r="T68" i="71"/>
  <c r="S31" i="71"/>
  <c r="T67" i="71"/>
  <c r="S30" i="71"/>
  <c r="S67" i="71" s="1"/>
  <c r="S104" i="71" s="1"/>
  <c r="T66" i="71"/>
  <c r="S29" i="71"/>
  <c r="S66" i="71" s="1"/>
  <c r="S103" i="71" s="1"/>
  <c r="T102" i="71"/>
  <c r="S28" i="71"/>
  <c r="S65" i="71" s="1"/>
  <c r="S102" i="71" s="1"/>
  <c r="T64" i="71"/>
  <c r="S27" i="71"/>
  <c r="S64" i="71" s="1"/>
  <c r="S101" i="71" s="1"/>
  <c r="T63" i="71"/>
  <c r="S26" i="71"/>
  <c r="S63" i="71" s="1"/>
  <c r="S100" i="71" s="1"/>
  <c r="T62" i="71"/>
  <c r="S25" i="71"/>
  <c r="S62" i="71" s="1"/>
  <c r="S99" i="71" s="1"/>
  <c r="L99" i="71"/>
  <c r="T98" i="71"/>
  <c r="S24" i="71"/>
  <c r="U24" i="71" s="1"/>
  <c r="U61" i="71" s="1"/>
  <c r="U98" i="71" s="1"/>
  <c r="T97" i="71"/>
  <c r="S23" i="71"/>
  <c r="S60" i="71" s="1"/>
  <c r="S97" i="71" s="1"/>
  <c r="T59" i="71"/>
  <c r="S22" i="71"/>
  <c r="S59" i="71" s="1"/>
  <c r="S96" i="71" s="1"/>
  <c r="T58" i="71"/>
  <c r="S21" i="71"/>
  <c r="S58" i="71" s="1"/>
  <c r="S95" i="71" s="1"/>
  <c r="T94" i="71"/>
  <c r="S20" i="71"/>
  <c r="S57" i="71" s="1"/>
  <c r="S94" i="71" s="1"/>
  <c r="T56" i="71"/>
  <c r="S19" i="71"/>
  <c r="S56" i="71" s="1"/>
  <c r="S93" i="71" s="1"/>
  <c r="T55" i="71"/>
  <c r="S18" i="71"/>
  <c r="S55" i="71" s="1"/>
  <c r="S92" i="71" s="1"/>
  <c r="T54" i="71"/>
  <c r="S17" i="71"/>
  <c r="S54" i="71" s="1"/>
  <c r="S91" i="71" s="1"/>
  <c r="T90" i="71"/>
  <c r="S16" i="71"/>
  <c r="S53" i="71" s="1"/>
  <c r="S90" i="71" s="1"/>
  <c r="T52" i="71"/>
  <c r="S15" i="71"/>
  <c r="S52" i="71" s="1"/>
  <c r="S89" i="71" s="1"/>
  <c r="T51" i="71"/>
  <c r="S14" i="71"/>
  <c r="S51" i="71" s="1"/>
  <c r="S88" i="71" s="1"/>
  <c r="L88" i="71"/>
  <c r="T50" i="71"/>
  <c r="S13" i="71"/>
  <c r="S50" i="71" s="1"/>
  <c r="S87" i="71" s="1"/>
  <c r="T86" i="71"/>
  <c r="S12" i="71"/>
  <c r="S49" i="71" s="1"/>
  <c r="S86" i="71" s="1"/>
  <c r="T85" i="71"/>
  <c r="S11" i="71"/>
  <c r="S48" i="71" s="1"/>
  <c r="S85" i="71" s="1"/>
  <c r="T47" i="71"/>
  <c r="S10" i="71"/>
  <c r="S47" i="71" s="1"/>
  <c r="S84" i="71" s="1"/>
  <c r="T46" i="71"/>
  <c r="S9" i="71"/>
  <c r="S46" i="71" s="1"/>
  <c r="S83" i="71" s="1"/>
  <c r="T82" i="71"/>
  <c r="S8" i="71"/>
  <c r="S45" i="71" s="1"/>
  <c r="S82" i="71" s="1"/>
  <c r="S4" i="71"/>
  <c r="Y6" i="16"/>
  <c r="Z6" i="16"/>
  <c r="AA6" i="16"/>
  <c r="AA79" i="16" s="1"/>
  <c r="AB6" i="16"/>
  <c r="X6" i="16"/>
  <c r="X79" i="16" s="1"/>
  <c r="W18" i="16"/>
  <c r="W90" i="16" s="1"/>
  <c r="W9" i="16"/>
  <c r="W81" i="16" s="1"/>
  <c r="W10" i="16"/>
  <c r="W82" i="16" s="1"/>
  <c r="W11" i="16"/>
  <c r="W83" i="16" s="1"/>
  <c r="W12" i="16"/>
  <c r="W84" i="16" s="1"/>
  <c r="W13" i="16"/>
  <c r="W85" i="16" s="1"/>
  <c r="W14" i="16"/>
  <c r="W86" i="16" s="1"/>
  <c r="W15" i="16"/>
  <c r="W87" i="16" s="1"/>
  <c r="W16" i="16"/>
  <c r="W8" i="16"/>
  <c r="W80" i="16" s="1"/>
  <c r="AF44" i="16"/>
  <c r="AE44" i="16"/>
  <c r="AD44" i="16"/>
  <c r="AF43" i="16"/>
  <c r="AE43" i="16"/>
  <c r="AD43" i="16"/>
  <c r="AF24" i="16"/>
  <c r="AE24" i="16"/>
  <c r="AD24" i="16"/>
  <c r="AF23" i="16"/>
  <c r="AE23" i="16"/>
  <c r="AD23" i="16"/>
  <c r="W88" i="16"/>
  <c r="N6" i="16"/>
  <c r="O6" i="16"/>
  <c r="P6" i="16"/>
  <c r="P24" i="16" s="1"/>
  <c r="Q6" i="16"/>
  <c r="M6" i="16"/>
  <c r="W1" i="16" s="1"/>
  <c r="L18" i="16"/>
  <c r="L90" i="16" s="1"/>
  <c r="L9" i="16"/>
  <c r="L10" i="16"/>
  <c r="L11" i="16"/>
  <c r="L83" i="16" s="1"/>
  <c r="L12" i="16"/>
  <c r="L84" i="16" s="1"/>
  <c r="L13" i="16"/>
  <c r="L14" i="16"/>
  <c r="L86" i="16" s="1"/>
  <c r="L15" i="16"/>
  <c r="L87" i="16" s="1"/>
  <c r="L16" i="16"/>
  <c r="L88" i="16" s="1"/>
  <c r="L8" i="16"/>
  <c r="L80" i="16" s="1"/>
  <c r="U44" i="16"/>
  <c r="T44" i="16"/>
  <c r="S44" i="16"/>
  <c r="U43" i="16"/>
  <c r="T43" i="16"/>
  <c r="S43" i="16"/>
  <c r="U24" i="16"/>
  <c r="T24" i="16"/>
  <c r="S24" i="16"/>
  <c r="U23" i="16"/>
  <c r="T23" i="16"/>
  <c r="S23" i="16"/>
  <c r="L85" i="16"/>
  <c r="L82" i="16"/>
  <c r="L81" i="16"/>
  <c r="A79" i="108" l="1"/>
  <c r="A40" i="108"/>
  <c r="A1" i="108"/>
  <c r="P48" i="16"/>
  <c r="AU28" i="109"/>
  <c r="AU27" i="109"/>
  <c r="AP54" i="109"/>
  <c r="AU36" i="109"/>
  <c r="AU33" i="109"/>
  <c r="AU32" i="109"/>
  <c r="AU31" i="109"/>
  <c r="AP27" i="109"/>
  <c r="AP28" i="109"/>
  <c r="AP29" i="109"/>
  <c r="AP30" i="109"/>
  <c r="AP31" i="109"/>
  <c r="AP32" i="109"/>
  <c r="AP33" i="109"/>
  <c r="AP34" i="109"/>
  <c r="AU26" i="109"/>
  <c r="AK26" i="109"/>
  <c r="Z79" i="16"/>
  <c r="AD85" i="16"/>
  <c r="W126" i="71"/>
  <c r="W135" i="71"/>
  <c r="W52" i="71"/>
  <c r="W90" i="71"/>
  <c r="L131" i="71"/>
  <c r="L126" i="71"/>
  <c r="L57" i="71"/>
  <c r="W88" i="71"/>
  <c r="M79" i="16"/>
  <c r="W39" i="16"/>
  <c r="W125" i="71"/>
  <c r="W137" i="71"/>
  <c r="L68" i="71"/>
  <c r="W51" i="71"/>
  <c r="W127" i="71"/>
  <c r="L65" i="71"/>
  <c r="W53" i="71"/>
  <c r="M41" i="108"/>
  <c r="M25" i="108"/>
  <c r="M19" i="108"/>
  <c r="M33" i="108"/>
  <c r="W64" i="71"/>
  <c r="L87" i="71"/>
  <c r="L56" i="71"/>
  <c r="W95" i="71"/>
  <c r="W102" i="71"/>
  <c r="L52" i="71"/>
  <c r="W65" i="71"/>
  <c r="W87" i="71"/>
  <c r="L138" i="71"/>
  <c r="L64" i="71"/>
  <c r="L95" i="71"/>
  <c r="L48" i="71"/>
  <c r="L156" i="71"/>
  <c r="W56" i="71"/>
  <c r="W164" i="71"/>
  <c r="W122" i="71"/>
  <c r="W156" i="71"/>
  <c r="M36" i="108"/>
  <c r="AG31" i="109"/>
  <c r="AG48" i="109"/>
  <c r="L100" i="71"/>
  <c r="L171" i="71"/>
  <c r="L55" i="71"/>
  <c r="L163" i="71"/>
  <c r="L84" i="71"/>
  <c r="L155" i="71"/>
  <c r="W55" i="71"/>
  <c r="W163" i="71"/>
  <c r="W121" i="71"/>
  <c r="W155" i="71"/>
  <c r="AG28" i="109"/>
  <c r="AG45" i="109"/>
  <c r="AG54" i="109"/>
  <c r="L45" i="71"/>
  <c r="L153" i="71"/>
  <c r="L54" i="71"/>
  <c r="L162" i="71"/>
  <c r="L83" i="71"/>
  <c r="L154" i="71"/>
  <c r="W119" i="71"/>
  <c r="W153" i="71"/>
  <c r="Q44" i="109"/>
  <c r="Q46" i="109"/>
  <c r="Q48" i="109"/>
  <c r="Q50" i="109"/>
  <c r="Q52" i="109"/>
  <c r="AG33" i="109"/>
  <c r="AG50" i="109"/>
  <c r="L143" i="71"/>
  <c r="L177" i="71"/>
  <c r="L135" i="71"/>
  <c r="L169" i="71"/>
  <c r="L53" i="71"/>
  <c r="L161" i="71"/>
  <c r="L109" i="71"/>
  <c r="L180" i="71"/>
  <c r="W106" i="71"/>
  <c r="W177" i="71"/>
  <c r="W98" i="71"/>
  <c r="W169" i="71"/>
  <c r="W109" i="71"/>
  <c r="W180" i="71"/>
  <c r="M24" i="108"/>
  <c r="AG30" i="109"/>
  <c r="AG47" i="109"/>
  <c r="L134" i="71"/>
  <c r="L168" i="71"/>
  <c r="W68" i="71"/>
  <c r="W176" i="71"/>
  <c r="W134" i="71"/>
  <c r="W168" i="71"/>
  <c r="M23" i="108"/>
  <c r="AG27" i="109"/>
  <c r="AG36" i="109"/>
  <c r="AG44" i="109"/>
  <c r="AG52" i="109"/>
  <c r="L67" i="71"/>
  <c r="L175" i="71"/>
  <c r="L96" i="71"/>
  <c r="L167" i="71"/>
  <c r="W141" i="71"/>
  <c r="W175" i="71"/>
  <c r="W133" i="71"/>
  <c r="W167" i="71"/>
  <c r="M22" i="108"/>
  <c r="AG32" i="109"/>
  <c r="AG49" i="109"/>
  <c r="L66" i="71"/>
  <c r="L174" i="71"/>
  <c r="W103" i="71"/>
  <c r="W174" i="71"/>
  <c r="Q45" i="109"/>
  <c r="Q47" i="109"/>
  <c r="Q49" i="109"/>
  <c r="Q51" i="109"/>
  <c r="Q54" i="109"/>
  <c r="AG29" i="109"/>
  <c r="AG46" i="109"/>
  <c r="L123" i="71"/>
  <c r="L157" i="71"/>
  <c r="W57" i="71"/>
  <c r="W165" i="71"/>
  <c r="W49" i="71"/>
  <c r="W157" i="71"/>
  <c r="Q26" i="109"/>
  <c r="Q33" i="109"/>
  <c r="Q34" i="109"/>
  <c r="T101" i="71"/>
  <c r="AF11" i="71"/>
  <c r="AF48" i="71" s="1"/>
  <c r="AF85" i="71" s="1"/>
  <c r="AE45" i="71"/>
  <c r="AE69" i="71"/>
  <c r="AE53" i="71"/>
  <c r="AE61" i="71"/>
  <c r="AE105" i="71"/>
  <c r="AF32" i="71"/>
  <c r="AF69" i="71" s="1"/>
  <c r="AF106" i="71" s="1"/>
  <c r="AE85" i="71"/>
  <c r="T93" i="71"/>
  <c r="AE101" i="71"/>
  <c r="AE49" i="71"/>
  <c r="U31" i="71"/>
  <c r="U68" i="71" s="1"/>
  <c r="U105" i="71" s="1"/>
  <c r="T89" i="71"/>
  <c r="T105" i="71"/>
  <c r="AF9" i="71"/>
  <c r="AF46" i="71" s="1"/>
  <c r="AF83" i="71" s="1"/>
  <c r="AF14" i="71"/>
  <c r="AF51" i="71" s="1"/>
  <c r="AF88" i="71" s="1"/>
  <c r="AE57" i="71"/>
  <c r="AE97" i="71"/>
  <c r="AE65" i="71"/>
  <c r="AF29" i="71"/>
  <c r="AF66" i="71" s="1"/>
  <c r="AF103" i="71" s="1"/>
  <c r="AE93" i="71"/>
  <c r="O31" i="109"/>
  <c r="E51" i="109"/>
  <c r="O54" i="109"/>
  <c r="O27" i="109"/>
  <c r="O34" i="109"/>
  <c r="AF21" i="71"/>
  <c r="AF58" i="71" s="1"/>
  <c r="AF95" i="71" s="1"/>
  <c r="AD69" i="71"/>
  <c r="AD106" i="71" s="1"/>
  <c r="AF12" i="71"/>
  <c r="AF49" i="71" s="1"/>
  <c r="AF86" i="71" s="1"/>
  <c r="AF30" i="71"/>
  <c r="AF67" i="71" s="1"/>
  <c r="AF104" i="71" s="1"/>
  <c r="E30" i="109"/>
  <c r="J34" i="109"/>
  <c r="E29" i="109"/>
  <c r="AD66" i="71"/>
  <c r="AD103" i="71" s="1"/>
  <c r="P79" i="16"/>
  <c r="AD54" i="71"/>
  <c r="AD91" i="71" s="1"/>
  <c r="AD62" i="71"/>
  <c r="AD99" i="71" s="1"/>
  <c r="AD50" i="71"/>
  <c r="AD87" i="71" s="1"/>
  <c r="AD63" i="71"/>
  <c r="AD100" i="71" s="1"/>
  <c r="X53" i="16"/>
  <c r="S61" i="71"/>
  <c r="S98" i="71" s="1"/>
  <c r="AD45" i="71"/>
  <c r="AD82" i="71" s="1"/>
  <c r="AD51" i="71"/>
  <c r="AD88" i="71" s="1"/>
  <c r="AD57" i="71"/>
  <c r="AD94" i="71" s="1"/>
  <c r="E36" i="109"/>
  <c r="E28" i="109"/>
  <c r="O26" i="109"/>
  <c r="O36" i="109"/>
  <c r="O28" i="109"/>
  <c r="O32" i="109"/>
  <c r="O30" i="109"/>
  <c r="E31" i="109"/>
  <c r="O49" i="109"/>
  <c r="E45" i="109"/>
  <c r="J33" i="109"/>
  <c r="J54" i="109"/>
  <c r="J29" i="109"/>
  <c r="J27" i="109"/>
  <c r="E54" i="109"/>
  <c r="J28" i="109"/>
  <c r="J30" i="109"/>
  <c r="J36" i="109"/>
  <c r="J31" i="109"/>
  <c r="J51" i="109"/>
  <c r="E33" i="109"/>
  <c r="E27" i="109"/>
  <c r="O47" i="109"/>
  <c r="J44" i="109"/>
  <c r="O46" i="109"/>
  <c r="E49" i="109"/>
  <c r="E46" i="109"/>
  <c r="E52" i="109"/>
  <c r="J46" i="109"/>
  <c r="E48" i="109"/>
  <c r="J52" i="109"/>
  <c r="N16" i="108"/>
  <c r="Q45" i="71"/>
  <c r="Q46" i="71"/>
  <c r="Q48" i="71"/>
  <c r="Q49" i="71"/>
  <c r="Q64" i="71"/>
  <c r="Q65" i="71"/>
  <c r="U18" i="71"/>
  <c r="U55" i="71" s="1"/>
  <c r="U92" i="71" s="1"/>
  <c r="Q53" i="71"/>
  <c r="Q68" i="71"/>
  <c r="M146" i="71"/>
  <c r="Q56" i="71"/>
  <c r="Q60" i="71"/>
  <c r="U12" i="71"/>
  <c r="U49" i="71" s="1"/>
  <c r="U86" i="71" s="1"/>
  <c r="N31" i="108"/>
  <c r="N49" i="71"/>
  <c r="U9" i="71"/>
  <c r="U46" i="71" s="1"/>
  <c r="U83" i="71" s="1"/>
  <c r="U21" i="71"/>
  <c r="U58" i="71" s="1"/>
  <c r="U95" i="71" s="1"/>
  <c r="N55" i="71"/>
  <c r="S4" i="16"/>
  <c r="S42" i="16" s="1"/>
  <c r="O79" i="16"/>
  <c r="U30" i="71"/>
  <c r="U67" i="71" s="1"/>
  <c r="U104" i="71" s="1"/>
  <c r="N45" i="71"/>
  <c r="N56" i="71"/>
  <c r="Q61" i="71"/>
  <c r="N67" i="71"/>
  <c r="N68" i="71"/>
  <c r="P146" i="71"/>
  <c r="N51" i="71"/>
  <c r="M109" i="71"/>
  <c r="U27" i="71"/>
  <c r="U64" i="71" s="1"/>
  <c r="U101" i="71" s="1"/>
  <c r="S68" i="71"/>
  <c r="S105" i="71" s="1"/>
  <c r="U11" i="71"/>
  <c r="U48" i="71" s="1"/>
  <c r="U85" i="71" s="1"/>
  <c r="N47" i="71"/>
  <c r="N57" i="71"/>
  <c r="N63" i="71"/>
  <c r="U15" i="71"/>
  <c r="U52" i="71" s="1"/>
  <c r="U89" i="71" s="1"/>
  <c r="N52" i="71"/>
  <c r="Q57" i="71"/>
  <c r="Q69" i="71"/>
  <c r="U23" i="71"/>
  <c r="U60" i="71" s="1"/>
  <c r="U97" i="71" s="1"/>
  <c r="N48" i="71"/>
  <c r="Q52" i="71"/>
  <c r="N53" i="71"/>
  <c r="N59" i="71"/>
  <c r="N64" i="71"/>
  <c r="N60" i="71"/>
  <c r="O146" i="71"/>
  <c r="O52" i="109"/>
  <c r="E50" i="109"/>
  <c r="J48" i="109"/>
  <c r="J32" i="109"/>
  <c r="E32" i="109"/>
  <c r="O48" i="109"/>
  <c r="E34" i="109"/>
  <c r="O44" i="109"/>
  <c r="E26" i="109"/>
  <c r="X52" i="109"/>
  <c r="O41" i="108" s="1"/>
  <c r="AD50" i="109"/>
  <c r="Y50" i="109"/>
  <c r="N39" i="108" s="1"/>
  <c r="R48" i="109"/>
  <c r="AB48" i="109"/>
  <c r="S50" i="109"/>
  <c r="AE26" i="109"/>
  <c r="AE44" i="109"/>
  <c r="Z44" i="109"/>
  <c r="Y45" i="109"/>
  <c r="N34" i="108" s="1"/>
  <c r="R51" i="109"/>
  <c r="Y47" i="109"/>
  <c r="N36" i="108" s="1"/>
  <c r="Y49" i="109"/>
  <c r="N38" i="108" s="1"/>
  <c r="AD46" i="109"/>
  <c r="Y51" i="109"/>
  <c r="N40" i="108" s="1"/>
  <c r="Y52" i="109"/>
  <c r="N41" i="108" s="1"/>
  <c r="AB51" i="109"/>
  <c r="A30" i="109"/>
  <c r="A27" i="109"/>
  <c r="A45" i="109"/>
  <c r="A49" i="109"/>
  <c r="A31" i="109"/>
  <c r="A54" i="109"/>
  <c r="A36" i="109"/>
  <c r="A47" i="109"/>
  <c r="A29" i="109"/>
  <c r="A33" i="109"/>
  <c r="A51" i="109"/>
  <c r="A44" i="109"/>
  <c r="A48" i="109"/>
  <c r="A52" i="109"/>
  <c r="A26" i="109"/>
  <c r="A46" i="109"/>
  <c r="A28" i="109"/>
  <c r="A50" i="109"/>
  <c r="A32" i="109"/>
  <c r="A34" i="109"/>
  <c r="W75" i="71"/>
  <c r="W104" i="71"/>
  <c r="W47" i="71"/>
  <c r="W92" i="71"/>
  <c r="W59" i="71"/>
  <c r="W94" i="71"/>
  <c r="W129" i="71"/>
  <c r="W130" i="71"/>
  <c r="W142" i="71"/>
  <c r="W86" i="71"/>
  <c r="W123" i="71"/>
  <c r="W67" i="71"/>
  <c r="W143" i="71"/>
  <c r="W69" i="71"/>
  <c r="W45" i="71"/>
  <c r="W82" i="71"/>
  <c r="AF45" i="71"/>
  <c r="AF82" i="71" s="1"/>
  <c r="X47" i="71"/>
  <c r="X55" i="71"/>
  <c r="Z109" i="71"/>
  <c r="AD35" i="71"/>
  <c r="AD72" i="71" s="1"/>
  <c r="AD109" i="71" s="1"/>
  <c r="Y47" i="71"/>
  <c r="AB48" i="71"/>
  <c r="Y51" i="71"/>
  <c r="AB52" i="71"/>
  <c r="Y55" i="71"/>
  <c r="AB56" i="71"/>
  <c r="Y59" i="71"/>
  <c r="AB60" i="71"/>
  <c r="Y63" i="71"/>
  <c r="AB64" i="71"/>
  <c r="Y67" i="71"/>
  <c r="AB68" i="71"/>
  <c r="AE84" i="71"/>
  <c r="AE88" i="71"/>
  <c r="AE92" i="71"/>
  <c r="AE96" i="71"/>
  <c r="AE100" i="71"/>
  <c r="AE104" i="71"/>
  <c r="AA109" i="71"/>
  <c r="AF10" i="71"/>
  <c r="AF47" i="71" s="1"/>
  <c r="AF84" i="71" s="1"/>
  <c r="AF16" i="71"/>
  <c r="AF53" i="71" s="1"/>
  <c r="AF90" i="71" s="1"/>
  <c r="AF19" i="71"/>
  <c r="AF56" i="71" s="1"/>
  <c r="AF93" i="71" s="1"/>
  <c r="AF22" i="71"/>
  <c r="AF59" i="71" s="1"/>
  <c r="AF96" i="71" s="1"/>
  <c r="AF28" i="71"/>
  <c r="AF65" i="71" s="1"/>
  <c r="AF102" i="71" s="1"/>
  <c r="AF31" i="71"/>
  <c r="AF68" i="71" s="1"/>
  <c r="AF105" i="71" s="1"/>
  <c r="AE72" i="71"/>
  <c r="W46" i="71"/>
  <c r="Z47" i="71"/>
  <c r="AD48" i="71"/>
  <c r="AD85" i="71" s="1"/>
  <c r="W50" i="71"/>
  <c r="Z51" i="71"/>
  <c r="AD52" i="71"/>
  <c r="AD89" i="71" s="1"/>
  <c r="W54" i="71"/>
  <c r="Z55" i="71"/>
  <c r="W58" i="71"/>
  <c r="Z59" i="71"/>
  <c r="AD60" i="71"/>
  <c r="AD97" i="71" s="1"/>
  <c r="W62" i="71"/>
  <c r="Z63" i="71"/>
  <c r="AD64" i="71"/>
  <c r="AD101" i="71" s="1"/>
  <c r="W66" i="71"/>
  <c r="Z67" i="71"/>
  <c r="W72" i="71"/>
  <c r="AB109" i="71"/>
  <c r="X63" i="71"/>
  <c r="X82" i="16"/>
  <c r="AA84" i="16"/>
  <c r="X46" i="71"/>
  <c r="AA47" i="71"/>
  <c r="X50" i="71"/>
  <c r="AA51" i="71"/>
  <c r="X54" i="71"/>
  <c r="AA55" i="71"/>
  <c r="X58" i="71"/>
  <c r="AA59" i="71"/>
  <c r="X62" i="71"/>
  <c r="AA63" i="71"/>
  <c r="X66" i="71"/>
  <c r="AA67" i="71"/>
  <c r="X72" i="71"/>
  <c r="W85" i="71"/>
  <c r="W89" i="71"/>
  <c r="W93" i="71"/>
  <c r="W97" i="71"/>
  <c r="W101" i="71"/>
  <c r="W105" i="71"/>
  <c r="X51" i="71"/>
  <c r="X59" i="71"/>
  <c r="X67" i="71"/>
  <c r="W139" i="71"/>
  <c r="X83" i="16"/>
  <c r="Z72" i="16"/>
  <c r="W38" i="71"/>
  <c r="AB47" i="71"/>
  <c r="AB51" i="71"/>
  <c r="AB55" i="71"/>
  <c r="AB59" i="71"/>
  <c r="Y62" i="71"/>
  <c r="AB63" i="71"/>
  <c r="Y66" i="71"/>
  <c r="AB67" i="71"/>
  <c r="Y72" i="71"/>
  <c r="AE83" i="71"/>
  <c r="AE87" i="71"/>
  <c r="AE91" i="71"/>
  <c r="AE95" i="71"/>
  <c r="AE99" i="71"/>
  <c r="AE103" i="71"/>
  <c r="Z46" i="71"/>
  <c r="Z50" i="71"/>
  <c r="Z54" i="71"/>
  <c r="AD55" i="71"/>
  <c r="AD92" i="71" s="1"/>
  <c r="Z58" i="71"/>
  <c r="Z62" i="71"/>
  <c r="Z66" i="71"/>
  <c r="Z72" i="71"/>
  <c r="X84" i="16"/>
  <c r="AE34" i="16"/>
  <c r="X45" i="71"/>
  <c r="AA46" i="71"/>
  <c r="X49" i="71"/>
  <c r="AA50" i="71"/>
  <c r="X53" i="71"/>
  <c r="AA54" i="71"/>
  <c r="X57" i="71"/>
  <c r="AA58" i="71"/>
  <c r="X61" i="71"/>
  <c r="AA62" i="71"/>
  <c r="X65" i="71"/>
  <c r="AA66" i="71"/>
  <c r="X69" i="71"/>
  <c r="AA72" i="71"/>
  <c r="W84" i="71"/>
  <c r="W96" i="71"/>
  <c r="W120" i="71"/>
  <c r="W124" i="71"/>
  <c r="W128" i="71"/>
  <c r="W132" i="71"/>
  <c r="W136" i="71"/>
  <c r="W140" i="71"/>
  <c r="W146" i="71"/>
  <c r="X85" i="16"/>
  <c r="X86" i="16"/>
  <c r="AB46" i="71"/>
  <c r="AB50" i="71"/>
  <c r="AB54" i="71"/>
  <c r="Y57" i="71"/>
  <c r="AB58" i="71"/>
  <c r="Y61" i="71"/>
  <c r="AB62" i="71"/>
  <c r="Y65" i="71"/>
  <c r="AB66" i="71"/>
  <c r="Y69" i="71"/>
  <c r="AB72" i="71"/>
  <c r="AD46" i="71"/>
  <c r="AD83" i="71" s="1"/>
  <c r="Z53" i="71"/>
  <c r="Z57" i="71"/>
  <c r="Z61" i="71"/>
  <c r="Z69" i="71"/>
  <c r="Y146" i="71"/>
  <c r="Z45" i="71"/>
  <c r="Z49" i="71"/>
  <c r="Z65" i="71"/>
  <c r="AA45" i="71"/>
  <c r="X48" i="71"/>
  <c r="AA49" i="71"/>
  <c r="X52" i="71"/>
  <c r="AA53" i="71"/>
  <c r="X56" i="71"/>
  <c r="AA57" i="71"/>
  <c r="X60" i="71"/>
  <c r="AA61" i="71"/>
  <c r="X64" i="71"/>
  <c r="AA65" i="71"/>
  <c r="X68" i="71"/>
  <c r="AA69" i="71"/>
  <c r="AF24" i="71"/>
  <c r="AF61" i="71" s="1"/>
  <c r="AF98" i="71" s="1"/>
  <c r="AB69" i="71"/>
  <c r="AA146" i="71"/>
  <c r="Z48" i="71"/>
  <c r="Z52" i="71"/>
  <c r="Z56" i="71"/>
  <c r="Z60" i="71"/>
  <c r="Z64" i="71"/>
  <c r="Z68" i="71"/>
  <c r="L75" i="71"/>
  <c r="L60" i="71"/>
  <c r="L92" i="71"/>
  <c r="L46" i="71"/>
  <c r="L49" i="71"/>
  <c r="L61" i="71"/>
  <c r="L104" i="71"/>
  <c r="L119" i="71"/>
  <c r="O52" i="71"/>
  <c r="O60" i="71"/>
  <c r="Q146" i="71"/>
  <c r="T45" i="71"/>
  <c r="M47" i="71"/>
  <c r="P48" i="71"/>
  <c r="T49" i="71"/>
  <c r="M51" i="71"/>
  <c r="P52" i="71"/>
  <c r="T53" i="71"/>
  <c r="M55" i="71"/>
  <c r="P56" i="71"/>
  <c r="T57" i="71"/>
  <c r="M59" i="71"/>
  <c r="P60" i="71"/>
  <c r="T61" i="71"/>
  <c r="M63" i="71"/>
  <c r="P64" i="71"/>
  <c r="T65" i="71"/>
  <c r="M67" i="71"/>
  <c r="P68" i="71"/>
  <c r="T69" i="71"/>
  <c r="L82" i="71"/>
  <c r="L86" i="71"/>
  <c r="L90" i="71"/>
  <c r="L94" i="71"/>
  <c r="L98" i="71"/>
  <c r="L102" i="71"/>
  <c r="L106" i="71"/>
  <c r="O109" i="71"/>
  <c r="L121" i="71"/>
  <c r="L125" i="71"/>
  <c r="L127" i="71"/>
  <c r="L129" i="71"/>
  <c r="L133" i="71"/>
  <c r="L137" i="71"/>
  <c r="L139" i="71"/>
  <c r="L141" i="71"/>
  <c r="L47" i="71"/>
  <c r="S72" i="71"/>
  <c r="S109" i="71" s="1"/>
  <c r="T84" i="71"/>
  <c r="T88" i="71"/>
  <c r="T92" i="71"/>
  <c r="T96" i="71"/>
  <c r="T100" i="71"/>
  <c r="T104" i="71"/>
  <c r="P109" i="71"/>
  <c r="M82" i="16"/>
  <c r="U10" i="71"/>
  <c r="U47" i="71" s="1"/>
  <c r="U84" i="71" s="1"/>
  <c r="U13" i="71"/>
  <c r="U50" i="71" s="1"/>
  <c r="U87" i="71" s="1"/>
  <c r="U16" i="71"/>
  <c r="U53" i="71" s="1"/>
  <c r="U90" i="71" s="1"/>
  <c r="U19" i="71"/>
  <c r="U56" i="71" s="1"/>
  <c r="U93" i="71" s="1"/>
  <c r="U22" i="71"/>
  <c r="U59" i="71" s="1"/>
  <c r="U96" i="71" s="1"/>
  <c r="U25" i="71"/>
  <c r="U62" i="71" s="1"/>
  <c r="U99" i="71" s="1"/>
  <c r="U28" i="71"/>
  <c r="U65" i="71" s="1"/>
  <c r="U102" i="71" s="1"/>
  <c r="T72" i="71"/>
  <c r="O47" i="71"/>
  <c r="L50" i="71"/>
  <c r="O51" i="71"/>
  <c r="O55" i="71"/>
  <c r="L58" i="71"/>
  <c r="O59" i="71"/>
  <c r="L62" i="71"/>
  <c r="O63" i="71"/>
  <c r="O67" i="71"/>
  <c r="L72" i="71"/>
  <c r="Q109" i="71"/>
  <c r="M46" i="71"/>
  <c r="P47" i="71"/>
  <c r="T48" i="71"/>
  <c r="M50" i="71"/>
  <c r="P51" i="71"/>
  <c r="M54" i="71"/>
  <c r="P55" i="71"/>
  <c r="M58" i="71"/>
  <c r="P59" i="71"/>
  <c r="T60" i="71"/>
  <c r="M62" i="71"/>
  <c r="P63" i="71"/>
  <c r="M66" i="71"/>
  <c r="P67" i="71"/>
  <c r="M72" i="71"/>
  <c r="L85" i="71"/>
  <c r="L89" i="71"/>
  <c r="L93" i="71"/>
  <c r="L97" i="71"/>
  <c r="L101" i="71"/>
  <c r="L105" i="71"/>
  <c r="L38" i="71"/>
  <c r="N46" i="71"/>
  <c r="Q47" i="71"/>
  <c r="N50" i="71"/>
  <c r="Q51" i="71"/>
  <c r="N54" i="71"/>
  <c r="Q55" i="71"/>
  <c r="N58" i="71"/>
  <c r="Q59" i="71"/>
  <c r="N62" i="71"/>
  <c r="Q63" i="71"/>
  <c r="N66" i="71"/>
  <c r="Q67" i="71"/>
  <c r="N72" i="71"/>
  <c r="T83" i="71"/>
  <c r="T87" i="71"/>
  <c r="T91" i="71"/>
  <c r="T95" i="71"/>
  <c r="T99" i="71"/>
  <c r="T103" i="71"/>
  <c r="L59" i="71"/>
  <c r="O46" i="71"/>
  <c r="O50" i="71"/>
  <c r="O54" i="71"/>
  <c r="O58" i="71"/>
  <c r="O62" i="71"/>
  <c r="O66" i="71"/>
  <c r="O72" i="71"/>
  <c r="U8" i="71"/>
  <c r="U14" i="71"/>
  <c r="U51" i="71" s="1"/>
  <c r="U88" i="71" s="1"/>
  <c r="U17" i="71"/>
  <c r="U54" i="71" s="1"/>
  <c r="U91" i="71" s="1"/>
  <c r="U20" i="71"/>
  <c r="U57" i="71" s="1"/>
  <c r="U94" i="71" s="1"/>
  <c r="U26" i="71"/>
  <c r="U63" i="71" s="1"/>
  <c r="U100" i="71" s="1"/>
  <c r="U29" i="71"/>
  <c r="U66" i="71" s="1"/>
  <c r="U103" i="71" s="1"/>
  <c r="U32" i="71"/>
  <c r="U69" i="71" s="1"/>
  <c r="U106" i="71" s="1"/>
  <c r="M45" i="71"/>
  <c r="P46" i="71"/>
  <c r="M49" i="71"/>
  <c r="P50" i="71"/>
  <c r="M53" i="71"/>
  <c r="P54" i="71"/>
  <c r="M57" i="71"/>
  <c r="P58" i="71"/>
  <c r="M61" i="71"/>
  <c r="P62" i="71"/>
  <c r="M65" i="71"/>
  <c r="P66" i="71"/>
  <c r="M69" i="71"/>
  <c r="P72" i="71"/>
  <c r="L120" i="71"/>
  <c r="L124" i="71"/>
  <c r="L128" i="71"/>
  <c r="L130" i="71"/>
  <c r="L132" i="71"/>
  <c r="L136" i="71"/>
  <c r="L140" i="71"/>
  <c r="L142" i="71"/>
  <c r="L146" i="71"/>
  <c r="Q50" i="71"/>
  <c r="Q54" i="71"/>
  <c r="Q58" i="71"/>
  <c r="N61" i="71"/>
  <c r="Q62" i="71"/>
  <c r="N65" i="71"/>
  <c r="Q66" i="71"/>
  <c r="N69" i="71"/>
  <c r="O48" i="71"/>
  <c r="O56" i="71"/>
  <c r="O64" i="71"/>
  <c r="O68" i="71"/>
  <c r="N109" i="71"/>
  <c r="O45" i="71"/>
  <c r="O49" i="71"/>
  <c r="O53" i="71"/>
  <c r="O57" i="71"/>
  <c r="O61" i="71"/>
  <c r="O65" i="71"/>
  <c r="O69" i="71"/>
  <c r="N146" i="71"/>
  <c r="P45" i="71"/>
  <c r="M48" i="71"/>
  <c r="P49" i="71"/>
  <c r="M52" i="71"/>
  <c r="P53" i="71"/>
  <c r="M56" i="71"/>
  <c r="P57" i="71"/>
  <c r="M60" i="71"/>
  <c r="P61" i="71"/>
  <c r="M64" i="71"/>
  <c r="P65" i="71"/>
  <c r="P69" i="71"/>
  <c r="AB24" i="16"/>
  <c r="Y87" i="16"/>
  <c r="Z88" i="16"/>
  <c r="AA87" i="16"/>
  <c r="X81" i="16"/>
  <c r="AB82" i="16"/>
  <c r="AA48" i="16"/>
  <c r="AB79" i="16"/>
  <c r="Y44" i="16"/>
  <c r="X44" i="16"/>
  <c r="AD79" i="16"/>
  <c r="X47" i="16"/>
  <c r="AA53" i="16"/>
  <c r="Z44" i="16"/>
  <c r="X62" i="16"/>
  <c r="AB54" i="16"/>
  <c r="AE88" i="16" s="1"/>
  <c r="Y62" i="16"/>
  <c r="AA44" i="16"/>
  <c r="AB44" i="16"/>
  <c r="AE79" i="16" s="1"/>
  <c r="Z62" i="16"/>
  <c r="Y72" i="16"/>
  <c r="X24" i="16"/>
  <c r="AA62" i="16"/>
  <c r="Z71" i="16"/>
  <c r="Y24" i="16"/>
  <c r="Z24" i="16"/>
  <c r="AB62" i="16"/>
  <c r="AD4" i="16"/>
  <c r="AA24" i="16"/>
  <c r="Y79" i="16"/>
  <c r="P62" i="16"/>
  <c r="N88" i="16"/>
  <c r="O86" i="16"/>
  <c r="M86" i="16"/>
  <c r="P80" i="16"/>
  <c r="Q82" i="16"/>
  <c r="M72" i="16"/>
  <c r="O64" i="16"/>
  <c r="P66" i="16"/>
  <c r="Q79" i="16"/>
  <c r="M44" i="16"/>
  <c r="S79" i="16"/>
  <c r="Q52" i="16"/>
  <c r="T86" i="16" s="1"/>
  <c r="N44" i="16"/>
  <c r="O44" i="16"/>
  <c r="M62" i="16"/>
  <c r="O52" i="16"/>
  <c r="P44" i="16"/>
  <c r="N62" i="16"/>
  <c r="P46" i="16"/>
  <c r="Q44" i="16"/>
  <c r="T79" i="16" s="1"/>
  <c r="O62" i="16"/>
  <c r="M24" i="16"/>
  <c r="N24" i="16"/>
  <c r="Q62" i="16"/>
  <c r="N70" i="16"/>
  <c r="O24" i="16"/>
  <c r="N79" i="16"/>
  <c r="S86" i="16"/>
  <c r="Q24" i="16"/>
  <c r="AF35" i="71" l="1"/>
  <c r="AF72" i="71" s="1"/>
  <c r="AF109" i="71" s="1"/>
  <c r="U35" i="71"/>
  <c r="U72" i="71" s="1"/>
  <c r="U109" i="71" s="1"/>
  <c r="AD83" i="16"/>
  <c r="T26" i="16"/>
  <c r="T27" i="16"/>
  <c r="T32" i="16"/>
  <c r="T28" i="16"/>
  <c r="T34" i="16"/>
  <c r="T33" i="16"/>
  <c r="T30" i="16"/>
  <c r="AE109" i="71"/>
  <c r="AA49" i="16"/>
  <c r="X87" i="16"/>
  <c r="X71" i="16"/>
  <c r="AA47" i="16"/>
  <c r="X49" i="16"/>
  <c r="AA50" i="16"/>
  <c r="Z48" i="16"/>
  <c r="AA52" i="16"/>
  <c r="P51" i="16"/>
  <c r="AA81" i="16"/>
  <c r="M48" i="16"/>
  <c r="X48" i="16"/>
  <c r="X50" i="16"/>
  <c r="X46" i="16"/>
  <c r="Z52" i="16"/>
  <c r="Y53" i="16"/>
  <c r="Y49" i="16"/>
  <c r="S82" i="16"/>
  <c r="AB52" i="16"/>
  <c r="AE86" i="16" s="1"/>
  <c r="Z67" i="16"/>
  <c r="Z54" i="16"/>
  <c r="X54" i="16"/>
  <c r="AB46" i="16"/>
  <c r="AE80" i="16" s="1"/>
  <c r="AA88" i="16"/>
  <c r="Z46" i="16"/>
  <c r="Y51" i="16"/>
  <c r="N47" i="16"/>
  <c r="Z47" i="16"/>
  <c r="AD84" i="16"/>
  <c r="Y54" i="16"/>
  <c r="Z49" i="16"/>
  <c r="AD81" i="16"/>
  <c r="AB49" i="16"/>
  <c r="AE83" i="16" s="1"/>
  <c r="O49" i="16"/>
  <c r="AB47" i="16"/>
  <c r="AE81" i="16" s="1"/>
  <c r="AB53" i="16"/>
  <c r="AE87" i="16" s="1"/>
  <c r="AA51" i="16"/>
  <c r="AB51" i="16"/>
  <c r="AE85" i="16" s="1"/>
  <c r="M46" i="16"/>
  <c r="AA80" i="16"/>
  <c r="X52" i="16"/>
  <c r="N50" i="16"/>
  <c r="Y52" i="16"/>
  <c r="Y46" i="16"/>
  <c r="M53" i="16"/>
  <c r="Q54" i="16"/>
  <c r="T88" i="16" s="1"/>
  <c r="M51" i="16"/>
  <c r="S83" i="16"/>
  <c r="O50" i="16"/>
  <c r="M47" i="16"/>
  <c r="S80" i="16"/>
  <c r="Q53" i="16"/>
  <c r="T87" i="16" s="1"/>
  <c r="S22" i="16"/>
  <c r="N48" i="16"/>
  <c r="O46" i="16"/>
  <c r="Q46" i="16"/>
  <c r="T80" i="16" s="1"/>
  <c r="Q50" i="16"/>
  <c r="T84" i="16" s="1"/>
  <c r="M50" i="16"/>
  <c r="N49" i="16"/>
  <c r="P54" i="16"/>
  <c r="O53" i="16"/>
  <c r="P52" i="16"/>
  <c r="S81" i="16"/>
  <c r="O48" i="16"/>
  <c r="P53" i="16"/>
  <c r="P50" i="16"/>
  <c r="M54" i="16"/>
  <c r="N46" i="16"/>
  <c r="Q47" i="16"/>
  <c r="T81" i="16" s="1"/>
  <c r="O54" i="16"/>
  <c r="N53" i="16"/>
  <c r="Q51" i="16"/>
  <c r="T85" i="16" s="1"/>
  <c r="P49" i="16"/>
  <c r="N51" i="16"/>
  <c r="S87" i="16"/>
  <c r="S84" i="16"/>
  <c r="O47" i="16"/>
  <c r="AE48" i="109"/>
  <c r="AE30" i="109"/>
  <c r="Z48" i="109"/>
  <c r="Z45" i="109"/>
  <c r="AE45" i="109"/>
  <c r="AE27" i="109"/>
  <c r="AC49" i="109"/>
  <c r="X49" i="109"/>
  <c r="O38" i="108" s="1"/>
  <c r="X44" i="109"/>
  <c r="O33" i="108" s="1"/>
  <c r="AC29" i="109"/>
  <c r="AC44" i="109"/>
  <c r="S51" i="109"/>
  <c r="R45" i="109"/>
  <c r="AB45" i="109"/>
  <c r="R52" i="109"/>
  <c r="AB52" i="109"/>
  <c r="R34" i="109"/>
  <c r="R49" i="109"/>
  <c r="R31" i="109"/>
  <c r="AB49" i="109"/>
  <c r="AE50" i="109"/>
  <c r="AE32" i="109"/>
  <c r="Z50" i="109"/>
  <c r="AD48" i="109"/>
  <c r="AD30" i="109"/>
  <c r="Y48" i="109"/>
  <c r="N37" i="108" s="1"/>
  <c r="AE34" i="109"/>
  <c r="Z52" i="109"/>
  <c r="AE52" i="109"/>
  <c r="AC46" i="109"/>
  <c r="X46" i="109"/>
  <c r="O35" i="108" s="1"/>
  <c r="AE47" i="109"/>
  <c r="AE29" i="109"/>
  <c r="Z47" i="109"/>
  <c r="AC51" i="109"/>
  <c r="X51" i="109"/>
  <c r="O40" i="108" s="1"/>
  <c r="AC48" i="109"/>
  <c r="X48" i="109"/>
  <c r="O37" i="108" s="1"/>
  <c r="S44" i="109"/>
  <c r="S26" i="109"/>
  <c r="R47" i="109"/>
  <c r="AB47" i="109"/>
  <c r="S46" i="109"/>
  <c r="AE46" i="109"/>
  <c r="AE28" i="109"/>
  <c r="Z46" i="109"/>
  <c r="AB44" i="109"/>
  <c r="R44" i="109"/>
  <c r="R26" i="109"/>
  <c r="Y44" i="109"/>
  <c r="N33" i="108" s="1"/>
  <c r="AD26" i="109"/>
  <c r="AD44" i="109"/>
  <c r="AC50" i="109"/>
  <c r="X50" i="109"/>
  <c r="O39" i="108" s="1"/>
  <c r="AE51" i="109"/>
  <c r="AE33" i="109"/>
  <c r="Z51" i="109"/>
  <c r="AE49" i="109"/>
  <c r="AE31" i="109"/>
  <c r="Z49" i="109"/>
  <c r="S52" i="109"/>
  <c r="R46" i="109"/>
  <c r="AB46" i="109"/>
  <c r="X47" i="109"/>
  <c r="O36" i="108" s="1"/>
  <c r="AC47" i="109"/>
  <c r="X45" i="109"/>
  <c r="O34" i="108" s="1"/>
  <c r="AC45" i="109"/>
  <c r="R50" i="109"/>
  <c r="AB50" i="109"/>
  <c r="AE54" i="109"/>
  <c r="Z54" i="109"/>
  <c r="AE36" i="109"/>
  <c r="AC52" i="109"/>
  <c r="AB48" i="16"/>
  <c r="AE82" i="16" s="1"/>
  <c r="AB50" i="16"/>
  <c r="AE84" i="16" s="1"/>
  <c r="AA46" i="16"/>
  <c r="AE28" i="16"/>
  <c r="AE32" i="16"/>
  <c r="AE29" i="16"/>
  <c r="AE26" i="16"/>
  <c r="AE27" i="16"/>
  <c r="AE30" i="16"/>
  <c r="AE33" i="16"/>
  <c r="AA83" i="16"/>
  <c r="Y47" i="16"/>
  <c r="AD82" i="16"/>
  <c r="Y48" i="16"/>
  <c r="AD88" i="16"/>
  <c r="Z68" i="16"/>
  <c r="AD86" i="16"/>
  <c r="AA54" i="16"/>
  <c r="AD80" i="16"/>
  <c r="X51" i="16"/>
  <c r="Z50" i="16"/>
  <c r="Z51" i="16"/>
  <c r="AD87" i="16"/>
  <c r="Z53" i="16"/>
  <c r="Y50" i="16"/>
  <c r="AE31" i="16"/>
  <c r="AA18" i="16"/>
  <c r="AA32" i="16" s="1"/>
  <c r="P47" i="16"/>
  <c r="S88" i="16"/>
  <c r="N54" i="16"/>
  <c r="P18" i="16"/>
  <c r="P90" i="16" s="1"/>
  <c r="U45" i="71"/>
  <c r="U82" i="71" s="1"/>
  <c r="N52" i="16"/>
  <c r="S85" i="16"/>
  <c r="M52" i="16"/>
  <c r="Q48" i="16"/>
  <c r="T82" i="16" s="1"/>
  <c r="O51" i="16"/>
  <c r="Q49" i="16"/>
  <c r="T83" i="16" s="1"/>
  <c r="M49" i="16"/>
  <c r="T109" i="71"/>
  <c r="AA86" i="16"/>
  <c r="Z70" i="16"/>
  <c r="Y68" i="16"/>
  <c r="Z84" i="16"/>
  <c r="AB65" i="16"/>
  <c r="O4" i="107" s="1"/>
  <c r="AA65" i="16"/>
  <c r="AD9" i="16"/>
  <c r="AB81" i="16"/>
  <c r="Y82" i="16"/>
  <c r="X66" i="16"/>
  <c r="AB68" i="16"/>
  <c r="O7" i="107" s="1"/>
  <c r="AB84" i="16"/>
  <c r="AD12" i="16"/>
  <c r="AA68" i="16"/>
  <c r="AB80" i="16"/>
  <c r="AD8" i="16"/>
  <c r="AD26" i="16" s="1"/>
  <c r="AB18" i="16"/>
  <c r="AB31" i="16" s="1"/>
  <c r="AB64" i="16"/>
  <c r="O3" i="107" s="1"/>
  <c r="AA64" i="16"/>
  <c r="Z82" i="16"/>
  <c r="Y66" i="16"/>
  <c r="AA82" i="16"/>
  <c r="Z66" i="16"/>
  <c r="AB67" i="16"/>
  <c r="O6" i="107" s="1"/>
  <c r="AB83" i="16"/>
  <c r="AA67" i="16"/>
  <c r="AD11" i="16"/>
  <c r="AD29" i="16" s="1"/>
  <c r="AD42" i="16"/>
  <c r="AD22" i="16"/>
  <c r="Y70" i="16"/>
  <c r="Z86" i="16"/>
  <c r="X18" i="16"/>
  <c r="X26" i="16" s="1"/>
  <c r="X80" i="16"/>
  <c r="Z69" i="16"/>
  <c r="AA85" i="16"/>
  <c r="X88" i="16"/>
  <c r="Y85" i="16"/>
  <c r="X69" i="16"/>
  <c r="AD16" i="16"/>
  <c r="AB72" i="16"/>
  <c r="O11" i="107" s="1"/>
  <c r="AB88" i="16"/>
  <c r="AA72" i="16"/>
  <c r="AB71" i="16"/>
  <c r="O10" i="107" s="1"/>
  <c r="AA71" i="16"/>
  <c r="AB87" i="16"/>
  <c r="AD15" i="16"/>
  <c r="Y64" i="16"/>
  <c r="Z18" i="16"/>
  <c r="Z26" i="16" s="1"/>
  <c r="Z80" i="16"/>
  <c r="X68" i="16"/>
  <c r="Y84" i="16"/>
  <c r="X64" i="16"/>
  <c r="Y18" i="16"/>
  <c r="Y80" i="16"/>
  <c r="AD14" i="16"/>
  <c r="AB86" i="16"/>
  <c r="AB70" i="16"/>
  <c r="O9" i="107" s="1"/>
  <c r="AA70" i="16"/>
  <c r="Z83" i="16"/>
  <c r="Y67" i="16"/>
  <c r="AA66" i="16"/>
  <c r="AB69" i="16"/>
  <c r="O8" i="107" s="1"/>
  <c r="AA69" i="16"/>
  <c r="AD13" i="16"/>
  <c r="AD31" i="16" s="1"/>
  <c r="AB85" i="16"/>
  <c r="X70" i="16"/>
  <c r="Y86" i="16"/>
  <c r="Y65" i="16"/>
  <c r="Z81" i="16"/>
  <c r="X65" i="16"/>
  <c r="Y81" i="16"/>
  <c r="Z85" i="16"/>
  <c r="Y69" i="16"/>
  <c r="Z64" i="16"/>
  <c r="AB66" i="16"/>
  <c r="O5" i="107" s="1"/>
  <c r="Y71" i="16"/>
  <c r="Z87" i="16"/>
  <c r="Y88" i="16"/>
  <c r="X72" i="16"/>
  <c r="Y83" i="16"/>
  <c r="X67" i="16"/>
  <c r="AD10" i="16"/>
  <c r="Z65" i="16"/>
  <c r="Q18" i="16"/>
  <c r="Q32" i="16" s="1"/>
  <c r="Q80" i="16"/>
  <c r="S8" i="16"/>
  <c r="S26" i="16" s="1"/>
  <c r="Q64" i="16"/>
  <c r="P3" i="107" s="1"/>
  <c r="P64" i="16"/>
  <c r="M70" i="16"/>
  <c r="N86" i="16"/>
  <c r="O85" i="16"/>
  <c r="T31" i="16"/>
  <c r="N69" i="16"/>
  <c r="O88" i="16"/>
  <c r="N72" i="16"/>
  <c r="Q83" i="16"/>
  <c r="Q67" i="16"/>
  <c r="P6" i="107" s="1"/>
  <c r="P67" i="16"/>
  <c r="S11" i="16"/>
  <c r="U11" i="16" s="1"/>
  <c r="U29" i="16" s="1"/>
  <c r="P82" i="16"/>
  <c r="O66" i="16"/>
  <c r="N68" i="16"/>
  <c r="O84" i="16"/>
  <c r="Q71" i="16"/>
  <c r="P10" i="107" s="1"/>
  <c r="P71" i="16"/>
  <c r="Q87" i="16"/>
  <c r="S15" i="16"/>
  <c r="N65" i="16"/>
  <c r="O81" i="16"/>
  <c r="M84" i="16"/>
  <c r="N82" i="16"/>
  <c r="M66" i="16"/>
  <c r="O69" i="16"/>
  <c r="P85" i="16"/>
  <c r="N71" i="16"/>
  <c r="O87" i="16"/>
  <c r="M18" i="16"/>
  <c r="M30" i="16" s="1"/>
  <c r="M80" i="16"/>
  <c r="O83" i="16"/>
  <c r="N67" i="16"/>
  <c r="T29" i="16"/>
  <c r="M83" i="16"/>
  <c r="M65" i="16"/>
  <c r="N81" i="16"/>
  <c r="O71" i="16"/>
  <c r="P87" i="16"/>
  <c r="M68" i="16"/>
  <c r="N84" i="16"/>
  <c r="P88" i="16"/>
  <c r="O72" i="16"/>
  <c r="N83" i="16"/>
  <c r="M67" i="16"/>
  <c r="N85" i="16"/>
  <c r="M69" i="16"/>
  <c r="Q84" i="16"/>
  <c r="S12" i="16"/>
  <c r="Q68" i="16"/>
  <c r="P7" i="107" s="1"/>
  <c r="P68" i="16"/>
  <c r="O65" i="16"/>
  <c r="P81" i="16"/>
  <c r="M81" i="16"/>
  <c r="N64" i="16"/>
  <c r="O18" i="16"/>
  <c r="O27" i="16" s="1"/>
  <c r="O80" i="16"/>
  <c r="Q65" i="16"/>
  <c r="P4" i="107" s="1"/>
  <c r="P65" i="16"/>
  <c r="S9" i="16"/>
  <c r="Q81" i="16"/>
  <c r="P84" i="16"/>
  <c r="O68" i="16"/>
  <c r="S14" i="16"/>
  <c r="Q86" i="16"/>
  <c r="Q70" i="16"/>
  <c r="P9" i="107" s="1"/>
  <c r="P70" i="16"/>
  <c r="M88" i="16"/>
  <c r="M71" i="16"/>
  <c r="N87" i="16"/>
  <c r="O82" i="16"/>
  <c r="N66" i="16"/>
  <c r="S16" i="16"/>
  <c r="Q72" i="16"/>
  <c r="P11" i="107" s="1"/>
  <c r="Q88" i="16"/>
  <c r="P72" i="16"/>
  <c r="M87" i="16"/>
  <c r="Q69" i="16"/>
  <c r="P8" i="107" s="1"/>
  <c r="P69" i="16"/>
  <c r="S13" i="16"/>
  <c r="U13" i="16" s="1"/>
  <c r="U31" i="16" s="1"/>
  <c r="Q85" i="16"/>
  <c r="Q66" i="16"/>
  <c r="P5" i="107" s="1"/>
  <c r="M85" i="16"/>
  <c r="M64" i="16"/>
  <c r="N18" i="16"/>
  <c r="N27" i="16" s="1"/>
  <c r="N80" i="16"/>
  <c r="P86" i="16"/>
  <c r="O70" i="16"/>
  <c r="P83" i="16"/>
  <c r="O67" i="16"/>
  <c r="S10" i="16"/>
  <c r="T18" i="16" l="1"/>
  <c r="T36" i="16" s="1"/>
  <c r="U10" i="16"/>
  <c r="U28" i="16" s="1"/>
  <c r="U9" i="16"/>
  <c r="U27" i="16" s="1"/>
  <c r="U12" i="16"/>
  <c r="U30" i="16" s="1"/>
  <c r="AF9" i="16"/>
  <c r="AF27" i="16" s="1"/>
  <c r="U15" i="16"/>
  <c r="U33" i="16" s="1"/>
  <c r="U16" i="16"/>
  <c r="U34" i="16" s="1"/>
  <c r="Z31" i="16"/>
  <c r="AF14" i="16"/>
  <c r="AF32" i="16" s="1"/>
  <c r="AB32" i="16"/>
  <c r="AD27" i="16"/>
  <c r="Z33" i="16"/>
  <c r="AF15" i="16"/>
  <c r="AF33" i="16" s="1"/>
  <c r="AA28" i="16"/>
  <c r="AB29" i="16"/>
  <c r="AF12" i="16"/>
  <c r="AF30" i="16" s="1"/>
  <c r="Z27" i="16"/>
  <c r="Z28" i="16"/>
  <c r="AB30" i="16"/>
  <c r="AB33" i="16"/>
  <c r="Z29" i="16"/>
  <c r="X34" i="16"/>
  <c r="S29" i="16"/>
  <c r="Q34" i="16"/>
  <c r="S27" i="16"/>
  <c r="N28" i="16"/>
  <c r="S31" i="16"/>
  <c r="N26" i="16"/>
  <c r="N29" i="16"/>
  <c r="N32" i="16"/>
  <c r="AC28" i="109"/>
  <c r="R36" i="109"/>
  <c r="AB54" i="109"/>
  <c r="R54" i="109"/>
  <c r="R30" i="109"/>
  <c r="R33" i="109"/>
  <c r="S54" i="109"/>
  <c r="S36" i="109"/>
  <c r="S27" i="109"/>
  <c r="S30" i="109"/>
  <c r="S32" i="109"/>
  <c r="S29" i="109"/>
  <c r="S31" i="109"/>
  <c r="AC26" i="109"/>
  <c r="AC30" i="109"/>
  <c r="AC31" i="109"/>
  <c r="AC54" i="109"/>
  <c r="AC36" i="109"/>
  <c r="X54" i="109"/>
  <c r="O43" i="108" s="1"/>
  <c r="AC34" i="109"/>
  <c r="AC32" i="109"/>
  <c r="S28" i="109"/>
  <c r="AC33" i="109"/>
  <c r="R27" i="109"/>
  <c r="R28" i="109"/>
  <c r="S33" i="109"/>
  <c r="AC27" i="109"/>
  <c r="R32" i="109"/>
  <c r="S34" i="109"/>
  <c r="AD36" i="109"/>
  <c r="Y54" i="109"/>
  <c r="N43" i="108" s="1"/>
  <c r="AD29" i="109"/>
  <c r="AD54" i="109"/>
  <c r="AD32" i="109"/>
  <c r="AD27" i="109"/>
  <c r="AD28" i="109"/>
  <c r="AD33" i="109"/>
  <c r="AD34" i="109"/>
  <c r="AD31" i="109"/>
  <c r="R29" i="109"/>
  <c r="B31" i="109"/>
  <c r="B29" i="109"/>
  <c r="B33" i="109"/>
  <c r="B32" i="109"/>
  <c r="B27" i="109"/>
  <c r="B36" i="109"/>
  <c r="B34" i="109"/>
  <c r="B28" i="109"/>
  <c r="B30" i="109"/>
  <c r="Y28" i="16"/>
  <c r="X56" i="16"/>
  <c r="Y29" i="16"/>
  <c r="AA31" i="16"/>
  <c r="AF11" i="16"/>
  <c r="AF29" i="16" s="1"/>
  <c r="AF10" i="16"/>
  <c r="AF28" i="16" s="1"/>
  <c r="AD33" i="16"/>
  <c r="AA56" i="16"/>
  <c r="AB56" i="16"/>
  <c r="AE90" i="16" s="1"/>
  <c r="AB27" i="16"/>
  <c r="AE18" i="16"/>
  <c r="AE36" i="16" s="1"/>
  <c r="Y34" i="16"/>
  <c r="Z30" i="16"/>
  <c r="Y56" i="16"/>
  <c r="AD90" i="16"/>
  <c r="AF16" i="16"/>
  <c r="AF34" i="16" s="1"/>
  <c r="AD34" i="16"/>
  <c r="AD32" i="16"/>
  <c r="AF13" i="16"/>
  <c r="AF31" i="16" s="1"/>
  <c r="AB34" i="16"/>
  <c r="AB26" i="16"/>
  <c r="AA26" i="16"/>
  <c r="AA27" i="16"/>
  <c r="AA33" i="16"/>
  <c r="Z56" i="16"/>
  <c r="AA30" i="16"/>
  <c r="AA29" i="16"/>
  <c r="AA90" i="16"/>
  <c r="AA36" i="16"/>
  <c r="AA34" i="16"/>
  <c r="AD28" i="16"/>
  <c r="AD30" i="16"/>
  <c r="S90" i="16"/>
  <c r="N56" i="16"/>
  <c r="S28" i="16"/>
  <c r="P36" i="16"/>
  <c r="P30" i="16"/>
  <c r="O74" i="16"/>
  <c r="M26" i="16"/>
  <c r="O28" i="16"/>
  <c r="P32" i="16"/>
  <c r="O29" i="16"/>
  <c r="M33" i="16"/>
  <c r="P27" i="16"/>
  <c r="P26" i="16"/>
  <c r="O56" i="16"/>
  <c r="P33" i="16"/>
  <c r="P31" i="16"/>
  <c r="P56" i="16"/>
  <c r="Q56" i="16"/>
  <c r="T90" i="16" s="1"/>
  <c r="O34" i="16"/>
  <c r="N30" i="16"/>
  <c r="M56" i="16"/>
  <c r="M34" i="16"/>
  <c r="S33" i="16"/>
  <c r="S30" i="16"/>
  <c r="S34" i="16"/>
  <c r="M31" i="16"/>
  <c r="O26" i="16"/>
  <c r="P34" i="16"/>
  <c r="Q30" i="16"/>
  <c r="O33" i="16"/>
  <c r="O31" i="16"/>
  <c r="Q26" i="16"/>
  <c r="P29" i="16"/>
  <c r="U14" i="16"/>
  <c r="U32" i="16" s="1"/>
  <c r="S32" i="16"/>
  <c r="N31" i="16"/>
  <c r="P28" i="16"/>
  <c r="Y30" i="16"/>
  <c r="Y32" i="16"/>
  <c r="Z90" i="16"/>
  <c r="Z36" i="16"/>
  <c r="Y74" i="16"/>
  <c r="Z34" i="16"/>
  <c r="Z74" i="16"/>
  <c r="X90" i="16"/>
  <c r="X36" i="16"/>
  <c r="X27" i="16"/>
  <c r="X30" i="16"/>
  <c r="X33" i="16"/>
  <c r="X32" i="16"/>
  <c r="X29" i="16"/>
  <c r="X28" i="16"/>
  <c r="X31" i="16"/>
  <c r="Y36" i="16"/>
  <c r="Y90" i="16"/>
  <c r="X74" i="16"/>
  <c r="Y33" i="16"/>
  <c r="Y27" i="16"/>
  <c r="Z32" i="16"/>
  <c r="AB74" i="16"/>
  <c r="O13" i="107" s="1"/>
  <c r="AB90" i="16"/>
  <c r="AA74" i="16"/>
  <c r="AB36" i="16"/>
  <c r="AB28" i="16"/>
  <c r="Y26" i="16"/>
  <c r="Y31" i="16"/>
  <c r="AF8" i="16"/>
  <c r="AF26" i="16" s="1"/>
  <c r="AD18" i="16"/>
  <c r="Q90" i="16"/>
  <c r="Q74" i="16"/>
  <c r="P13" i="107" s="1"/>
  <c r="P74" i="16"/>
  <c r="Q36" i="16"/>
  <c r="Q28" i="16"/>
  <c r="Q31" i="16"/>
  <c r="Q33" i="16"/>
  <c r="O90" i="16"/>
  <c r="N74" i="16"/>
  <c r="O36" i="16"/>
  <c r="O32" i="16"/>
  <c r="U8" i="16"/>
  <c r="U26" i="16" s="1"/>
  <c r="S18" i="16"/>
  <c r="M90" i="16"/>
  <c r="M36" i="16"/>
  <c r="M32" i="16"/>
  <c r="M28" i="16"/>
  <c r="M29" i="16"/>
  <c r="O30" i="16"/>
  <c r="Q29" i="16"/>
  <c r="N90" i="16"/>
  <c r="M74" i="16"/>
  <c r="N36" i="16"/>
  <c r="N34" i="16"/>
  <c r="Q27" i="16"/>
  <c r="M27" i="16"/>
  <c r="N33" i="16"/>
  <c r="U18" i="16" l="1"/>
  <c r="U36" i="16" s="1"/>
  <c r="S36" i="16"/>
  <c r="AF18" i="16"/>
  <c r="AF36" i="16" s="1"/>
  <c r="AD36" i="16"/>
  <c r="O7" i="105"/>
  <c r="N7" i="105"/>
  <c r="A36" i="105"/>
  <c r="A10" i="105"/>
  <c r="A11" i="105"/>
  <c r="A12" i="105"/>
  <c r="A13" i="105"/>
  <c r="A14" i="105"/>
  <c r="A15" i="105"/>
  <c r="A16" i="105"/>
  <c r="A17" i="105"/>
  <c r="A18" i="105"/>
  <c r="A19" i="105"/>
  <c r="A20" i="105"/>
  <c r="A21" i="105"/>
  <c r="A22" i="105"/>
  <c r="A23" i="105"/>
  <c r="A24" i="105"/>
  <c r="A25" i="105"/>
  <c r="A26" i="105"/>
  <c r="A27" i="105"/>
  <c r="A28" i="105"/>
  <c r="A29" i="105"/>
  <c r="A30" i="105"/>
  <c r="A31" i="105"/>
  <c r="A32" i="105"/>
  <c r="A33" i="105"/>
  <c r="A9" i="105"/>
  <c r="A8" i="71"/>
  <c r="A153" i="71" s="1"/>
  <c r="L28" i="105"/>
  <c r="L33" i="105" l="1"/>
  <c r="H33" i="105"/>
  <c r="U33" i="105" s="1"/>
  <c r="D33" i="105"/>
  <c r="L32" i="105"/>
  <c r="H32" i="105"/>
  <c r="D32" i="105"/>
  <c r="T32" i="105" s="1"/>
  <c r="L31" i="105"/>
  <c r="H31" i="105"/>
  <c r="D31" i="105"/>
  <c r="L30" i="105"/>
  <c r="H30" i="105"/>
  <c r="D30" i="105"/>
  <c r="L29" i="105"/>
  <c r="H29" i="105"/>
  <c r="U29" i="105" s="1"/>
  <c r="D29" i="105"/>
  <c r="H28" i="105"/>
  <c r="U28" i="105" s="1"/>
  <c r="D28" i="105"/>
  <c r="L27" i="105"/>
  <c r="H27" i="105"/>
  <c r="D27" i="105"/>
  <c r="L26" i="105"/>
  <c r="H26" i="105"/>
  <c r="U26" i="105" s="1"/>
  <c r="D26" i="105"/>
  <c r="L25" i="105"/>
  <c r="H25" i="105"/>
  <c r="D25" i="105"/>
  <c r="T25" i="105" s="1"/>
  <c r="L24" i="105"/>
  <c r="H24" i="105"/>
  <c r="D24" i="105"/>
  <c r="L23" i="105"/>
  <c r="H23" i="105"/>
  <c r="D23" i="105"/>
  <c r="T23" i="105" s="1"/>
  <c r="L22" i="105"/>
  <c r="H22" i="105"/>
  <c r="U22" i="105" s="1"/>
  <c r="D22" i="105"/>
  <c r="L21" i="105"/>
  <c r="H21" i="105"/>
  <c r="D21" i="105"/>
  <c r="T21" i="105" s="1"/>
  <c r="L20" i="105"/>
  <c r="H20" i="105"/>
  <c r="U20" i="105" s="1"/>
  <c r="D20" i="105"/>
  <c r="L19" i="105"/>
  <c r="H19" i="105"/>
  <c r="D19" i="105"/>
  <c r="L18" i="105"/>
  <c r="H18" i="105"/>
  <c r="D18" i="105"/>
  <c r="L17" i="105"/>
  <c r="H17" i="105"/>
  <c r="D17" i="105"/>
  <c r="T17" i="105" s="1"/>
  <c r="L16" i="105"/>
  <c r="H16" i="105"/>
  <c r="D16" i="105"/>
  <c r="L15" i="105"/>
  <c r="H15" i="105"/>
  <c r="D15" i="105"/>
  <c r="T15" i="105" s="1"/>
  <c r="L14" i="105"/>
  <c r="H14" i="105"/>
  <c r="U14" i="105" s="1"/>
  <c r="D14" i="105"/>
  <c r="L13" i="105"/>
  <c r="H13" i="105"/>
  <c r="D13" i="105"/>
  <c r="T13" i="105" s="1"/>
  <c r="L12" i="105"/>
  <c r="H12" i="105"/>
  <c r="U12" i="105" s="1"/>
  <c r="D12" i="105"/>
  <c r="L11" i="105"/>
  <c r="H11" i="105"/>
  <c r="D11" i="105"/>
  <c r="L10" i="105"/>
  <c r="H10" i="105"/>
  <c r="U10" i="105" s="1"/>
  <c r="D10" i="105"/>
  <c r="L9" i="105"/>
  <c r="H9" i="105"/>
  <c r="D9" i="105"/>
  <c r="T9" i="105" s="1"/>
  <c r="U7" i="105"/>
  <c r="T7" i="105"/>
  <c r="R7" i="105"/>
  <c r="Q7" i="105"/>
  <c r="U30" i="105" l="1"/>
  <c r="T14" i="105"/>
  <c r="U31" i="105"/>
  <c r="U32" i="105"/>
  <c r="T22" i="105"/>
  <c r="T16" i="105"/>
  <c r="U18" i="105"/>
  <c r="U11" i="105"/>
  <c r="U19" i="105"/>
  <c r="U27" i="105"/>
  <c r="U13" i="105"/>
  <c r="U21" i="105"/>
  <c r="T24" i="105"/>
  <c r="T11" i="105"/>
  <c r="U16" i="105"/>
  <c r="T19" i="105"/>
  <c r="U24" i="105"/>
  <c r="T27" i="105"/>
  <c r="T30" i="105"/>
  <c r="T33" i="105"/>
  <c r="T10" i="105"/>
  <c r="U15" i="105"/>
  <c r="T18" i="105"/>
  <c r="U23" i="105"/>
  <c r="T26" i="105"/>
  <c r="T29" i="105"/>
  <c r="U9" i="105"/>
  <c r="T12" i="105"/>
  <c r="U17" i="105"/>
  <c r="T20" i="105"/>
  <c r="U25" i="105"/>
  <c r="T28" i="105"/>
  <c r="T31" i="105"/>
  <c r="H36" i="105"/>
  <c r="L36" i="105"/>
  <c r="D36" i="105"/>
  <c r="A18" i="104"/>
  <c r="A13" i="104"/>
  <c r="A8" i="104"/>
  <c r="A1" i="104" s="1"/>
  <c r="B8" i="49"/>
  <c r="C8" i="49"/>
  <c r="E8" i="49"/>
  <c r="B9" i="49"/>
  <c r="C9" i="49"/>
  <c r="E9" i="49"/>
  <c r="B10" i="49"/>
  <c r="C10" i="49"/>
  <c r="E10" i="49"/>
  <c r="B11" i="49"/>
  <c r="C11" i="49"/>
  <c r="E11" i="49"/>
  <c r="B12" i="49"/>
  <c r="C12" i="49"/>
  <c r="E12" i="49"/>
  <c r="B13" i="49"/>
  <c r="C13" i="49"/>
  <c r="E13" i="49"/>
  <c r="B14" i="49"/>
  <c r="C14" i="49"/>
  <c r="E14" i="49"/>
  <c r="B15" i="49"/>
  <c r="C15" i="49"/>
  <c r="E15" i="49"/>
  <c r="B16" i="49"/>
  <c r="C16" i="49"/>
  <c r="E16" i="49"/>
  <c r="B17" i="49"/>
  <c r="C17" i="49"/>
  <c r="E17" i="49"/>
  <c r="B18" i="49"/>
  <c r="C18" i="49"/>
  <c r="E18" i="49"/>
  <c r="B19" i="49"/>
  <c r="C19" i="49"/>
  <c r="E19" i="49"/>
  <c r="B20" i="49"/>
  <c r="C20" i="49"/>
  <c r="E20" i="49"/>
  <c r="B21" i="49"/>
  <c r="C21" i="49"/>
  <c r="E21" i="49"/>
  <c r="B22" i="49"/>
  <c r="C22" i="49"/>
  <c r="E22" i="49"/>
  <c r="B23" i="49"/>
  <c r="C23" i="49"/>
  <c r="E23" i="49"/>
  <c r="B24" i="49"/>
  <c r="C24" i="49"/>
  <c r="E24" i="49"/>
  <c r="B25" i="49"/>
  <c r="C25" i="49"/>
  <c r="E25" i="49"/>
  <c r="B26" i="49"/>
  <c r="C26" i="49"/>
  <c r="E26" i="49"/>
  <c r="B27" i="49"/>
  <c r="C27" i="49"/>
  <c r="E27" i="49"/>
  <c r="B28" i="49"/>
  <c r="C28" i="49"/>
  <c r="E28" i="49"/>
  <c r="B29" i="49"/>
  <c r="C29" i="49"/>
  <c r="E29" i="49"/>
  <c r="B30" i="49"/>
  <c r="C30" i="49"/>
  <c r="E30" i="49"/>
  <c r="B31" i="49"/>
  <c r="G31" i="49" s="1"/>
  <c r="E7" i="49"/>
  <c r="C7" i="49"/>
  <c r="B7" i="49"/>
  <c r="T36" i="105" l="1"/>
  <c r="K8" i="49" a="1"/>
  <c r="K12" i="49" s="1"/>
  <c r="M8" i="49" a="1"/>
  <c r="M14" i="49" s="1"/>
  <c r="U36" i="105"/>
  <c r="G7" i="49"/>
  <c r="J8" i="49" a="1"/>
  <c r="F330" i="104"/>
  <c r="F329" i="104"/>
  <c r="D330" i="104"/>
  <c r="D329" i="104"/>
  <c r="B330" i="104"/>
  <c r="B329" i="104"/>
  <c r="B35" i="104"/>
  <c r="K11" i="49" l="1"/>
  <c r="K15" i="49"/>
  <c r="K13" i="49"/>
  <c r="K14" i="49"/>
  <c r="K16" i="49"/>
  <c r="K10" i="49"/>
  <c r="K9" i="49"/>
  <c r="K8" i="49"/>
  <c r="M16" i="49"/>
  <c r="M13" i="49"/>
  <c r="M9" i="49"/>
  <c r="M8" i="49"/>
  <c r="M12" i="49"/>
  <c r="M15" i="49"/>
  <c r="M10" i="49"/>
  <c r="M11" i="49"/>
  <c r="J10" i="49"/>
  <c r="J9" i="49"/>
  <c r="J11" i="49"/>
  <c r="J16" i="49"/>
  <c r="J8" i="49"/>
  <c r="J15" i="49"/>
  <c r="J12" i="49"/>
  <c r="J14" i="49"/>
  <c r="J13" i="49"/>
  <c r="B30" i="104"/>
  <c r="X172" i="102" l="1"/>
  <c r="W172" i="102"/>
  <c r="V172" i="102"/>
  <c r="S172" i="102"/>
  <c r="R172" i="102"/>
  <c r="Q172" i="102"/>
  <c r="N172" i="102"/>
  <c r="M172" i="102"/>
  <c r="L172" i="102"/>
  <c r="I172" i="102"/>
  <c r="H172" i="102"/>
  <c r="G172" i="102"/>
  <c r="D172" i="102"/>
  <c r="C172" i="102"/>
  <c r="B172" i="102"/>
  <c r="Y171" i="102"/>
  <c r="T171" i="102"/>
  <c r="O171" i="102"/>
  <c r="J171" i="102"/>
  <c r="E171" i="102"/>
  <c r="Y170" i="102"/>
  <c r="T170" i="102"/>
  <c r="O170" i="102"/>
  <c r="J170" i="102"/>
  <c r="E170" i="102"/>
  <c r="X163" i="102"/>
  <c r="W163" i="102"/>
  <c r="V163" i="102"/>
  <c r="S163" i="102"/>
  <c r="R163" i="102"/>
  <c r="Q163" i="102"/>
  <c r="N163" i="102"/>
  <c r="M163" i="102"/>
  <c r="L163" i="102"/>
  <c r="I163" i="102"/>
  <c r="H163" i="102"/>
  <c r="G163" i="102"/>
  <c r="D163" i="102"/>
  <c r="C163" i="102"/>
  <c r="B163" i="102"/>
  <c r="Y162" i="102"/>
  <c r="T162" i="102"/>
  <c r="O162" i="102"/>
  <c r="J162" i="102"/>
  <c r="E162" i="102"/>
  <c r="Y161" i="102"/>
  <c r="T161" i="102"/>
  <c r="O161" i="102"/>
  <c r="J161" i="102"/>
  <c r="E161" i="102"/>
  <c r="E134" i="102"/>
  <c r="X136" i="102"/>
  <c r="W136" i="102"/>
  <c r="V136" i="102"/>
  <c r="S136" i="102"/>
  <c r="R136" i="102"/>
  <c r="Q136" i="102"/>
  <c r="N136" i="102"/>
  <c r="M136" i="102"/>
  <c r="L136" i="102"/>
  <c r="I136" i="102"/>
  <c r="H136" i="102"/>
  <c r="G136" i="102"/>
  <c r="D136" i="102"/>
  <c r="C136" i="102"/>
  <c r="B136" i="102"/>
  <c r="Y135" i="102"/>
  <c r="T135" i="102"/>
  <c r="O135" i="102"/>
  <c r="J135" i="102"/>
  <c r="E135" i="102"/>
  <c r="Y134" i="102"/>
  <c r="T134" i="102"/>
  <c r="O134" i="102"/>
  <c r="J134" i="102"/>
  <c r="B313" i="104"/>
  <c r="X55" i="102"/>
  <c r="W55" i="102"/>
  <c r="V55" i="102"/>
  <c r="S55" i="102"/>
  <c r="R55" i="102"/>
  <c r="Q55" i="102"/>
  <c r="N55" i="102"/>
  <c r="M55" i="102"/>
  <c r="L55" i="102"/>
  <c r="I55" i="102"/>
  <c r="H55" i="102"/>
  <c r="G55" i="102"/>
  <c r="D55" i="102"/>
  <c r="C55" i="102"/>
  <c r="B55" i="102"/>
  <c r="Y54" i="102"/>
  <c r="T54" i="102"/>
  <c r="O54" i="102"/>
  <c r="J54" i="102"/>
  <c r="E54" i="102"/>
  <c r="Y53" i="102"/>
  <c r="T53" i="102"/>
  <c r="O53" i="102"/>
  <c r="J53" i="102"/>
  <c r="E53" i="102"/>
  <c r="X19" i="102"/>
  <c r="W19" i="102"/>
  <c r="V19" i="102"/>
  <c r="S19" i="102"/>
  <c r="R19" i="102"/>
  <c r="Q19" i="102"/>
  <c r="N19" i="102"/>
  <c r="M19" i="102"/>
  <c r="L19" i="102"/>
  <c r="I19" i="102"/>
  <c r="H19" i="102"/>
  <c r="G19" i="102"/>
  <c r="D19" i="102"/>
  <c r="C19" i="102"/>
  <c r="B19" i="102"/>
  <c r="Y18" i="102"/>
  <c r="T18" i="102"/>
  <c r="O18" i="102"/>
  <c r="J18" i="102"/>
  <c r="E18" i="102"/>
  <c r="Y17" i="102"/>
  <c r="T17" i="102"/>
  <c r="O17" i="102"/>
  <c r="J17" i="102"/>
  <c r="E17" i="102"/>
  <c r="X10" i="102"/>
  <c r="W10" i="102"/>
  <c r="V10" i="102"/>
  <c r="Y9" i="102"/>
  <c r="Y8" i="102"/>
  <c r="S10" i="102"/>
  <c r="R10" i="102"/>
  <c r="Q10" i="102"/>
  <c r="T9" i="102"/>
  <c r="T8" i="102"/>
  <c r="N10" i="102"/>
  <c r="M10" i="102"/>
  <c r="L10" i="102"/>
  <c r="O9" i="102"/>
  <c r="O8" i="102"/>
  <c r="I10" i="102"/>
  <c r="H10" i="102"/>
  <c r="G10" i="102"/>
  <c r="J9" i="102"/>
  <c r="J8" i="102"/>
  <c r="C10" i="102"/>
  <c r="D10" i="102"/>
  <c r="B10" i="102"/>
  <c r="E9" i="102"/>
  <c r="E8" i="102"/>
  <c r="O144" i="102" l="1"/>
  <c r="Y144" i="102"/>
  <c r="X145" i="102"/>
  <c r="H37" i="102"/>
  <c r="G91" i="102"/>
  <c r="S28" i="102"/>
  <c r="E188" i="102"/>
  <c r="T26" i="102"/>
  <c r="V109" i="102"/>
  <c r="X46" i="102"/>
  <c r="Y45" i="102"/>
  <c r="J63" i="102"/>
  <c r="E89" i="102"/>
  <c r="H82" i="102"/>
  <c r="N91" i="102"/>
  <c r="S199" i="102"/>
  <c r="N199" i="102"/>
  <c r="D28" i="102"/>
  <c r="W28" i="102"/>
  <c r="C37" i="102"/>
  <c r="Q46" i="102"/>
  <c r="T198" i="102"/>
  <c r="T136" i="102"/>
  <c r="C28" i="102"/>
  <c r="X28" i="102"/>
  <c r="E71" i="102"/>
  <c r="T72" i="102"/>
  <c r="C91" i="102"/>
  <c r="Q28" i="102"/>
  <c r="B46" i="102"/>
  <c r="W100" i="102"/>
  <c r="H109" i="102"/>
  <c r="I199" i="102"/>
  <c r="D46" i="102"/>
  <c r="T55" i="102"/>
  <c r="V82" i="102"/>
  <c r="C100" i="102"/>
  <c r="I109" i="102"/>
  <c r="N190" i="102"/>
  <c r="Y99" i="102"/>
  <c r="M91" i="102"/>
  <c r="T10" i="102"/>
  <c r="Q100" i="102"/>
  <c r="T144" i="102"/>
  <c r="L181" i="102"/>
  <c r="M28" i="102"/>
  <c r="S37" i="102"/>
  <c r="H91" i="102"/>
  <c r="N154" i="102"/>
  <c r="Y189" i="102"/>
  <c r="M190" i="102"/>
  <c r="O26" i="102"/>
  <c r="E153" i="102"/>
  <c r="L100" i="102"/>
  <c r="B181" i="102"/>
  <c r="G154" i="102"/>
  <c r="R190" i="102"/>
  <c r="T153" i="102"/>
  <c r="J10" i="102"/>
  <c r="Y19" i="102"/>
  <c r="E26" i="102"/>
  <c r="I28" i="102"/>
  <c r="V28" i="102"/>
  <c r="M46" i="102"/>
  <c r="M64" i="102"/>
  <c r="E63" i="102"/>
  <c r="I73" i="102"/>
  <c r="W73" i="102"/>
  <c r="O72" i="102"/>
  <c r="E81" i="102"/>
  <c r="E98" i="102"/>
  <c r="Y98" i="102"/>
  <c r="E108" i="102"/>
  <c r="L118" i="102"/>
  <c r="X118" i="102"/>
  <c r="I127" i="102"/>
  <c r="W127" i="102"/>
  <c r="H181" i="102"/>
  <c r="H199" i="102"/>
  <c r="W199" i="102"/>
  <c r="C145" i="102"/>
  <c r="X190" i="102"/>
  <c r="B154" i="102"/>
  <c r="Y35" i="102"/>
  <c r="T62" i="102"/>
  <c r="E72" i="102"/>
  <c r="T80" i="102"/>
  <c r="B127" i="102"/>
  <c r="E198" i="102"/>
  <c r="E136" i="102"/>
  <c r="J143" i="102"/>
  <c r="N145" i="102"/>
  <c r="G28" i="102"/>
  <c r="R100" i="102"/>
  <c r="H145" i="102"/>
  <c r="X37" i="102"/>
  <c r="Y55" i="102"/>
  <c r="Y90" i="102"/>
  <c r="I145" i="102"/>
  <c r="Y143" i="102"/>
  <c r="E36" i="102"/>
  <c r="Y36" i="102"/>
  <c r="Y62" i="102"/>
  <c r="J72" i="102"/>
  <c r="E90" i="102"/>
  <c r="T99" i="102"/>
  <c r="Y117" i="102"/>
  <c r="D145" i="102"/>
  <c r="J144" i="102"/>
  <c r="X127" i="102"/>
  <c r="E10" i="102"/>
  <c r="C64" i="102"/>
  <c r="C109" i="102"/>
  <c r="E45" i="102"/>
  <c r="M199" i="102"/>
  <c r="Y10" i="102"/>
  <c r="J19" i="102"/>
  <c r="Y26" i="102"/>
  <c r="J62" i="102"/>
  <c r="Y63" i="102"/>
  <c r="G82" i="102"/>
  <c r="S82" i="102"/>
  <c r="Y89" i="102"/>
  <c r="D118" i="102"/>
  <c r="R118" i="102"/>
  <c r="C127" i="102"/>
  <c r="Q127" i="102"/>
  <c r="E179" i="102"/>
  <c r="T180" i="102"/>
  <c r="E197" i="102"/>
  <c r="J153" i="102"/>
  <c r="X154" i="102"/>
  <c r="E172" i="102"/>
  <c r="T172" i="102"/>
  <c r="O188" i="102"/>
  <c r="S190" i="102"/>
  <c r="N109" i="102"/>
  <c r="W181" i="102"/>
  <c r="N118" i="102"/>
  <c r="D82" i="102"/>
  <c r="L91" i="102"/>
  <c r="I100" i="102"/>
  <c r="M181" i="102"/>
  <c r="D190" i="102"/>
  <c r="M37" i="102"/>
  <c r="G46" i="102"/>
  <c r="N46" i="102"/>
  <c r="W91" i="102"/>
  <c r="M100" i="102"/>
  <c r="J126" i="102"/>
  <c r="T179" i="102"/>
  <c r="D154" i="102"/>
  <c r="R154" i="102"/>
  <c r="Y153" i="102"/>
  <c r="J163" i="102"/>
  <c r="I181" i="102"/>
  <c r="M73" i="102"/>
  <c r="M127" i="102"/>
  <c r="D109" i="102"/>
  <c r="E27" i="102"/>
  <c r="J36" i="102"/>
  <c r="W37" i="102"/>
  <c r="H46" i="102"/>
  <c r="O45" i="102"/>
  <c r="T45" i="102"/>
  <c r="I64" i="102"/>
  <c r="S73" i="102"/>
  <c r="G100" i="102"/>
  <c r="N100" i="102"/>
  <c r="O108" i="102"/>
  <c r="Y126" i="102"/>
  <c r="W145" i="102"/>
  <c r="O152" i="102"/>
  <c r="S154" i="102"/>
  <c r="Y163" i="102"/>
  <c r="J172" i="102"/>
  <c r="G190" i="102"/>
  <c r="B118" i="102"/>
  <c r="R82" i="102"/>
  <c r="R109" i="102"/>
  <c r="T35" i="102"/>
  <c r="V46" i="102"/>
  <c r="E55" i="102"/>
  <c r="X64" i="102"/>
  <c r="H73" i="102"/>
  <c r="L82" i="102"/>
  <c r="X82" i="102"/>
  <c r="D91" i="102"/>
  <c r="H100" i="102"/>
  <c r="O107" i="102"/>
  <c r="O117" i="102"/>
  <c r="G181" i="102"/>
  <c r="S181" i="102"/>
  <c r="T189" i="102"/>
  <c r="I190" i="102"/>
  <c r="E19" i="102"/>
  <c r="T27" i="102"/>
  <c r="E35" i="102"/>
  <c r="T90" i="102"/>
  <c r="D100" i="102"/>
  <c r="J99" i="102"/>
  <c r="O143" i="102"/>
  <c r="S145" i="102"/>
  <c r="N28" i="102"/>
  <c r="R28" i="102"/>
  <c r="E62" i="102"/>
  <c r="O198" i="102"/>
  <c r="O136" i="102"/>
  <c r="C190" i="102"/>
  <c r="J189" i="102"/>
  <c r="T188" i="102"/>
  <c r="O27" i="102"/>
  <c r="S46" i="102"/>
  <c r="B82" i="102"/>
  <c r="N82" i="102"/>
  <c r="R91" i="102"/>
  <c r="E99" i="102"/>
  <c r="N181" i="102"/>
  <c r="B145" i="102"/>
  <c r="E143" i="102"/>
  <c r="E189" i="102"/>
  <c r="O44" i="102"/>
  <c r="L46" i="102"/>
  <c r="G37" i="102"/>
  <c r="N37" i="102"/>
  <c r="D64" i="102"/>
  <c r="R64" i="102"/>
  <c r="N73" i="102"/>
  <c r="O89" i="102"/>
  <c r="Y107" i="102"/>
  <c r="G118" i="102"/>
  <c r="S118" i="102"/>
  <c r="J117" i="102"/>
  <c r="D127" i="102"/>
  <c r="R127" i="102"/>
  <c r="C181" i="102"/>
  <c r="C199" i="102"/>
  <c r="Q199" i="102"/>
  <c r="E152" i="102"/>
  <c r="I154" i="102"/>
  <c r="Y152" i="102"/>
  <c r="E163" i="102"/>
  <c r="O10" i="102"/>
  <c r="O80" i="102"/>
  <c r="O19" i="102"/>
  <c r="J27" i="102"/>
  <c r="Y27" i="102"/>
  <c r="O55" i="102"/>
  <c r="S64" i="102"/>
  <c r="C73" i="102"/>
  <c r="Q73" i="102"/>
  <c r="S91" i="102"/>
  <c r="X109" i="102"/>
  <c r="H118" i="102"/>
  <c r="V118" i="102"/>
  <c r="G127" i="102"/>
  <c r="S127" i="102"/>
  <c r="Y188" i="102"/>
  <c r="T19" i="102"/>
  <c r="L28" i="102"/>
  <c r="O36" i="102"/>
  <c r="N64" i="102"/>
  <c r="T63" i="102"/>
  <c r="O71" i="102"/>
  <c r="X73" i="102"/>
  <c r="I82" i="102"/>
  <c r="Y80" i="102"/>
  <c r="O81" i="102"/>
  <c r="S100" i="102"/>
  <c r="G109" i="102"/>
  <c r="S109" i="102"/>
  <c r="J108" i="102"/>
  <c r="Y108" i="102"/>
  <c r="E116" i="102"/>
  <c r="T116" i="102"/>
  <c r="T117" i="102"/>
  <c r="E125" i="102"/>
  <c r="N127" i="102"/>
  <c r="T126" i="102"/>
  <c r="O179" i="102"/>
  <c r="X181" i="102"/>
  <c r="O197" i="102"/>
  <c r="X199" i="102"/>
  <c r="M145" i="102"/>
  <c r="T163" i="102"/>
  <c r="W190" i="102"/>
  <c r="I37" i="102"/>
  <c r="R37" i="102"/>
  <c r="W46" i="102"/>
  <c r="H64" i="102"/>
  <c r="D73" i="102"/>
  <c r="R73" i="102"/>
  <c r="E80" i="102"/>
  <c r="T81" i="102"/>
  <c r="I91" i="102"/>
  <c r="M109" i="102"/>
  <c r="I118" i="102"/>
  <c r="Y116" i="102"/>
  <c r="H127" i="102"/>
  <c r="Y125" i="102"/>
  <c r="D181" i="102"/>
  <c r="R181" i="102"/>
  <c r="J180" i="102"/>
  <c r="D199" i="102"/>
  <c r="R199" i="102"/>
  <c r="J198" i="102"/>
  <c r="J136" i="102"/>
  <c r="Y172" i="102"/>
  <c r="O35" i="102"/>
  <c r="E44" i="102"/>
  <c r="W64" i="102"/>
  <c r="O63" i="102"/>
  <c r="J71" i="102"/>
  <c r="Y72" i="102"/>
  <c r="J90" i="102"/>
  <c r="E107" i="102"/>
  <c r="L127" i="102"/>
  <c r="Y180" i="102"/>
  <c r="J197" i="102"/>
  <c r="Y198" i="102"/>
  <c r="Y136" i="102"/>
  <c r="T143" i="102"/>
  <c r="O163" i="102"/>
  <c r="H28" i="102"/>
  <c r="T36" i="102"/>
  <c r="I46" i="102"/>
  <c r="R46" i="102"/>
  <c r="J55" i="102"/>
  <c r="O62" i="102"/>
  <c r="Y71" i="102"/>
  <c r="J81" i="102"/>
  <c r="Y81" i="102"/>
  <c r="Q91" i="102"/>
  <c r="X91" i="102"/>
  <c r="X100" i="102"/>
  <c r="T107" i="102"/>
  <c r="T108" i="102"/>
  <c r="O116" i="102"/>
  <c r="E117" i="102"/>
  <c r="O125" i="102"/>
  <c r="Y179" i="102"/>
  <c r="Y197" i="102"/>
  <c r="R145" i="102"/>
  <c r="H154" i="102"/>
  <c r="O153" i="102"/>
  <c r="O172" i="102"/>
  <c r="H190" i="102"/>
  <c r="O189" i="102"/>
  <c r="Q190" i="102"/>
  <c r="J188" i="102"/>
  <c r="B190" i="102"/>
  <c r="V190" i="102"/>
  <c r="L190" i="102"/>
  <c r="V154" i="102"/>
  <c r="T152" i="102"/>
  <c r="L154" i="102"/>
  <c r="Q154" i="102"/>
  <c r="J152" i="102"/>
  <c r="C154" i="102"/>
  <c r="M154" i="102"/>
  <c r="W154" i="102"/>
  <c r="G145" i="102"/>
  <c r="E144" i="102"/>
  <c r="V145" i="102"/>
  <c r="Q145" i="102"/>
  <c r="L145" i="102"/>
  <c r="G199" i="102"/>
  <c r="T197" i="102"/>
  <c r="B199" i="102"/>
  <c r="L199" i="102"/>
  <c r="V199" i="102"/>
  <c r="J179" i="102"/>
  <c r="O180" i="102"/>
  <c r="V181" i="102"/>
  <c r="Q181" i="102"/>
  <c r="E180" i="102"/>
  <c r="J125" i="102"/>
  <c r="T125" i="102"/>
  <c r="E126" i="102"/>
  <c r="O126" i="102"/>
  <c r="V127" i="102"/>
  <c r="Q118" i="102"/>
  <c r="J116" i="102"/>
  <c r="C118" i="102"/>
  <c r="M118" i="102"/>
  <c r="W118" i="102"/>
  <c r="Q109" i="102"/>
  <c r="J107" i="102"/>
  <c r="B109" i="102"/>
  <c r="L109" i="102"/>
  <c r="W109" i="102"/>
  <c r="O98" i="102"/>
  <c r="J98" i="102"/>
  <c r="T98" i="102"/>
  <c r="O99" i="102"/>
  <c r="V100" i="102"/>
  <c r="B100" i="102"/>
  <c r="J89" i="102"/>
  <c r="T89" i="102"/>
  <c r="O90" i="102"/>
  <c r="V91" i="102"/>
  <c r="B91" i="102"/>
  <c r="Q82" i="102"/>
  <c r="J80" i="102"/>
  <c r="M82" i="102"/>
  <c r="C82" i="102"/>
  <c r="W82" i="102"/>
  <c r="G73" i="102"/>
  <c r="T71" i="102"/>
  <c r="B73" i="102"/>
  <c r="L73" i="102"/>
  <c r="V73" i="102"/>
  <c r="G64" i="102"/>
  <c r="B64" i="102"/>
  <c r="L64" i="102"/>
  <c r="Q64" i="102"/>
  <c r="V64" i="102"/>
  <c r="Y44" i="102"/>
  <c r="J45" i="102"/>
  <c r="C46" i="102"/>
  <c r="J44" i="102"/>
  <c r="T44" i="102"/>
  <c r="D37" i="102"/>
  <c r="J35" i="102"/>
  <c r="B37" i="102"/>
  <c r="V37" i="102"/>
  <c r="L37" i="102"/>
  <c r="Q37" i="102"/>
  <c r="J26" i="102"/>
  <c r="B28" i="102"/>
  <c r="N393" i="103"/>
  <c r="M393" i="103"/>
  <c r="L393" i="103"/>
  <c r="I393" i="103"/>
  <c r="H393" i="103"/>
  <c r="G393" i="103"/>
  <c r="D393" i="103"/>
  <c r="C393" i="103"/>
  <c r="B393" i="103"/>
  <c r="O391" i="103"/>
  <c r="J391" i="103"/>
  <c r="E391" i="103"/>
  <c r="O390" i="103"/>
  <c r="J390" i="103"/>
  <c r="E390" i="103"/>
  <c r="O389" i="103"/>
  <c r="J389" i="103"/>
  <c r="E389" i="103"/>
  <c r="O388" i="103"/>
  <c r="J388" i="103"/>
  <c r="E388" i="103"/>
  <c r="O387" i="103"/>
  <c r="J387" i="103"/>
  <c r="E387" i="103"/>
  <c r="O386" i="103"/>
  <c r="J386" i="103"/>
  <c r="E386" i="103"/>
  <c r="O385" i="103"/>
  <c r="J385" i="103"/>
  <c r="E385" i="103"/>
  <c r="O384" i="103"/>
  <c r="J384" i="103"/>
  <c r="E384" i="103"/>
  <c r="O383" i="103"/>
  <c r="J383" i="103"/>
  <c r="E383" i="103"/>
  <c r="O381" i="103"/>
  <c r="J381" i="103"/>
  <c r="E381" i="103"/>
  <c r="L380" i="103"/>
  <c r="G380" i="103"/>
  <c r="B380" i="103"/>
  <c r="N376" i="103"/>
  <c r="M376" i="103"/>
  <c r="L376" i="103"/>
  <c r="I376" i="103"/>
  <c r="H376" i="103"/>
  <c r="G376" i="103"/>
  <c r="D376" i="103"/>
  <c r="C376" i="103"/>
  <c r="B376" i="103"/>
  <c r="O374" i="103"/>
  <c r="J374" i="103"/>
  <c r="E374" i="103"/>
  <c r="O373" i="103"/>
  <c r="J373" i="103"/>
  <c r="E373" i="103"/>
  <c r="O372" i="103"/>
  <c r="J372" i="103"/>
  <c r="E372" i="103"/>
  <c r="O371" i="103"/>
  <c r="J371" i="103"/>
  <c r="E371" i="103"/>
  <c r="O370" i="103"/>
  <c r="J370" i="103"/>
  <c r="E370" i="103"/>
  <c r="O369" i="103"/>
  <c r="J369" i="103"/>
  <c r="E369" i="103"/>
  <c r="O368" i="103"/>
  <c r="J368" i="103"/>
  <c r="E368" i="103"/>
  <c r="O367" i="103"/>
  <c r="J367" i="103"/>
  <c r="E367" i="103"/>
  <c r="O366" i="103"/>
  <c r="J366" i="103"/>
  <c r="E366" i="103"/>
  <c r="O364" i="103"/>
  <c r="J364" i="103"/>
  <c r="E364" i="103"/>
  <c r="L363" i="103"/>
  <c r="G363" i="103"/>
  <c r="B363" i="103"/>
  <c r="N359" i="103"/>
  <c r="M359" i="103"/>
  <c r="L359" i="103"/>
  <c r="I359" i="103"/>
  <c r="H359" i="103"/>
  <c r="G359" i="103"/>
  <c r="D359" i="103"/>
  <c r="C359" i="103"/>
  <c r="B359" i="103"/>
  <c r="O357" i="103"/>
  <c r="J357" i="103"/>
  <c r="E357" i="103"/>
  <c r="O356" i="103"/>
  <c r="J356" i="103"/>
  <c r="E356" i="103"/>
  <c r="O355" i="103"/>
  <c r="J355" i="103"/>
  <c r="E355" i="103"/>
  <c r="O354" i="103"/>
  <c r="J354" i="103"/>
  <c r="E354" i="103"/>
  <c r="O353" i="103"/>
  <c r="J353" i="103"/>
  <c r="E353" i="103"/>
  <c r="O352" i="103"/>
  <c r="J352" i="103"/>
  <c r="E352" i="103"/>
  <c r="O351" i="103"/>
  <c r="J351" i="103"/>
  <c r="E351" i="103"/>
  <c r="O350" i="103"/>
  <c r="J350" i="103"/>
  <c r="E350" i="103"/>
  <c r="O349" i="103"/>
  <c r="J349" i="103"/>
  <c r="E349" i="103"/>
  <c r="O347" i="103"/>
  <c r="J347" i="103"/>
  <c r="E347" i="103"/>
  <c r="L346" i="103"/>
  <c r="G346" i="103"/>
  <c r="B346" i="103"/>
  <c r="N342" i="103"/>
  <c r="M342" i="103"/>
  <c r="L342" i="103"/>
  <c r="I342" i="103"/>
  <c r="H342" i="103"/>
  <c r="G342" i="103"/>
  <c r="D342" i="103"/>
  <c r="C342" i="103"/>
  <c r="B342" i="103"/>
  <c r="O340" i="103"/>
  <c r="J340" i="103"/>
  <c r="E340" i="103"/>
  <c r="O339" i="103"/>
  <c r="J339" i="103"/>
  <c r="E339" i="103"/>
  <c r="O338" i="103"/>
  <c r="J338" i="103"/>
  <c r="E338" i="103"/>
  <c r="O337" i="103"/>
  <c r="J337" i="103"/>
  <c r="E337" i="103"/>
  <c r="O336" i="103"/>
  <c r="J336" i="103"/>
  <c r="E336" i="103"/>
  <c r="O335" i="103"/>
  <c r="J335" i="103"/>
  <c r="E335" i="103"/>
  <c r="O334" i="103"/>
  <c r="J334" i="103"/>
  <c r="E334" i="103"/>
  <c r="O333" i="103"/>
  <c r="J333" i="103"/>
  <c r="E333" i="103"/>
  <c r="O332" i="103"/>
  <c r="J332" i="103"/>
  <c r="E332" i="103"/>
  <c r="O330" i="103"/>
  <c r="J330" i="103"/>
  <c r="E330" i="103"/>
  <c r="L329" i="103"/>
  <c r="G329" i="103"/>
  <c r="B329" i="103"/>
  <c r="N325" i="103"/>
  <c r="M325" i="103"/>
  <c r="L325" i="103"/>
  <c r="I325" i="103"/>
  <c r="H325" i="103"/>
  <c r="G325" i="103"/>
  <c r="D325" i="103"/>
  <c r="C325" i="103"/>
  <c r="B325" i="103"/>
  <c r="O323" i="103"/>
  <c r="J323" i="103"/>
  <c r="E323" i="103"/>
  <c r="O322" i="103"/>
  <c r="J322" i="103"/>
  <c r="E322" i="103"/>
  <c r="O321" i="103"/>
  <c r="J321" i="103"/>
  <c r="E321" i="103"/>
  <c r="O320" i="103"/>
  <c r="J320" i="103"/>
  <c r="E320" i="103"/>
  <c r="O319" i="103"/>
  <c r="J319" i="103"/>
  <c r="E319" i="103"/>
  <c r="O318" i="103"/>
  <c r="J318" i="103"/>
  <c r="E318" i="103"/>
  <c r="O317" i="103"/>
  <c r="J317" i="103"/>
  <c r="E317" i="103"/>
  <c r="O316" i="103"/>
  <c r="J316" i="103"/>
  <c r="E316" i="103"/>
  <c r="O315" i="103"/>
  <c r="J315" i="103"/>
  <c r="E315" i="103"/>
  <c r="O313" i="103"/>
  <c r="J313" i="103"/>
  <c r="E313" i="103"/>
  <c r="L312" i="103"/>
  <c r="G312" i="103"/>
  <c r="B312" i="103"/>
  <c r="N308" i="103"/>
  <c r="M308" i="103"/>
  <c r="L308" i="103"/>
  <c r="I308" i="103"/>
  <c r="H308" i="103"/>
  <c r="G308" i="103"/>
  <c r="D308" i="103"/>
  <c r="C308" i="103"/>
  <c r="B308" i="103"/>
  <c r="O306" i="103"/>
  <c r="J306" i="103"/>
  <c r="E306" i="103"/>
  <c r="O305" i="103"/>
  <c r="J305" i="103"/>
  <c r="E305" i="103"/>
  <c r="O304" i="103"/>
  <c r="J304" i="103"/>
  <c r="E304" i="103"/>
  <c r="O303" i="103"/>
  <c r="J303" i="103"/>
  <c r="E303" i="103"/>
  <c r="O302" i="103"/>
  <c r="J302" i="103"/>
  <c r="E302" i="103"/>
  <c r="O301" i="103"/>
  <c r="J301" i="103"/>
  <c r="E301" i="103"/>
  <c r="O300" i="103"/>
  <c r="J300" i="103"/>
  <c r="E300" i="103"/>
  <c r="O299" i="103"/>
  <c r="J299" i="103"/>
  <c r="E299" i="103"/>
  <c r="O298" i="103"/>
  <c r="J298" i="103"/>
  <c r="E298" i="103"/>
  <c r="O296" i="103"/>
  <c r="J296" i="103"/>
  <c r="E296" i="103"/>
  <c r="L295" i="103"/>
  <c r="G295" i="103"/>
  <c r="B295" i="103"/>
  <c r="N291" i="103"/>
  <c r="M291" i="103"/>
  <c r="L291" i="103"/>
  <c r="I291" i="103"/>
  <c r="H291" i="103"/>
  <c r="G291" i="103"/>
  <c r="D291" i="103"/>
  <c r="C291" i="103"/>
  <c r="B291" i="103"/>
  <c r="O289" i="103"/>
  <c r="J289" i="103"/>
  <c r="E289" i="103"/>
  <c r="O288" i="103"/>
  <c r="J288" i="103"/>
  <c r="E288" i="103"/>
  <c r="O287" i="103"/>
  <c r="J287" i="103"/>
  <c r="E287" i="103"/>
  <c r="O286" i="103"/>
  <c r="J286" i="103"/>
  <c r="E286" i="103"/>
  <c r="O285" i="103"/>
  <c r="J285" i="103"/>
  <c r="E285" i="103"/>
  <c r="O284" i="103"/>
  <c r="J284" i="103"/>
  <c r="E284" i="103"/>
  <c r="O283" i="103"/>
  <c r="J283" i="103"/>
  <c r="E283" i="103"/>
  <c r="O282" i="103"/>
  <c r="J282" i="103"/>
  <c r="E282" i="103"/>
  <c r="O281" i="103"/>
  <c r="J281" i="103"/>
  <c r="E281" i="103"/>
  <c r="O279" i="103"/>
  <c r="J279" i="103"/>
  <c r="E279" i="103"/>
  <c r="L278" i="103"/>
  <c r="G278" i="103"/>
  <c r="B278" i="103"/>
  <c r="N274" i="103"/>
  <c r="M274" i="103"/>
  <c r="L274" i="103"/>
  <c r="I274" i="103"/>
  <c r="H274" i="103"/>
  <c r="G274" i="103"/>
  <c r="D274" i="103"/>
  <c r="C274" i="103"/>
  <c r="B274" i="103"/>
  <c r="O272" i="103"/>
  <c r="J272" i="103"/>
  <c r="E272" i="103"/>
  <c r="O271" i="103"/>
  <c r="J271" i="103"/>
  <c r="E271" i="103"/>
  <c r="O270" i="103"/>
  <c r="J270" i="103"/>
  <c r="E270" i="103"/>
  <c r="O269" i="103"/>
  <c r="J269" i="103"/>
  <c r="E269" i="103"/>
  <c r="O268" i="103"/>
  <c r="J268" i="103"/>
  <c r="E268" i="103"/>
  <c r="O267" i="103"/>
  <c r="J267" i="103"/>
  <c r="E267" i="103"/>
  <c r="O266" i="103"/>
  <c r="J266" i="103"/>
  <c r="E266" i="103"/>
  <c r="O265" i="103"/>
  <c r="J265" i="103"/>
  <c r="E265" i="103"/>
  <c r="O264" i="103"/>
  <c r="J264" i="103"/>
  <c r="E264" i="103"/>
  <c r="O262" i="103"/>
  <c r="J262" i="103"/>
  <c r="E262" i="103"/>
  <c r="L261" i="103"/>
  <c r="G261" i="103"/>
  <c r="B261" i="103"/>
  <c r="N257" i="103"/>
  <c r="M257" i="103"/>
  <c r="L257" i="103"/>
  <c r="I257" i="103"/>
  <c r="H257" i="103"/>
  <c r="G257" i="103"/>
  <c r="D257" i="103"/>
  <c r="C257" i="103"/>
  <c r="B257" i="103"/>
  <c r="O255" i="103"/>
  <c r="J255" i="103"/>
  <c r="E255" i="103"/>
  <c r="O254" i="103"/>
  <c r="J254" i="103"/>
  <c r="E254" i="103"/>
  <c r="O253" i="103"/>
  <c r="J253" i="103"/>
  <c r="E253" i="103"/>
  <c r="O252" i="103"/>
  <c r="J252" i="103"/>
  <c r="E252" i="103"/>
  <c r="O251" i="103"/>
  <c r="J251" i="103"/>
  <c r="E251" i="103"/>
  <c r="O250" i="103"/>
  <c r="J250" i="103"/>
  <c r="E250" i="103"/>
  <c r="O249" i="103"/>
  <c r="J249" i="103"/>
  <c r="E249" i="103"/>
  <c r="O248" i="103"/>
  <c r="J248" i="103"/>
  <c r="E248" i="103"/>
  <c r="O247" i="103"/>
  <c r="J247" i="103"/>
  <c r="E247" i="103"/>
  <c r="O245" i="103"/>
  <c r="J245" i="103"/>
  <c r="E245" i="103"/>
  <c r="L244" i="103"/>
  <c r="G244" i="103"/>
  <c r="B244" i="103"/>
  <c r="N240" i="103"/>
  <c r="M240" i="103"/>
  <c r="L240" i="103"/>
  <c r="I240" i="103"/>
  <c r="H240" i="103"/>
  <c r="G240" i="103"/>
  <c r="D240" i="103"/>
  <c r="C240" i="103"/>
  <c r="B240" i="103"/>
  <c r="O238" i="103"/>
  <c r="J238" i="103"/>
  <c r="E238" i="103"/>
  <c r="O237" i="103"/>
  <c r="J237" i="103"/>
  <c r="E237" i="103"/>
  <c r="O236" i="103"/>
  <c r="J236" i="103"/>
  <c r="E236" i="103"/>
  <c r="O235" i="103"/>
  <c r="J235" i="103"/>
  <c r="E235" i="103"/>
  <c r="O234" i="103"/>
  <c r="J234" i="103"/>
  <c r="E234" i="103"/>
  <c r="O233" i="103"/>
  <c r="J233" i="103"/>
  <c r="E233" i="103"/>
  <c r="O232" i="103"/>
  <c r="J232" i="103"/>
  <c r="E232" i="103"/>
  <c r="O231" i="103"/>
  <c r="J231" i="103"/>
  <c r="E231" i="103"/>
  <c r="O230" i="103"/>
  <c r="J230" i="103"/>
  <c r="E230" i="103"/>
  <c r="O228" i="103"/>
  <c r="J228" i="103"/>
  <c r="E228" i="103"/>
  <c r="L227" i="103"/>
  <c r="G227" i="103"/>
  <c r="B227" i="103"/>
  <c r="N223" i="103"/>
  <c r="M223" i="103"/>
  <c r="L223" i="103"/>
  <c r="I223" i="103"/>
  <c r="H223" i="103"/>
  <c r="G223" i="103"/>
  <c r="D223" i="103"/>
  <c r="C223" i="103"/>
  <c r="B223" i="103"/>
  <c r="O221" i="103"/>
  <c r="J221" i="103"/>
  <c r="E221" i="103"/>
  <c r="O220" i="103"/>
  <c r="J220" i="103"/>
  <c r="E220" i="103"/>
  <c r="O219" i="103"/>
  <c r="J219" i="103"/>
  <c r="E219" i="103"/>
  <c r="O218" i="103"/>
  <c r="J218" i="103"/>
  <c r="E218" i="103"/>
  <c r="O217" i="103"/>
  <c r="J217" i="103"/>
  <c r="E217" i="103"/>
  <c r="O216" i="103"/>
  <c r="J216" i="103"/>
  <c r="E216" i="103"/>
  <c r="O215" i="103"/>
  <c r="J215" i="103"/>
  <c r="E215" i="103"/>
  <c r="O214" i="103"/>
  <c r="J214" i="103"/>
  <c r="E214" i="103"/>
  <c r="O213" i="103"/>
  <c r="J213" i="103"/>
  <c r="E213" i="103"/>
  <c r="O211" i="103"/>
  <c r="J211" i="103"/>
  <c r="E211" i="103"/>
  <c r="L210" i="103"/>
  <c r="G210" i="103"/>
  <c r="B210" i="103"/>
  <c r="N206" i="103"/>
  <c r="M206" i="103"/>
  <c r="L206" i="103"/>
  <c r="I206" i="103"/>
  <c r="H206" i="103"/>
  <c r="G206" i="103"/>
  <c r="D206" i="103"/>
  <c r="C206" i="103"/>
  <c r="B206" i="103"/>
  <c r="O204" i="103"/>
  <c r="J204" i="103"/>
  <c r="E204" i="103"/>
  <c r="O203" i="103"/>
  <c r="J203" i="103"/>
  <c r="E203" i="103"/>
  <c r="O202" i="103"/>
  <c r="J202" i="103"/>
  <c r="E202" i="103"/>
  <c r="O201" i="103"/>
  <c r="J201" i="103"/>
  <c r="E201" i="103"/>
  <c r="O200" i="103"/>
  <c r="J200" i="103"/>
  <c r="E200" i="103"/>
  <c r="O199" i="103"/>
  <c r="J199" i="103"/>
  <c r="E199" i="103"/>
  <c r="O198" i="103"/>
  <c r="J198" i="103"/>
  <c r="E198" i="103"/>
  <c r="O197" i="103"/>
  <c r="J197" i="103"/>
  <c r="E197" i="103"/>
  <c r="O196" i="103"/>
  <c r="J196" i="103"/>
  <c r="E196" i="103"/>
  <c r="O194" i="103"/>
  <c r="J194" i="103"/>
  <c r="E194" i="103"/>
  <c r="L193" i="103"/>
  <c r="G193" i="103"/>
  <c r="B193" i="103"/>
  <c r="N189" i="103"/>
  <c r="M189" i="103"/>
  <c r="L189" i="103"/>
  <c r="I189" i="103"/>
  <c r="H189" i="103"/>
  <c r="G189" i="103"/>
  <c r="D189" i="103"/>
  <c r="C189" i="103"/>
  <c r="B189" i="103"/>
  <c r="O187" i="103"/>
  <c r="J187" i="103"/>
  <c r="E187" i="103"/>
  <c r="O186" i="103"/>
  <c r="J186" i="103"/>
  <c r="E186" i="103"/>
  <c r="O185" i="103"/>
  <c r="J185" i="103"/>
  <c r="E185" i="103"/>
  <c r="O184" i="103"/>
  <c r="J184" i="103"/>
  <c r="E184" i="103"/>
  <c r="O183" i="103"/>
  <c r="J183" i="103"/>
  <c r="E183" i="103"/>
  <c r="O182" i="103"/>
  <c r="J182" i="103"/>
  <c r="E182" i="103"/>
  <c r="O181" i="103"/>
  <c r="J181" i="103"/>
  <c r="E181" i="103"/>
  <c r="O180" i="103"/>
  <c r="J180" i="103"/>
  <c r="E180" i="103"/>
  <c r="O179" i="103"/>
  <c r="J179" i="103"/>
  <c r="E179" i="103"/>
  <c r="O177" i="103"/>
  <c r="J177" i="103"/>
  <c r="E177" i="103"/>
  <c r="L176" i="103"/>
  <c r="G176" i="103"/>
  <c r="B176" i="103"/>
  <c r="N172" i="103"/>
  <c r="M172" i="103"/>
  <c r="L172" i="103"/>
  <c r="I172" i="103"/>
  <c r="H172" i="103"/>
  <c r="G172" i="103"/>
  <c r="D172" i="103"/>
  <c r="C172" i="103"/>
  <c r="B172" i="103"/>
  <c r="O170" i="103"/>
  <c r="J170" i="103"/>
  <c r="E170" i="103"/>
  <c r="O169" i="103"/>
  <c r="J169" i="103"/>
  <c r="E169" i="103"/>
  <c r="O168" i="103"/>
  <c r="J168" i="103"/>
  <c r="E168" i="103"/>
  <c r="O167" i="103"/>
  <c r="J167" i="103"/>
  <c r="E167" i="103"/>
  <c r="O166" i="103"/>
  <c r="J166" i="103"/>
  <c r="E166" i="103"/>
  <c r="O165" i="103"/>
  <c r="J165" i="103"/>
  <c r="E165" i="103"/>
  <c r="O164" i="103"/>
  <c r="J164" i="103"/>
  <c r="E164" i="103"/>
  <c r="O163" i="103"/>
  <c r="J163" i="103"/>
  <c r="E163" i="103"/>
  <c r="O162" i="103"/>
  <c r="J162" i="103"/>
  <c r="E162" i="103"/>
  <c r="O160" i="103"/>
  <c r="J160" i="103"/>
  <c r="E160" i="103"/>
  <c r="L159" i="103"/>
  <c r="G159" i="103"/>
  <c r="B159" i="103"/>
  <c r="N155" i="103"/>
  <c r="M155" i="103"/>
  <c r="L155" i="103"/>
  <c r="I155" i="103"/>
  <c r="H155" i="103"/>
  <c r="G155" i="103"/>
  <c r="D155" i="103"/>
  <c r="C155" i="103"/>
  <c r="B155" i="103"/>
  <c r="O153" i="103"/>
  <c r="J153" i="103"/>
  <c r="E153" i="103"/>
  <c r="O152" i="103"/>
  <c r="J152" i="103"/>
  <c r="E152" i="103"/>
  <c r="O151" i="103"/>
  <c r="J151" i="103"/>
  <c r="E151" i="103"/>
  <c r="O150" i="103"/>
  <c r="J150" i="103"/>
  <c r="E150" i="103"/>
  <c r="O149" i="103"/>
  <c r="J149" i="103"/>
  <c r="E149" i="103"/>
  <c r="O148" i="103"/>
  <c r="J148" i="103"/>
  <c r="E148" i="103"/>
  <c r="O147" i="103"/>
  <c r="J147" i="103"/>
  <c r="E147" i="103"/>
  <c r="O146" i="103"/>
  <c r="J146" i="103"/>
  <c r="E146" i="103"/>
  <c r="O145" i="103"/>
  <c r="J145" i="103"/>
  <c r="E145" i="103"/>
  <c r="O143" i="103"/>
  <c r="J143" i="103"/>
  <c r="E143" i="103"/>
  <c r="L142" i="103"/>
  <c r="G142" i="103"/>
  <c r="B142" i="103"/>
  <c r="N138" i="103"/>
  <c r="M138" i="103"/>
  <c r="L138" i="103"/>
  <c r="I138" i="103"/>
  <c r="H138" i="103"/>
  <c r="G138" i="103"/>
  <c r="D138" i="103"/>
  <c r="C138" i="103"/>
  <c r="B138" i="103"/>
  <c r="O136" i="103"/>
  <c r="J136" i="103"/>
  <c r="E136" i="103"/>
  <c r="O135" i="103"/>
  <c r="J135" i="103"/>
  <c r="E135" i="103"/>
  <c r="O134" i="103"/>
  <c r="J134" i="103"/>
  <c r="E134" i="103"/>
  <c r="O133" i="103"/>
  <c r="J133" i="103"/>
  <c r="E133" i="103"/>
  <c r="O132" i="103"/>
  <c r="J132" i="103"/>
  <c r="E132" i="103"/>
  <c r="O131" i="103"/>
  <c r="J131" i="103"/>
  <c r="E131" i="103"/>
  <c r="O130" i="103"/>
  <c r="J130" i="103"/>
  <c r="E130" i="103"/>
  <c r="O129" i="103"/>
  <c r="J129" i="103"/>
  <c r="E129" i="103"/>
  <c r="O128" i="103"/>
  <c r="J128" i="103"/>
  <c r="E128" i="103"/>
  <c r="O126" i="103"/>
  <c r="J126" i="103"/>
  <c r="E126" i="103"/>
  <c r="L125" i="103"/>
  <c r="G125" i="103"/>
  <c r="B125" i="103"/>
  <c r="N121" i="103"/>
  <c r="M121" i="103"/>
  <c r="L121" i="103"/>
  <c r="I121" i="103"/>
  <c r="H121" i="103"/>
  <c r="G121" i="103"/>
  <c r="D121" i="103"/>
  <c r="C121" i="103"/>
  <c r="B121" i="103"/>
  <c r="O119" i="103"/>
  <c r="J119" i="103"/>
  <c r="E119" i="103"/>
  <c r="O118" i="103"/>
  <c r="J118" i="103"/>
  <c r="E118" i="103"/>
  <c r="O117" i="103"/>
  <c r="J117" i="103"/>
  <c r="E117" i="103"/>
  <c r="O116" i="103"/>
  <c r="J116" i="103"/>
  <c r="E116" i="103"/>
  <c r="O115" i="103"/>
  <c r="J115" i="103"/>
  <c r="E115" i="103"/>
  <c r="O114" i="103"/>
  <c r="J114" i="103"/>
  <c r="E114" i="103"/>
  <c r="O113" i="103"/>
  <c r="J113" i="103"/>
  <c r="E113" i="103"/>
  <c r="O112" i="103"/>
  <c r="J112" i="103"/>
  <c r="E112" i="103"/>
  <c r="O111" i="103"/>
  <c r="J111" i="103"/>
  <c r="E111" i="103"/>
  <c r="O109" i="103"/>
  <c r="J109" i="103"/>
  <c r="E109" i="103"/>
  <c r="L108" i="103"/>
  <c r="G108" i="103"/>
  <c r="B108" i="103"/>
  <c r="N104" i="103"/>
  <c r="M104" i="103"/>
  <c r="L104" i="103"/>
  <c r="I104" i="103"/>
  <c r="H104" i="103"/>
  <c r="G104" i="103"/>
  <c r="D104" i="103"/>
  <c r="C104" i="103"/>
  <c r="B104" i="103"/>
  <c r="O102" i="103"/>
  <c r="J102" i="103"/>
  <c r="E102" i="103"/>
  <c r="O101" i="103"/>
  <c r="J101" i="103"/>
  <c r="E101" i="103"/>
  <c r="O100" i="103"/>
  <c r="J100" i="103"/>
  <c r="E100" i="103"/>
  <c r="O99" i="103"/>
  <c r="J99" i="103"/>
  <c r="E99" i="103"/>
  <c r="O98" i="103"/>
  <c r="J98" i="103"/>
  <c r="E98" i="103"/>
  <c r="O97" i="103"/>
  <c r="J97" i="103"/>
  <c r="E97" i="103"/>
  <c r="O96" i="103"/>
  <c r="J96" i="103"/>
  <c r="E96" i="103"/>
  <c r="O95" i="103"/>
  <c r="J95" i="103"/>
  <c r="E95" i="103"/>
  <c r="O94" i="103"/>
  <c r="J94" i="103"/>
  <c r="E94" i="103"/>
  <c r="O92" i="103"/>
  <c r="J92" i="103"/>
  <c r="E92" i="103"/>
  <c r="L91" i="103"/>
  <c r="G91" i="103"/>
  <c r="B91" i="103"/>
  <c r="N87" i="103"/>
  <c r="M87" i="103"/>
  <c r="L87" i="103"/>
  <c r="I87" i="103"/>
  <c r="H87" i="103"/>
  <c r="G87" i="103"/>
  <c r="D87" i="103"/>
  <c r="C87" i="103"/>
  <c r="B87" i="103"/>
  <c r="O85" i="103"/>
  <c r="J85" i="103"/>
  <c r="E85" i="103"/>
  <c r="O84" i="103"/>
  <c r="J84" i="103"/>
  <c r="E84" i="103"/>
  <c r="O83" i="103"/>
  <c r="J83" i="103"/>
  <c r="E83" i="103"/>
  <c r="O82" i="103"/>
  <c r="J82" i="103"/>
  <c r="E82" i="103"/>
  <c r="O81" i="103"/>
  <c r="J81" i="103"/>
  <c r="E81" i="103"/>
  <c r="O80" i="103"/>
  <c r="J80" i="103"/>
  <c r="E80" i="103"/>
  <c r="O79" i="103"/>
  <c r="J79" i="103"/>
  <c r="E79" i="103"/>
  <c r="O78" i="103"/>
  <c r="J78" i="103"/>
  <c r="E78" i="103"/>
  <c r="O77" i="103"/>
  <c r="J77" i="103"/>
  <c r="E77" i="103"/>
  <c r="O75" i="103"/>
  <c r="J75" i="103"/>
  <c r="E75" i="103"/>
  <c r="L74" i="103"/>
  <c r="G74" i="103"/>
  <c r="B74" i="103"/>
  <c r="N70" i="103"/>
  <c r="M70" i="103"/>
  <c r="L70" i="103"/>
  <c r="I70" i="103"/>
  <c r="H70" i="103"/>
  <c r="G70" i="103"/>
  <c r="D70" i="103"/>
  <c r="C70" i="103"/>
  <c r="B70" i="103"/>
  <c r="O68" i="103"/>
  <c r="J68" i="103"/>
  <c r="E68" i="103"/>
  <c r="O67" i="103"/>
  <c r="J67" i="103"/>
  <c r="E67" i="103"/>
  <c r="O66" i="103"/>
  <c r="J66" i="103"/>
  <c r="E66" i="103"/>
  <c r="O65" i="103"/>
  <c r="J65" i="103"/>
  <c r="E65" i="103"/>
  <c r="O64" i="103"/>
  <c r="J64" i="103"/>
  <c r="E64" i="103"/>
  <c r="O63" i="103"/>
  <c r="J63" i="103"/>
  <c r="E63" i="103"/>
  <c r="O62" i="103"/>
  <c r="J62" i="103"/>
  <c r="E62" i="103"/>
  <c r="O61" i="103"/>
  <c r="J61" i="103"/>
  <c r="E61" i="103"/>
  <c r="O60" i="103"/>
  <c r="J60" i="103"/>
  <c r="E60" i="103"/>
  <c r="O58" i="103"/>
  <c r="J58" i="103"/>
  <c r="E58" i="103"/>
  <c r="L57" i="103"/>
  <c r="G57" i="103"/>
  <c r="B57" i="103"/>
  <c r="N53" i="103"/>
  <c r="M53" i="103"/>
  <c r="L53" i="103"/>
  <c r="I53" i="103"/>
  <c r="H53" i="103"/>
  <c r="G53" i="103"/>
  <c r="D53" i="103"/>
  <c r="C53" i="103"/>
  <c r="B53" i="103"/>
  <c r="O51" i="103"/>
  <c r="J51" i="103"/>
  <c r="E51" i="103"/>
  <c r="O50" i="103"/>
  <c r="J50" i="103"/>
  <c r="E50" i="103"/>
  <c r="O49" i="103"/>
  <c r="J49" i="103"/>
  <c r="E49" i="103"/>
  <c r="O48" i="103"/>
  <c r="J48" i="103"/>
  <c r="E48" i="103"/>
  <c r="O47" i="103"/>
  <c r="J47" i="103"/>
  <c r="E47" i="103"/>
  <c r="O46" i="103"/>
  <c r="J46" i="103"/>
  <c r="E46" i="103"/>
  <c r="O45" i="103"/>
  <c r="J45" i="103"/>
  <c r="E45" i="103"/>
  <c r="O44" i="103"/>
  <c r="J44" i="103"/>
  <c r="E44" i="103"/>
  <c r="O43" i="103"/>
  <c r="J43" i="103"/>
  <c r="E43" i="103"/>
  <c r="O41" i="103"/>
  <c r="J41" i="103"/>
  <c r="E41" i="103"/>
  <c r="L40" i="103"/>
  <c r="G40" i="103"/>
  <c r="B40" i="103"/>
  <c r="J30" i="103"/>
  <c r="C36" i="103"/>
  <c r="D36" i="103"/>
  <c r="G36" i="103"/>
  <c r="H36" i="103"/>
  <c r="I36" i="103"/>
  <c r="L36" i="103"/>
  <c r="M36" i="103"/>
  <c r="N36" i="103"/>
  <c r="J199" i="102" l="1"/>
  <c r="E91" i="102"/>
  <c r="Y46" i="102"/>
  <c r="E28" i="102"/>
  <c r="E109" i="102"/>
  <c r="E82" i="102"/>
  <c r="J154" i="102"/>
  <c r="T46" i="102"/>
  <c r="J109" i="102"/>
  <c r="E100" i="102"/>
  <c r="Y28" i="102"/>
  <c r="E46" i="102"/>
  <c r="T73" i="102"/>
  <c r="O190" i="102"/>
  <c r="J37" i="102"/>
  <c r="E145" i="102"/>
  <c r="T109" i="102"/>
  <c r="J145" i="102"/>
  <c r="J91" i="102"/>
  <c r="E181" i="102"/>
  <c r="T127" i="102"/>
  <c r="J181" i="102"/>
  <c r="T28" i="102"/>
  <c r="O91" i="102"/>
  <c r="J46" i="102"/>
  <c r="J28" i="102"/>
  <c r="J73" i="102"/>
  <c r="O181" i="102"/>
  <c r="T100" i="102"/>
  <c r="O46" i="102"/>
  <c r="J190" i="102"/>
  <c r="Y64" i="102"/>
  <c r="Y91" i="102"/>
  <c r="O199" i="102"/>
  <c r="J100" i="102"/>
  <c r="O100" i="102"/>
  <c r="E118" i="102"/>
  <c r="E127" i="102"/>
  <c r="O64" i="102"/>
  <c r="O28" i="102"/>
  <c r="O145" i="102"/>
  <c r="J82" i="102"/>
  <c r="O127" i="102"/>
  <c r="Y127" i="102"/>
  <c r="T82" i="102"/>
  <c r="Y100" i="102"/>
  <c r="O109" i="102"/>
  <c r="T118" i="102"/>
  <c r="T181" i="102"/>
  <c r="E199" i="102"/>
  <c r="E154" i="102"/>
  <c r="Y37" i="102"/>
  <c r="E64" i="102"/>
  <c r="Y82" i="102"/>
  <c r="T145" i="102"/>
  <c r="Y118" i="102"/>
  <c r="E37" i="102"/>
  <c r="O118" i="102"/>
  <c r="Y145" i="102"/>
  <c r="T154" i="102"/>
  <c r="T190" i="102"/>
  <c r="J118" i="102"/>
  <c r="O37" i="102"/>
  <c r="Y73" i="102"/>
  <c r="Y199" i="102"/>
  <c r="T91" i="102"/>
  <c r="J127" i="102"/>
  <c r="T37" i="102"/>
  <c r="T64" i="102"/>
  <c r="Y109" i="102"/>
  <c r="O82" i="102"/>
  <c r="Y181" i="102"/>
  <c r="Y154" i="102"/>
  <c r="O73" i="102"/>
  <c r="O154" i="102"/>
  <c r="Y190" i="102"/>
  <c r="T199" i="102"/>
  <c r="J64" i="102"/>
  <c r="E73" i="102"/>
  <c r="E190" i="102"/>
  <c r="E53" i="103"/>
  <c r="O70" i="103"/>
  <c r="O359" i="103"/>
  <c r="O87" i="103"/>
  <c r="J138" i="103"/>
  <c r="E189" i="103"/>
  <c r="E325" i="103"/>
  <c r="E240" i="103"/>
  <c r="E376" i="103"/>
  <c r="O53" i="103"/>
  <c r="J376" i="103"/>
  <c r="J240" i="103"/>
  <c r="J291" i="103"/>
  <c r="J70" i="103"/>
  <c r="E121" i="103"/>
  <c r="J206" i="103"/>
  <c r="E257" i="103"/>
  <c r="O291" i="103"/>
  <c r="J342" i="103"/>
  <c r="E393" i="103"/>
  <c r="J53" i="103"/>
  <c r="E70" i="103"/>
  <c r="J325" i="103"/>
  <c r="E155" i="103"/>
  <c r="E291" i="103"/>
  <c r="E206" i="103"/>
  <c r="O240" i="103"/>
  <c r="O376" i="103"/>
  <c r="J121" i="103"/>
  <c r="E172" i="103"/>
  <c r="O206" i="103"/>
  <c r="J257" i="103"/>
  <c r="E308" i="103"/>
  <c r="O342" i="103"/>
  <c r="J393" i="103"/>
  <c r="O138" i="103"/>
  <c r="O274" i="103"/>
  <c r="O121" i="103"/>
  <c r="J172" i="103"/>
  <c r="E223" i="103"/>
  <c r="O223" i="103"/>
  <c r="J274" i="103"/>
  <c r="J308" i="103"/>
  <c r="E359" i="103"/>
  <c r="J189" i="103"/>
  <c r="O257" i="103"/>
  <c r="O393" i="103"/>
  <c r="J104" i="103"/>
  <c r="O189" i="103"/>
  <c r="O325" i="103"/>
  <c r="J155" i="103"/>
  <c r="E342" i="103"/>
  <c r="E87" i="103"/>
  <c r="J87" i="103"/>
  <c r="E104" i="103"/>
  <c r="O104" i="103"/>
  <c r="E138" i="103"/>
  <c r="O155" i="103"/>
  <c r="O172" i="103"/>
  <c r="J223" i="103"/>
  <c r="E274" i="103"/>
  <c r="O308" i="103"/>
  <c r="J359" i="103"/>
  <c r="D134" i="101"/>
  <c r="H47" i="101" l="1"/>
  <c r="K393" i="101"/>
  <c r="J393" i="101"/>
  <c r="G393" i="101"/>
  <c r="F393" i="101"/>
  <c r="C393" i="101"/>
  <c r="B393" i="101"/>
  <c r="L391" i="101"/>
  <c r="H391" i="101"/>
  <c r="D391" i="101"/>
  <c r="L390" i="101"/>
  <c r="H390" i="101"/>
  <c r="D390" i="101"/>
  <c r="L389" i="101"/>
  <c r="H389" i="101"/>
  <c r="D389" i="101"/>
  <c r="L388" i="101"/>
  <c r="H388" i="101"/>
  <c r="D388" i="101"/>
  <c r="L387" i="101"/>
  <c r="H387" i="101"/>
  <c r="D387" i="101"/>
  <c r="L386" i="101"/>
  <c r="H386" i="101"/>
  <c r="D386" i="101"/>
  <c r="L385" i="101"/>
  <c r="H385" i="101"/>
  <c r="D385" i="101"/>
  <c r="L384" i="101"/>
  <c r="H384" i="101"/>
  <c r="D384" i="101"/>
  <c r="L383" i="101"/>
  <c r="H383" i="101"/>
  <c r="D383" i="101"/>
  <c r="K376" i="101"/>
  <c r="J376" i="101"/>
  <c r="G376" i="101"/>
  <c r="F376" i="101"/>
  <c r="C376" i="101"/>
  <c r="B376" i="101"/>
  <c r="L374" i="101"/>
  <c r="H374" i="101"/>
  <c r="D374" i="101"/>
  <c r="L373" i="101"/>
  <c r="H373" i="101"/>
  <c r="D373" i="101"/>
  <c r="L372" i="101"/>
  <c r="H372" i="101"/>
  <c r="D372" i="101"/>
  <c r="L371" i="101"/>
  <c r="H371" i="101"/>
  <c r="D371" i="101"/>
  <c r="L370" i="101"/>
  <c r="H370" i="101"/>
  <c r="D370" i="101"/>
  <c r="L369" i="101"/>
  <c r="H369" i="101"/>
  <c r="D369" i="101"/>
  <c r="L368" i="101"/>
  <c r="H368" i="101"/>
  <c r="D368" i="101"/>
  <c r="L367" i="101"/>
  <c r="H367" i="101"/>
  <c r="D367" i="101"/>
  <c r="L366" i="101"/>
  <c r="H366" i="101"/>
  <c r="D366" i="101"/>
  <c r="K359" i="101"/>
  <c r="J359" i="101"/>
  <c r="G359" i="101"/>
  <c r="F359" i="101"/>
  <c r="C359" i="101"/>
  <c r="B359" i="101"/>
  <c r="L357" i="101"/>
  <c r="H357" i="101"/>
  <c r="D357" i="101"/>
  <c r="L356" i="101"/>
  <c r="H356" i="101"/>
  <c r="D356" i="101"/>
  <c r="L355" i="101"/>
  <c r="H355" i="101"/>
  <c r="D355" i="101"/>
  <c r="L354" i="101"/>
  <c r="H354" i="101"/>
  <c r="D354" i="101"/>
  <c r="L353" i="101"/>
  <c r="H353" i="101"/>
  <c r="D353" i="101"/>
  <c r="L352" i="101"/>
  <c r="H352" i="101"/>
  <c r="D352" i="101"/>
  <c r="L351" i="101"/>
  <c r="H351" i="101"/>
  <c r="D351" i="101"/>
  <c r="L350" i="101"/>
  <c r="H350" i="101"/>
  <c r="D350" i="101"/>
  <c r="L349" i="101"/>
  <c r="H349" i="101"/>
  <c r="D349" i="101"/>
  <c r="K342" i="101"/>
  <c r="J342" i="101"/>
  <c r="G342" i="101"/>
  <c r="F342" i="101"/>
  <c r="C342" i="101"/>
  <c r="B342" i="101"/>
  <c r="L340" i="101"/>
  <c r="H340" i="101"/>
  <c r="D340" i="101"/>
  <c r="L339" i="101"/>
  <c r="H339" i="101"/>
  <c r="D339" i="101"/>
  <c r="L338" i="101"/>
  <c r="H338" i="101"/>
  <c r="D338" i="101"/>
  <c r="L337" i="101"/>
  <c r="H337" i="101"/>
  <c r="D337" i="101"/>
  <c r="L336" i="101"/>
  <c r="H336" i="101"/>
  <c r="D336" i="101"/>
  <c r="L335" i="101"/>
  <c r="H335" i="101"/>
  <c r="D335" i="101"/>
  <c r="L334" i="101"/>
  <c r="H334" i="101"/>
  <c r="D334" i="101"/>
  <c r="L333" i="101"/>
  <c r="H333" i="101"/>
  <c r="D333" i="101"/>
  <c r="L332" i="101"/>
  <c r="H332" i="101"/>
  <c r="D332" i="101"/>
  <c r="K325" i="101"/>
  <c r="J325" i="101"/>
  <c r="G325" i="101"/>
  <c r="F325" i="101"/>
  <c r="C325" i="101"/>
  <c r="B325" i="101"/>
  <c r="L323" i="101"/>
  <c r="H323" i="101"/>
  <c r="D323" i="101"/>
  <c r="L322" i="101"/>
  <c r="H322" i="101"/>
  <c r="D322" i="101"/>
  <c r="L321" i="101"/>
  <c r="H321" i="101"/>
  <c r="D321" i="101"/>
  <c r="L320" i="101"/>
  <c r="H320" i="101"/>
  <c r="D320" i="101"/>
  <c r="L319" i="101"/>
  <c r="H319" i="101"/>
  <c r="D319" i="101"/>
  <c r="L318" i="101"/>
  <c r="H318" i="101"/>
  <c r="D318" i="101"/>
  <c r="L317" i="101"/>
  <c r="H317" i="101"/>
  <c r="D317" i="101"/>
  <c r="L316" i="101"/>
  <c r="H316" i="101"/>
  <c r="D316" i="101"/>
  <c r="L315" i="101"/>
  <c r="H315" i="101"/>
  <c r="D315" i="101"/>
  <c r="K308" i="101"/>
  <c r="J308" i="101"/>
  <c r="G308" i="101"/>
  <c r="F308" i="101"/>
  <c r="C308" i="101"/>
  <c r="B308" i="101"/>
  <c r="L306" i="101"/>
  <c r="H306" i="101"/>
  <c r="D306" i="101"/>
  <c r="L305" i="101"/>
  <c r="H305" i="101"/>
  <c r="D305" i="101"/>
  <c r="L304" i="101"/>
  <c r="H304" i="101"/>
  <c r="D304" i="101"/>
  <c r="L303" i="101"/>
  <c r="H303" i="101"/>
  <c r="D303" i="101"/>
  <c r="L302" i="101"/>
  <c r="H302" i="101"/>
  <c r="D302" i="101"/>
  <c r="L301" i="101"/>
  <c r="H301" i="101"/>
  <c r="D301" i="101"/>
  <c r="L300" i="101"/>
  <c r="H300" i="101"/>
  <c r="D300" i="101"/>
  <c r="L299" i="101"/>
  <c r="H299" i="101"/>
  <c r="D299" i="101"/>
  <c r="L298" i="101"/>
  <c r="H298" i="101"/>
  <c r="D298" i="101"/>
  <c r="K291" i="101"/>
  <c r="J291" i="101"/>
  <c r="G291" i="101"/>
  <c r="F291" i="101"/>
  <c r="C291" i="101"/>
  <c r="B291" i="101"/>
  <c r="L289" i="101"/>
  <c r="H289" i="101"/>
  <c r="D289" i="101"/>
  <c r="L288" i="101"/>
  <c r="H288" i="101"/>
  <c r="D288" i="101"/>
  <c r="L287" i="101"/>
  <c r="H287" i="101"/>
  <c r="D287" i="101"/>
  <c r="L286" i="101"/>
  <c r="H286" i="101"/>
  <c r="D286" i="101"/>
  <c r="L285" i="101"/>
  <c r="H285" i="101"/>
  <c r="D285" i="101"/>
  <c r="L284" i="101"/>
  <c r="H284" i="101"/>
  <c r="D284" i="101"/>
  <c r="L283" i="101"/>
  <c r="H283" i="101"/>
  <c r="D283" i="101"/>
  <c r="L282" i="101"/>
  <c r="H282" i="101"/>
  <c r="D282" i="101"/>
  <c r="L281" i="101"/>
  <c r="H281" i="101"/>
  <c r="D281" i="101"/>
  <c r="K274" i="101"/>
  <c r="J274" i="101"/>
  <c r="G274" i="101"/>
  <c r="F274" i="101"/>
  <c r="C274" i="101"/>
  <c r="B274" i="101"/>
  <c r="L272" i="101"/>
  <c r="H272" i="101"/>
  <c r="D272" i="101"/>
  <c r="L271" i="101"/>
  <c r="H271" i="101"/>
  <c r="D271" i="101"/>
  <c r="L270" i="101"/>
  <c r="H270" i="101"/>
  <c r="D270" i="101"/>
  <c r="L269" i="101"/>
  <c r="H269" i="101"/>
  <c r="D269" i="101"/>
  <c r="L268" i="101"/>
  <c r="H268" i="101"/>
  <c r="D268" i="101"/>
  <c r="L267" i="101"/>
  <c r="H267" i="101"/>
  <c r="D267" i="101"/>
  <c r="L266" i="101"/>
  <c r="H266" i="101"/>
  <c r="D266" i="101"/>
  <c r="L265" i="101"/>
  <c r="H265" i="101"/>
  <c r="D265" i="101"/>
  <c r="L264" i="101"/>
  <c r="H264" i="101"/>
  <c r="D264" i="101"/>
  <c r="K257" i="101"/>
  <c r="J257" i="101"/>
  <c r="G257" i="101"/>
  <c r="F257" i="101"/>
  <c r="C257" i="101"/>
  <c r="B257" i="101"/>
  <c r="L255" i="101"/>
  <c r="H255" i="101"/>
  <c r="D255" i="101"/>
  <c r="L254" i="101"/>
  <c r="H254" i="101"/>
  <c r="D254" i="101"/>
  <c r="L253" i="101"/>
  <c r="H253" i="101"/>
  <c r="D253" i="101"/>
  <c r="L252" i="101"/>
  <c r="H252" i="101"/>
  <c r="D252" i="101"/>
  <c r="L251" i="101"/>
  <c r="H251" i="101"/>
  <c r="D251" i="101"/>
  <c r="L250" i="101"/>
  <c r="H250" i="101"/>
  <c r="D250" i="101"/>
  <c r="L249" i="101"/>
  <c r="H249" i="101"/>
  <c r="D249" i="101"/>
  <c r="L248" i="101"/>
  <c r="H248" i="101"/>
  <c r="D248" i="101"/>
  <c r="L247" i="101"/>
  <c r="H247" i="101"/>
  <c r="D247" i="101"/>
  <c r="K240" i="101"/>
  <c r="J240" i="101"/>
  <c r="G240" i="101"/>
  <c r="F240" i="101"/>
  <c r="C240" i="101"/>
  <c r="B240" i="101"/>
  <c r="L238" i="101"/>
  <c r="H238" i="101"/>
  <c r="D238" i="101"/>
  <c r="L237" i="101"/>
  <c r="H237" i="101"/>
  <c r="D237" i="101"/>
  <c r="L236" i="101"/>
  <c r="H236" i="101"/>
  <c r="D236" i="101"/>
  <c r="L235" i="101"/>
  <c r="H235" i="101"/>
  <c r="D235" i="101"/>
  <c r="L234" i="101"/>
  <c r="H234" i="101"/>
  <c r="D234" i="101"/>
  <c r="L233" i="101"/>
  <c r="H233" i="101"/>
  <c r="D233" i="101"/>
  <c r="L232" i="101"/>
  <c r="H232" i="101"/>
  <c r="D232" i="101"/>
  <c r="L231" i="101"/>
  <c r="H231" i="101"/>
  <c r="D231" i="101"/>
  <c r="L230" i="101"/>
  <c r="H230" i="101"/>
  <c r="D230" i="101"/>
  <c r="K223" i="101"/>
  <c r="J223" i="101"/>
  <c r="G223" i="101"/>
  <c r="F223" i="101"/>
  <c r="C223" i="101"/>
  <c r="B223" i="101"/>
  <c r="L221" i="101"/>
  <c r="H221" i="101"/>
  <c r="D221" i="101"/>
  <c r="L220" i="101"/>
  <c r="H220" i="101"/>
  <c r="D220" i="101"/>
  <c r="L219" i="101"/>
  <c r="H219" i="101"/>
  <c r="D219" i="101"/>
  <c r="L218" i="101"/>
  <c r="H218" i="101"/>
  <c r="D218" i="101"/>
  <c r="L217" i="101"/>
  <c r="H217" i="101"/>
  <c r="D217" i="101"/>
  <c r="L216" i="101"/>
  <c r="H216" i="101"/>
  <c r="D216" i="101"/>
  <c r="L215" i="101"/>
  <c r="H215" i="101"/>
  <c r="D215" i="101"/>
  <c r="L214" i="101"/>
  <c r="H214" i="101"/>
  <c r="D214" i="101"/>
  <c r="L213" i="101"/>
  <c r="H213" i="101"/>
  <c r="D213" i="101"/>
  <c r="K206" i="101"/>
  <c r="J206" i="101"/>
  <c r="G206" i="101"/>
  <c r="F206" i="101"/>
  <c r="C206" i="101"/>
  <c r="B206" i="101"/>
  <c r="L204" i="101"/>
  <c r="H204" i="101"/>
  <c r="D204" i="101"/>
  <c r="L203" i="101"/>
  <c r="H203" i="101"/>
  <c r="D203" i="101"/>
  <c r="L202" i="101"/>
  <c r="H202" i="101"/>
  <c r="D202" i="101"/>
  <c r="L201" i="101"/>
  <c r="H201" i="101"/>
  <c r="D201" i="101"/>
  <c r="L200" i="101"/>
  <c r="H200" i="101"/>
  <c r="D200" i="101"/>
  <c r="L199" i="101"/>
  <c r="H199" i="101"/>
  <c r="D199" i="101"/>
  <c r="L198" i="101"/>
  <c r="H198" i="101"/>
  <c r="D198" i="101"/>
  <c r="L197" i="101"/>
  <c r="H197" i="101"/>
  <c r="D197" i="101"/>
  <c r="L196" i="101"/>
  <c r="H196" i="101"/>
  <c r="D196" i="101"/>
  <c r="K189" i="101"/>
  <c r="J189" i="101"/>
  <c r="G189" i="101"/>
  <c r="F189" i="101"/>
  <c r="C189" i="101"/>
  <c r="B189" i="101"/>
  <c r="L187" i="101"/>
  <c r="H187" i="101"/>
  <c r="D187" i="101"/>
  <c r="L186" i="101"/>
  <c r="H186" i="101"/>
  <c r="D186" i="101"/>
  <c r="L185" i="101"/>
  <c r="H185" i="101"/>
  <c r="D185" i="101"/>
  <c r="L184" i="101"/>
  <c r="H184" i="101"/>
  <c r="D184" i="101"/>
  <c r="L183" i="101"/>
  <c r="H183" i="101"/>
  <c r="D183" i="101"/>
  <c r="L182" i="101"/>
  <c r="H182" i="101"/>
  <c r="D182" i="101"/>
  <c r="L181" i="101"/>
  <c r="H181" i="101"/>
  <c r="D181" i="101"/>
  <c r="L180" i="101"/>
  <c r="H180" i="101"/>
  <c r="D180" i="101"/>
  <c r="L179" i="101"/>
  <c r="H179" i="101"/>
  <c r="D179" i="101"/>
  <c r="K172" i="101"/>
  <c r="J172" i="101"/>
  <c r="G172" i="101"/>
  <c r="F172" i="101"/>
  <c r="C172" i="101"/>
  <c r="B172" i="101"/>
  <c r="L170" i="101"/>
  <c r="H170" i="101"/>
  <c r="D170" i="101"/>
  <c r="L169" i="101"/>
  <c r="H169" i="101"/>
  <c r="D169" i="101"/>
  <c r="L168" i="101"/>
  <c r="H168" i="101"/>
  <c r="D168" i="101"/>
  <c r="L167" i="101"/>
  <c r="H167" i="101"/>
  <c r="D167" i="101"/>
  <c r="L166" i="101"/>
  <c r="H166" i="101"/>
  <c r="D166" i="101"/>
  <c r="L165" i="101"/>
  <c r="H165" i="101"/>
  <c r="D165" i="101"/>
  <c r="L164" i="101"/>
  <c r="H164" i="101"/>
  <c r="D164" i="101"/>
  <c r="L163" i="101"/>
  <c r="H163" i="101"/>
  <c r="D163" i="101"/>
  <c r="L162" i="101"/>
  <c r="H162" i="101"/>
  <c r="D162" i="101"/>
  <c r="K155" i="101"/>
  <c r="J155" i="101"/>
  <c r="G155" i="101"/>
  <c r="F155" i="101"/>
  <c r="C155" i="101"/>
  <c r="B155" i="101"/>
  <c r="L153" i="101"/>
  <c r="H153" i="101"/>
  <c r="D153" i="101"/>
  <c r="L152" i="101"/>
  <c r="H152" i="101"/>
  <c r="D152" i="101"/>
  <c r="L151" i="101"/>
  <c r="H151" i="101"/>
  <c r="D151" i="101"/>
  <c r="L150" i="101"/>
  <c r="H150" i="101"/>
  <c r="D150" i="101"/>
  <c r="L149" i="101"/>
  <c r="H149" i="101"/>
  <c r="D149" i="101"/>
  <c r="L148" i="101"/>
  <c r="H148" i="101"/>
  <c r="D148" i="101"/>
  <c r="L147" i="101"/>
  <c r="H147" i="101"/>
  <c r="D147" i="101"/>
  <c r="L146" i="101"/>
  <c r="H146" i="101"/>
  <c r="D146" i="101"/>
  <c r="L145" i="101"/>
  <c r="H145" i="101"/>
  <c r="D145" i="101"/>
  <c r="K138" i="101"/>
  <c r="J138" i="101"/>
  <c r="G138" i="101"/>
  <c r="F138" i="101"/>
  <c r="C138" i="101"/>
  <c r="B138" i="101"/>
  <c r="L136" i="101"/>
  <c r="H136" i="101"/>
  <c r="D136" i="101"/>
  <c r="L135" i="101"/>
  <c r="H135" i="101"/>
  <c r="D135" i="101"/>
  <c r="L134" i="101"/>
  <c r="H134" i="101"/>
  <c r="L133" i="101"/>
  <c r="H133" i="101"/>
  <c r="D133" i="101"/>
  <c r="L132" i="101"/>
  <c r="H132" i="101"/>
  <c r="D132" i="101"/>
  <c r="L131" i="101"/>
  <c r="H131" i="101"/>
  <c r="D131" i="101"/>
  <c r="L130" i="101"/>
  <c r="H130" i="101"/>
  <c r="D130" i="101"/>
  <c r="L129" i="101"/>
  <c r="H129" i="101"/>
  <c r="D129" i="101"/>
  <c r="L128" i="101"/>
  <c r="H128" i="101"/>
  <c r="D128" i="101"/>
  <c r="K121" i="101"/>
  <c r="J121" i="101"/>
  <c r="G121" i="101"/>
  <c r="F121" i="101"/>
  <c r="C121" i="101"/>
  <c r="B121" i="101"/>
  <c r="L119" i="101"/>
  <c r="H119" i="101"/>
  <c r="D119" i="101"/>
  <c r="L118" i="101"/>
  <c r="H118" i="101"/>
  <c r="D118" i="101"/>
  <c r="L117" i="101"/>
  <c r="H117" i="101"/>
  <c r="D117" i="101"/>
  <c r="L116" i="101"/>
  <c r="H116" i="101"/>
  <c r="D116" i="101"/>
  <c r="L115" i="101"/>
  <c r="H115" i="101"/>
  <c r="D115" i="101"/>
  <c r="L114" i="101"/>
  <c r="H114" i="101"/>
  <c r="D114" i="101"/>
  <c r="L113" i="101"/>
  <c r="H113" i="101"/>
  <c r="D113" i="101"/>
  <c r="L112" i="101"/>
  <c r="H112" i="101"/>
  <c r="D112" i="101"/>
  <c r="L111" i="101"/>
  <c r="H111" i="101"/>
  <c r="D111" i="101"/>
  <c r="K104" i="101"/>
  <c r="J104" i="101"/>
  <c r="G104" i="101"/>
  <c r="F104" i="101"/>
  <c r="C104" i="101"/>
  <c r="B104" i="101"/>
  <c r="L102" i="101"/>
  <c r="H102" i="101"/>
  <c r="D102" i="101"/>
  <c r="L101" i="101"/>
  <c r="H101" i="101"/>
  <c r="D101" i="101"/>
  <c r="L100" i="101"/>
  <c r="H100" i="101"/>
  <c r="D100" i="101"/>
  <c r="L99" i="101"/>
  <c r="H99" i="101"/>
  <c r="D99" i="101"/>
  <c r="L98" i="101"/>
  <c r="H98" i="101"/>
  <c r="D98" i="101"/>
  <c r="L97" i="101"/>
  <c r="H97" i="101"/>
  <c r="D97" i="101"/>
  <c r="L96" i="101"/>
  <c r="H96" i="101"/>
  <c r="D96" i="101"/>
  <c r="L95" i="101"/>
  <c r="H95" i="101"/>
  <c r="D95" i="101"/>
  <c r="L94" i="101"/>
  <c r="H94" i="101"/>
  <c r="D94" i="101"/>
  <c r="K87" i="101"/>
  <c r="J87" i="101"/>
  <c r="G87" i="101"/>
  <c r="F87" i="101"/>
  <c r="C87" i="101"/>
  <c r="B87" i="101"/>
  <c r="L85" i="101"/>
  <c r="H85" i="101"/>
  <c r="D85" i="101"/>
  <c r="L84" i="101"/>
  <c r="H84" i="101"/>
  <c r="D84" i="101"/>
  <c r="L83" i="101"/>
  <c r="H83" i="101"/>
  <c r="D83" i="101"/>
  <c r="L82" i="101"/>
  <c r="H82" i="101"/>
  <c r="D82" i="101"/>
  <c r="L81" i="101"/>
  <c r="H81" i="101"/>
  <c r="D81" i="101"/>
  <c r="L80" i="101"/>
  <c r="H80" i="101"/>
  <c r="D80" i="101"/>
  <c r="L79" i="101"/>
  <c r="H79" i="101"/>
  <c r="D79" i="101"/>
  <c r="L78" i="101"/>
  <c r="H78" i="101"/>
  <c r="D78" i="101"/>
  <c r="L77" i="101"/>
  <c r="H77" i="101"/>
  <c r="D77" i="101"/>
  <c r="B70" i="101"/>
  <c r="K70" i="101"/>
  <c r="J70" i="101"/>
  <c r="G70" i="101"/>
  <c r="F70" i="101"/>
  <c r="C70" i="101"/>
  <c r="K53" i="101"/>
  <c r="J53" i="101"/>
  <c r="G53" i="101"/>
  <c r="F53" i="101"/>
  <c r="C53" i="101"/>
  <c r="B53" i="101"/>
  <c r="K36" i="101"/>
  <c r="J36" i="101"/>
  <c r="G36" i="101"/>
  <c r="F36" i="101"/>
  <c r="C36" i="101"/>
  <c r="B36" i="101"/>
  <c r="B380" i="101"/>
  <c r="B363" i="101"/>
  <c r="B346" i="101"/>
  <c r="B329" i="101"/>
  <c r="B312" i="101"/>
  <c r="B295" i="101"/>
  <c r="B278" i="101"/>
  <c r="B261" i="101"/>
  <c r="B244" i="101"/>
  <c r="B227" i="101"/>
  <c r="B210" i="101"/>
  <c r="B193" i="101"/>
  <c r="B176" i="101"/>
  <c r="B159" i="101"/>
  <c r="B142" i="101"/>
  <c r="B125" i="101"/>
  <c r="B108" i="101"/>
  <c r="B91" i="101"/>
  <c r="B74" i="101"/>
  <c r="B57" i="101"/>
  <c r="B40" i="101"/>
  <c r="AD11" i="21"/>
  <c r="N5" i="21"/>
  <c r="N38" i="21" s="1"/>
  <c r="O5" i="21"/>
  <c r="O38" i="21" s="1"/>
  <c r="P5" i="21"/>
  <c r="P38" i="21" s="1"/>
  <c r="Q5" i="21"/>
  <c r="Q38" i="21" s="1"/>
  <c r="R5" i="21"/>
  <c r="S5" i="21"/>
  <c r="T5" i="21"/>
  <c r="U5" i="21"/>
  <c r="V5" i="21"/>
  <c r="W5" i="21"/>
  <c r="X5" i="21"/>
  <c r="Y5" i="21"/>
  <c r="Z5" i="21"/>
  <c r="AA5" i="21"/>
  <c r="AB5" i="21"/>
  <c r="AC5" i="21"/>
  <c r="AD5" i="21"/>
  <c r="AE5" i="21"/>
  <c r="AF5" i="21"/>
  <c r="AG5" i="21"/>
  <c r="M5" i="21"/>
  <c r="M38" i="21" s="1"/>
  <c r="AD38" i="21" l="1"/>
  <c r="D138" i="101"/>
  <c r="L342" i="101"/>
  <c r="L308" i="101"/>
  <c r="H240" i="101"/>
  <c r="L223" i="101"/>
  <c r="D189" i="101"/>
  <c r="H189" i="101"/>
  <c r="D172" i="101"/>
  <c r="L87" i="101"/>
  <c r="L104" i="101"/>
  <c r="H257" i="101"/>
  <c r="L121" i="101"/>
  <c r="H172" i="101"/>
  <c r="H223" i="101"/>
  <c r="D223" i="101"/>
  <c r="L257" i="101"/>
  <c r="D291" i="101"/>
  <c r="H342" i="101"/>
  <c r="D342" i="101"/>
  <c r="L376" i="101"/>
  <c r="H104" i="101"/>
  <c r="D104" i="101"/>
  <c r="L138" i="101"/>
  <c r="L274" i="101"/>
  <c r="H359" i="101"/>
  <c r="D359" i="101"/>
  <c r="L393" i="101"/>
  <c r="D206" i="101"/>
  <c r="D274" i="101"/>
  <c r="D121" i="101"/>
  <c r="L155" i="101"/>
  <c r="D240" i="101"/>
  <c r="D376" i="101"/>
  <c r="L172" i="101"/>
  <c r="H393" i="101"/>
  <c r="H206" i="101"/>
  <c r="H274" i="101"/>
  <c r="D325" i="101"/>
  <c r="L359" i="101"/>
  <c r="D257" i="101"/>
  <c r="H376" i="101"/>
  <c r="D87" i="101"/>
  <c r="H87" i="101"/>
  <c r="H155" i="101"/>
  <c r="D155" i="101"/>
  <c r="L189" i="101"/>
  <c r="H291" i="101"/>
  <c r="D308" i="101"/>
  <c r="H138" i="101"/>
  <c r="H325" i="101"/>
  <c r="D393" i="101"/>
  <c r="H121" i="101"/>
  <c r="L240" i="101"/>
  <c r="L291" i="101"/>
  <c r="L206" i="101"/>
  <c r="H308" i="101"/>
  <c r="L325" i="101"/>
  <c r="J9" i="79"/>
  <c r="J10" i="79"/>
  <c r="J11" i="79"/>
  <c r="J12" i="79"/>
  <c r="J13" i="79"/>
  <c r="J14" i="79"/>
  <c r="J15" i="79"/>
  <c r="J16" i="79"/>
  <c r="J17" i="79"/>
  <c r="J18" i="79"/>
  <c r="J19" i="79"/>
  <c r="J20" i="79"/>
  <c r="J21" i="79"/>
  <c r="J22" i="79"/>
  <c r="J23" i="79"/>
  <c r="J24" i="79"/>
  <c r="J25" i="79"/>
  <c r="J26" i="79"/>
  <c r="J27" i="79"/>
  <c r="J28" i="79"/>
  <c r="J29" i="79"/>
  <c r="J30" i="79"/>
  <c r="J31" i="79"/>
  <c r="J32" i="79"/>
  <c r="I9" i="79"/>
  <c r="I10" i="79"/>
  <c r="I11" i="79"/>
  <c r="I12" i="79"/>
  <c r="I13" i="79"/>
  <c r="I14" i="79"/>
  <c r="I15" i="79"/>
  <c r="I16" i="79"/>
  <c r="I17" i="79"/>
  <c r="I18" i="79"/>
  <c r="I19" i="79"/>
  <c r="I20" i="79"/>
  <c r="I21" i="79"/>
  <c r="I22" i="79"/>
  <c r="I23" i="79"/>
  <c r="I24" i="79"/>
  <c r="I25" i="79"/>
  <c r="I26" i="79"/>
  <c r="I27" i="79"/>
  <c r="I28" i="79"/>
  <c r="I29" i="79"/>
  <c r="I30" i="79"/>
  <c r="I31" i="79"/>
  <c r="I32" i="79"/>
  <c r="H9" i="79"/>
  <c r="H10" i="79"/>
  <c r="H11" i="79"/>
  <c r="H12" i="79"/>
  <c r="H13" i="79"/>
  <c r="H14" i="79"/>
  <c r="H15" i="79"/>
  <c r="H16" i="79"/>
  <c r="H17" i="79"/>
  <c r="H18" i="79"/>
  <c r="H19" i="79"/>
  <c r="H20" i="79"/>
  <c r="H21" i="79"/>
  <c r="H22" i="79"/>
  <c r="H23" i="79"/>
  <c r="H24" i="79"/>
  <c r="H25" i="79"/>
  <c r="H26" i="79"/>
  <c r="H27" i="79"/>
  <c r="H28" i="79"/>
  <c r="H29" i="79"/>
  <c r="H30" i="79"/>
  <c r="H31" i="79"/>
  <c r="H32" i="79"/>
  <c r="G9" i="79"/>
  <c r="G10" i="79"/>
  <c r="G11" i="79"/>
  <c r="G12" i="79"/>
  <c r="G13" i="79"/>
  <c r="G14" i="79"/>
  <c r="G15" i="79"/>
  <c r="G16" i="79"/>
  <c r="G17" i="79"/>
  <c r="G18" i="79"/>
  <c r="G19" i="79"/>
  <c r="G20" i="79"/>
  <c r="G21" i="79"/>
  <c r="G22" i="79"/>
  <c r="G23" i="79"/>
  <c r="G24" i="79"/>
  <c r="G25" i="79"/>
  <c r="G26" i="79"/>
  <c r="G27" i="79"/>
  <c r="G28" i="79"/>
  <c r="G29" i="79"/>
  <c r="G30" i="79"/>
  <c r="G31" i="79"/>
  <c r="G32" i="79"/>
  <c r="F9" i="79"/>
  <c r="F10" i="79"/>
  <c r="F11" i="79"/>
  <c r="F12" i="79"/>
  <c r="F13" i="79"/>
  <c r="F14" i="79"/>
  <c r="F15" i="79"/>
  <c r="F16" i="79"/>
  <c r="F17" i="79"/>
  <c r="F18" i="79"/>
  <c r="F19" i="79"/>
  <c r="F20" i="79"/>
  <c r="F21" i="79"/>
  <c r="F22" i="79"/>
  <c r="F23" i="79"/>
  <c r="F24" i="79"/>
  <c r="F25" i="79"/>
  <c r="F26" i="79"/>
  <c r="F27" i="79"/>
  <c r="F28" i="79"/>
  <c r="F29" i="79"/>
  <c r="F30" i="79"/>
  <c r="F31" i="79"/>
  <c r="F32" i="79"/>
  <c r="E9" i="79"/>
  <c r="E10" i="79"/>
  <c r="E11" i="79"/>
  <c r="E12" i="79"/>
  <c r="E13" i="79"/>
  <c r="E14" i="79"/>
  <c r="E15" i="79"/>
  <c r="E16" i="79"/>
  <c r="E17" i="79"/>
  <c r="E18" i="79"/>
  <c r="E19" i="79"/>
  <c r="E20" i="79"/>
  <c r="E21" i="79"/>
  <c r="E22" i="79"/>
  <c r="E23" i="79"/>
  <c r="E24" i="79"/>
  <c r="E25" i="79"/>
  <c r="E26" i="79"/>
  <c r="E27" i="79"/>
  <c r="E28" i="79"/>
  <c r="E29" i="79"/>
  <c r="E30" i="79"/>
  <c r="E31" i="79"/>
  <c r="E32" i="79"/>
  <c r="D9" i="79"/>
  <c r="D10" i="79"/>
  <c r="D11" i="79"/>
  <c r="D12" i="79"/>
  <c r="D13" i="79"/>
  <c r="D14" i="79"/>
  <c r="D15" i="79"/>
  <c r="D16" i="79"/>
  <c r="D17" i="79"/>
  <c r="D18" i="79"/>
  <c r="D19" i="79"/>
  <c r="D20" i="79"/>
  <c r="D21" i="79"/>
  <c r="D22" i="79"/>
  <c r="D23" i="79"/>
  <c r="D24" i="79"/>
  <c r="D25" i="79"/>
  <c r="D26" i="79"/>
  <c r="D27" i="79"/>
  <c r="D28" i="79"/>
  <c r="D29" i="79"/>
  <c r="D30" i="79"/>
  <c r="D31" i="79"/>
  <c r="D32" i="79"/>
  <c r="C9" i="79"/>
  <c r="C10" i="79"/>
  <c r="C11" i="79"/>
  <c r="C12" i="79"/>
  <c r="C13" i="79"/>
  <c r="C14" i="79"/>
  <c r="C15" i="79"/>
  <c r="C16" i="79"/>
  <c r="C17" i="79"/>
  <c r="C18" i="79"/>
  <c r="C19" i="79"/>
  <c r="C20" i="79"/>
  <c r="C21" i="79"/>
  <c r="C22" i="79"/>
  <c r="C23" i="79"/>
  <c r="C24" i="79"/>
  <c r="C25" i="79"/>
  <c r="C26" i="79"/>
  <c r="C27" i="79"/>
  <c r="C28" i="79"/>
  <c r="C29" i="79"/>
  <c r="C30" i="79"/>
  <c r="C31" i="79"/>
  <c r="C32" i="79"/>
  <c r="B9" i="79"/>
  <c r="B10" i="79"/>
  <c r="B11" i="79"/>
  <c r="B12" i="79"/>
  <c r="B13" i="79"/>
  <c r="B14" i="79"/>
  <c r="B15" i="79"/>
  <c r="B16" i="79"/>
  <c r="B17" i="79"/>
  <c r="B18" i="79"/>
  <c r="B19" i="79"/>
  <c r="B20" i="79"/>
  <c r="B21" i="79"/>
  <c r="B22" i="79"/>
  <c r="B23" i="79"/>
  <c r="B24" i="79"/>
  <c r="B25" i="79"/>
  <c r="B26" i="79"/>
  <c r="B27" i="79"/>
  <c r="B28" i="79"/>
  <c r="B29" i="79"/>
  <c r="B30" i="79"/>
  <c r="B31" i="79"/>
  <c r="B32" i="79"/>
  <c r="B119" i="78"/>
  <c r="H8" i="78"/>
  <c r="K9" i="79" l="1"/>
  <c r="B21" i="52"/>
  <c r="O34" i="103" l="1"/>
  <c r="O33" i="103"/>
  <c r="O32" i="103"/>
  <c r="O31" i="103"/>
  <c r="O30" i="103"/>
  <c r="O29" i="103"/>
  <c r="O28" i="103"/>
  <c r="O27" i="103"/>
  <c r="O26" i="103"/>
  <c r="J34" i="103"/>
  <c r="J33" i="103"/>
  <c r="J32" i="103"/>
  <c r="J31" i="103"/>
  <c r="J29" i="103"/>
  <c r="J28" i="103"/>
  <c r="J27" i="103"/>
  <c r="J26" i="103"/>
  <c r="E34" i="103"/>
  <c r="E33" i="103"/>
  <c r="E32" i="103"/>
  <c r="E31" i="103"/>
  <c r="E30" i="103"/>
  <c r="E29" i="103"/>
  <c r="E28" i="103"/>
  <c r="E27" i="103"/>
  <c r="E26" i="103"/>
  <c r="L68" i="101"/>
  <c r="H68" i="101"/>
  <c r="D68" i="101"/>
  <c r="L67" i="101"/>
  <c r="H67" i="101"/>
  <c r="D67" i="101"/>
  <c r="L66" i="101"/>
  <c r="H66" i="101"/>
  <c r="D66" i="101"/>
  <c r="L65" i="101"/>
  <c r="H65" i="101"/>
  <c r="D65" i="101"/>
  <c r="L64" i="101"/>
  <c r="H64" i="101"/>
  <c r="D64" i="101"/>
  <c r="L63" i="101"/>
  <c r="H63" i="101"/>
  <c r="D63" i="101"/>
  <c r="L62" i="101"/>
  <c r="H62" i="101"/>
  <c r="D62" i="101"/>
  <c r="L61" i="101"/>
  <c r="H61" i="101"/>
  <c r="D61" i="101"/>
  <c r="L60" i="101"/>
  <c r="H60" i="101"/>
  <c r="D60" i="101"/>
  <c r="L51" i="101"/>
  <c r="H51" i="101"/>
  <c r="D51" i="101"/>
  <c r="L50" i="101"/>
  <c r="H50" i="101"/>
  <c r="D50" i="101"/>
  <c r="L49" i="101"/>
  <c r="H49" i="101"/>
  <c r="D49" i="101"/>
  <c r="L48" i="101"/>
  <c r="H48" i="101"/>
  <c r="D48" i="101"/>
  <c r="L47" i="101"/>
  <c r="D47" i="101"/>
  <c r="L46" i="101"/>
  <c r="H46" i="101"/>
  <c r="D46" i="101"/>
  <c r="L45" i="101"/>
  <c r="H45" i="101"/>
  <c r="D45" i="101"/>
  <c r="L44" i="101"/>
  <c r="H44" i="101"/>
  <c r="D44" i="101"/>
  <c r="L43" i="101"/>
  <c r="H43" i="101"/>
  <c r="D43" i="101"/>
  <c r="H26" i="101"/>
  <c r="L34" i="101"/>
  <c r="L33" i="101"/>
  <c r="L32" i="101"/>
  <c r="L31" i="101"/>
  <c r="L30" i="101"/>
  <c r="L29" i="101"/>
  <c r="L28" i="101"/>
  <c r="L27" i="101"/>
  <c r="L26" i="101"/>
  <c r="H34" i="101"/>
  <c r="H33" i="101"/>
  <c r="H32" i="101"/>
  <c r="H31" i="101"/>
  <c r="H30" i="101"/>
  <c r="H29" i="101"/>
  <c r="H28" i="101"/>
  <c r="H27" i="101"/>
  <c r="D34" i="101"/>
  <c r="D33" i="101"/>
  <c r="D32" i="101"/>
  <c r="D31" i="101"/>
  <c r="D30" i="101"/>
  <c r="D29" i="101"/>
  <c r="D28" i="101"/>
  <c r="D27" i="101"/>
  <c r="D26" i="101"/>
  <c r="B19" i="103" l="1"/>
  <c r="E36" i="103"/>
  <c r="J36" i="103"/>
  <c r="O36" i="103"/>
  <c r="L36" i="101"/>
  <c r="D36" i="101"/>
  <c r="D53" i="101"/>
  <c r="H36" i="101"/>
  <c r="L53" i="101"/>
  <c r="D70" i="101"/>
  <c r="H53" i="101"/>
  <c r="H70" i="101"/>
  <c r="L70" i="101"/>
  <c r="J10" i="103"/>
  <c r="O9" i="103"/>
  <c r="O17" i="103"/>
  <c r="J13" i="103"/>
  <c r="O12" i="103"/>
  <c r="E16" i="103"/>
  <c r="E13" i="103"/>
  <c r="E17" i="103"/>
  <c r="E14" i="103"/>
  <c r="D19" i="103"/>
  <c r="I19" i="103"/>
  <c r="J15" i="103"/>
  <c r="O14" i="103"/>
  <c r="L19" i="103"/>
  <c r="E10" i="103"/>
  <c r="J16" i="103"/>
  <c r="E15" i="103"/>
  <c r="J9" i="103"/>
  <c r="J11" i="103"/>
  <c r="J14" i="103"/>
  <c r="J17" i="103"/>
  <c r="N19" i="103"/>
  <c r="O13" i="103"/>
  <c r="O16" i="103"/>
  <c r="E11" i="103"/>
  <c r="M19" i="103"/>
  <c r="E9" i="103"/>
  <c r="O15" i="103"/>
  <c r="E12" i="103"/>
  <c r="J12" i="103"/>
  <c r="O11" i="103"/>
  <c r="H19" i="103"/>
  <c r="C19" i="103"/>
  <c r="O10" i="103"/>
  <c r="G19" i="103"/>
  <c r="H15" i="101"/>
  <c r="L14" i="101"/>
  <c r="H10" i="101"/>
  <c r="H14" i="101"/>
  <c r="L13" i="101"/>
  <c r="L17" i="101"/>
  <c r="D9" i="101"/>
  <c r="H12" i="101"/>
  <c r="H16" i="101"/>
  <c r="L11" i="101"/>
  <c r="L15" i="101"/>
  <c r="D12" i="101"/>
  <c r="D11" i="101"/>
  <c r="D10" i="101"/>
  <c r="D15" i="101"/>
  <c r="D17" i="101"/>
  <c r="D13" i="101"/>
  <c r="G19" i="101"/>
  <c r="J19" i="101"/>
  <c r="D16" i="101"/>
  <c r="K19" i="101"/>
  <c r="H11" i="101"/>
  <c r="L10" i="101"/>
  <c r="B19" i="101"/>
  <c r="D14" i="101"/>
  <c r="C19" i="101"/>
  <c r="H9" i="101"/>
  <c r="H13" i="101"/>
  <c r="H17" i="101"/>
  <c r="L12" i="101"/>
  <c r="L16" i="101"/>
  <c r="L9" i="101"/>
  <c r="F19" i="101"/>
  <c r="J19" i="103" l="1"/>
  <c r="E19" i="103"/>
  <c r="O19" i="103"/>
  <c r="D19" i="101"/>
  <c r="L19" i="101"/>
  <c r="H19" i="101"/>
  <c r="L14" i="51"/>
  <c r="L13" i="51"/>
  <c r="L12" i="51"/>
  <c r="L11" i="51"/>
  <c r="L10" i="51"/>
  <c r="L9" i="51"/>
  <c r="L8" i="51"/>
  <c r="L7" i="51"/>
  <c r="L6" i="51"/>
  <c r="F482" i="104" l="1"/>
  <c r="F481" i="104"/>
  <c r="F477" i="104"/>
  <c r="F476" i="104"/>
  <c r="F472" i="104"/>
  <c r="F471" i="104"/>
  <c r="D482" i="104"/>
  <c r="D481" i="104"/>
  <c r="D477" i="104"/>
  <c r="D476" i="104"/>
  <c r="D472" i="104"/>
  <c r="D471" i="104"/>
  <c r="B482" i="104"/>
  <c r="B481" i="104"/>
  <c r="B477" i="104"/>
  <c r="B476" i="104"/>
  <c r="B472" i="104"/>
  <c r="B471" i="104"/>
  <c r="F461" i="104"/>
  <c r="F460" i="104"/>
  <c r="F456" i="104"/>
  <c r="F455" i="104"/>
  <c r="F451" i="104"/>
  <c r="F450" i="104"/>
  <c r="D461" i="104"/>
  <c r="D460" i="104"/>
  <c r="D456" i="104"/>
  <c r="D455" i="104"/>
  <c r="D451" i="104"/>
  <c r="D450" i="104"/>
  <c r="B461" i="104"/>
  <c r="B460" i="104"/>
  <c r="B456" i="104"/>
  <c r="B455" i="104"/>
  <c r="B451" i="104"/>
  <c r="B450" i="104"/>
  <c r="F440" i="104"/>
  <c r="F439" i="104"/>
  <c r="F435" i="104"/>
  <c r="F434" i="104"/>
  <c r="F430" i="104"/>
  <c r="F429" i="104"/>
  <c r="D440" i="104"/>
  <c r="D439" i="104"/>
  <c r="D435" i="104"/>
  <c r="D434" i="104"/>
  <c r="D430" i="104"/>
  <c r="D429" i="104"/>
  <c r="B440" i="104"/>
  <c r="B439" i="104"/>
  <c r="B435" i="104"/>
  <c r="B434" i="104"/>
  <c r="B430" i="104"/>
  <c r="B429" i="104"/>
  <c r="F419" i="104"/>
  <c r="F418" i="104"/>
  <c r="F414" i="104"/>
  <c r="F413" i="104"/>
  <c r="F409" i="104"/>
  <c r="F408" i="104"/>
  <c r="D419" i="104"/>
  <c r="D418" i="104"/>
  <c r="D414" i="104"/>
  <c r="D413" i="104"/>
  <c r="D409" i="104"/>
  <c r="D408" i="104"/>
  <c r="B419" i="104"/>
  <c r="B418" i="104"/>
  <c r="B414" i="104"/>
  <c r="B413" i="104"/>
  <c r="B409" i="104"/>
  <c r="B408" i="104"/>
  <c r="F398" i="104"/>
  <c r="F397" i="104"/>
  <c r="F393" i="104"/>
  <c r="F392" i="104"/>
  <c r="F388" i="104"/>
  <c r="F387" i="104"/>
  <c r="D398" i="104"/>
  <c r="D397" i="104"/>
  <c r="D393" i="104"/>
  <c r="D392" i="104"/>
  <c r="D388" i="104"/>
  <c r="D387" i="104"/>
  <c r="B398" i="104"/>
  <c r="B397" i="104"/>
  <c r="B393" i="104"/>
  <c r="B392" i="104"/>
  <c r="B388" i="104"/>
  <c r="B387" i="104"/>
  <c r="F377" i="104"/>
  <c r="F376" i="104"/>
  <c r="F372" i="104"/>
  <c r="F371" i="104"/>
  <c r="F367" i="104"/>
  <c r="F366" i="104"/>
  <c r="D377" i="104"/>
  <c r="D376" i="104"/>
  <c r="D372" i="104"/>
  <c r="D371" i="104"/>
  <c r="D367" i="104"/>
  <c r="D366" i="104"/>
  <c r="B377" i="104"/>
  <c r="B376" i="104"/>
  <c r="B372" i="104"/>
  <c r="B371" i="104"/>
  <c r="B367" i="104"/>
  <c r="B366" i="104"/>
  <c r="F356" i="104"/>
  <c r="F355" i="104"/>
  <c r="F351" i="104"/>
  <c r="F350" i="104"/>
  <c r="F346" i="104"/>
  <c r="F345" i="104"/>
  <c r="D356" i="104"/>
  <c r="D355" i="104"/>
  <c r="D351" i="104"/>
  <c r="D350" i="104"/>
  <c r="D346" i="104"/>
  <c r="D345" i="104"/>
  <c r="B356" i="104"/>
  <c r="B355" i="104"/>
  <c r="B351" i="104"/>
  <c r="B350" i="104"/>
  <c r="B346" i="104"/>
  <c r="B345" i="104"/>
  <c r="F335" i="104"/>
  <c r="F334" i="104"/>
  <c r="F325" i="104"/>
  <c r="F324" i="104"/>
  <c r="D335" i="104"/>
  <c r="D334" i="104"/>
  <c r="D325" i="104"/>
  <c r="D324" i="104"/>
  <c r="B335" i="104"/>
  <c r="B334" i="104"/>
  <c r="B325" i="104"/>
  <c r="B324" i="104"/>
  <c r="F314" i="104"/>
  <c r="F313" i="104"/>
  <c r="F309" i="104"/>
  <c r="F308" i="104"/>
  <c r="F304" i="104"/>
  <c r="F303" i="104"/>
  <c r="D314" i="104"/>
  <c r="D313" i="104"/>
  <c r="D309" i="104"/>
  <c r="D308" i="104"/>
  <c r="D304" i="104"/>
  <c r="D303" i="104"/>
  <c r="B314" i="104"/>
  <c r="B309" i="104"/>
  <c r="B308" i="104"/>
  <c r="B304" i="104"/>
  <c r="B303" i="104"/>
  <c r="F293" i="104"/>
  <c r="F292" i="104"/>
  <c r="F288" i="104"/>
  <c r="F287" i="104"/>
  <c r="F283" i="104"/>
  <c r="F282" i="104"/>
  <c r="D293" i="104"/>
  <c r="D292" i="104"/>
  <c r="D288" i="104"/>
  <c r="D287" i="104"/>
  <c r="D283" i="104"/>
  <c r="D282" i="104"/>
  <c r="B293" i="104"/>
  <c r="B292" i="104"/>
  <c r="B288" i="104"/>
  <c r="B287" i="104"/>
  <c r="B283" i="104"/>
  <c r="B282" i="104"/>
  <c r="F272" i="104"/>
  <c r="F271" i="104"/>
  <c r="F267" i="104"/>
  <c r="F266" i="104"/>
  <c r="F262" i="104"/>
  <c r="F261" i="104"/>
  <c r="D272" i="104"/>
  <c r="D271" i="104"/>
  <c r="D267" i="104"/>
  <c r="D266" i="104"/>
  <c r="D262" i="104"/>
  <c r="D261" i="104"/>
  <c r="B272" i="104"/>
  <c r="B271" i="104"/>
  <c r="B267" i="104"/>
  <c r="B266" i="104"/>
  <c r="B262" i="104"/>
  <c r="B261" i="104"/>
  <c r="F251" i="104"/>
  <c r="F250" i="104"/>
  <c r="F246" i="104"/>
  <c r="F245" i="104"/>
  <c r="F241" i="104"/>
  <c r="F240" i="104"/>
  <c r="D251" i="104"/>
  <c r="D250" i="104"/>
  <c r="D246" i="104"/>
  <c r="D245" i="104"/>
  <c r="D241" i="104"/>
  <c r="D240" i="104"/>
  <c r="B251" i="104"/>
  <c r="B250" i="104"/>
  <c r="B246" i="104"/>
  <c r="B245" i="104"/>
  <c r="B241" i="104"/>
  <c r="B240" i="104"/>
  <c r="F230" i="104"/>
  <c r="F229" i="104"/>
  <c r="F225" i="104"/>
  <c r="F224" i="104"/>
  <c r="F220" i="104"/>
  <c r="F219" i="104"/>
  <c r="D230" i="104"/>
  <c r="D229" i="104"/>
  <c r="D225" i="104"/>
  <c r="D224" i="104"/>
  <c r="D220" i="104"/>
  <c r="D219" i="104"/>
  <c r="B230" i="104"/>
  <c r="B229" i="104"/>
  <c r="B225" i="104"/>
  <c r="B224" i="104"/>
  <c r="B220" i="104"/>
  <c r="B219" i="104"/>
  <c r="F209" i="104"/>
  <c r="F208" i="104"/>
  <c r="F204" i="104"/>
  <c r="F203" i="104"/>
  <c r="F199" i="104"/>
  <c r="F198" i="104"/>
  <c r="D209" i="104"/>
  <c r="D208" i="104"/>
  <c r="D204" i="104"/>
  <c r="D203" i="104"/>
  <c r="D199" i="104"/>
  <c r="D198" i="104"/>
  <c r="B209" i="104"/>
  <c r="B208" i="104"/>
  <c r="B204" i="104"/>
  <c r="B203" i="104"/>
  <c r="B199" i="104"/>
  <c r="B198" i="104"/>
  <c r="F188" i="104"/>
  <c r="F187" i="104"/>
  <c r="F183" i="104"/>
  <c r="F182" i="104"/>
  <c r="F178" i="104"/>
  <c r="F177" i="104"/>
  <c r="D188" i="104"/>
  <c r="D187" i="104"/>
  <c r="D183" i="104"/>
  <c r="D182" i="104"/>
  <c r="D178" i="104"/>
  <c r="D177" i="104"/>
  <c r="B188" i="104"/>
  <c r="B187" i="104"/>
  <c r="B183" i="104"/>
  <c r="B182" i="104"/>
  <c r="B178" i="104"/>
  <c r="B177" i="104"/>
  <c r="F166" i="104"/>
  <c r="F167" i="104"/>
  <c r="F162" i="104"/>
  <c r="F161" i="104"/>
  <c r="F157" i="104"/>
  <c r="F156" i="104"/>
  <c r="D167" i="104"/>
  <c r="D166" i="104"/>
  <c r="D162" i="104"/>
  <c r="D161" i="104"/>
  <c r="D157" i="104"/>
  <c r="D156" i="104"/>
  <c r="B167" i="104"/>
  <c r="B166" i="104"/>
  <c r="B162" i="104"/>
  <c r="B161" i="104"/>
  <c r="B157" i="104"/>
  <c r="B156" i="104"/>
  <c r="F146" i="104"/>
  <c r="F145" i="104"/>
  <c r="F141" i="104"/>
  <c r="F140" i="104"/>
  <c r="F136" i="104"/>
  <c r="F135" i="104"/>
  <c r="D146" i="104"/>
  <c r="D145" i="104"/>
  <c r="D141" i="104"/>
  <c r="D140" i="104"/>
  <c r="D136" i="104"/>
  <c r="D135" i="104"/>
  <c r="B146" i="104"/>
  <c r="B145" i="104"/>
  <c r="B141" i="104"/>
  <c r="B140" i="104"/>
  <c r="B136" i="104"/>
  <c r="B135" i="104"/>
  <c r="F125" i="104"/>
  <c r="F124" i="104"/>
  <c r="F120" i="104"/>
  <c r="F119" i="104"/>
  <c r="F115" i="104"/>
  <c r="F114" i="104"/>
  <c r="D125" i="104"/>
  <c r="D124" i="104"/>
  <c r="D120" i="104"/>
  <c r="D119" i="104"/>
  <c r="D115" i="104"/>
  <c r="D114" i="104"/>
  <c r="B125" i="104"/>
  <c r="B124" i="104"/>
  <c r="B120" i="104"/>
  <c r="B119" i="104"/>
  <c r="B115" i="104"/>
  <c r="B114" i="104"/>
  <c r="D56" i="104"/>
  <c r="D51" i="104"/>
  <c r="F315" i="104" l="1"/>
  <c r="F126" i="104"/>
  <c r="H124" i="104"/>
  <c r="F168" i="104"/>
  <c r="H335" i="104"/>
  <c r="H145" i="104"/>
  <c r="F104" i="104"/>
  <c r="F103" i="104"/>
  <c r="F99" i="104"/>
  <c r="F98" i="104"/>
  <c r="F94" i="104"/>
  <c r="F93" i="104"/>
  <c r="D104" i="104"/>
  <c r="D103" i="104"/>
  <c r="D99" i="104"/>
  <c r="D98" i="104"/>
  <c r="D94" i="104"/>
  <c r="D93" i="104"/>
  <c r="B104" i="104"/>
  <c r="B103" i="104"/>
  <c r="B99" i="104"/>
  <c r="B98" i="104"/>
  <c r="B94" i="104"/>
  <c r="B93" i="104"/>
  <c r="F83" i="104"/>
  <c r="F82" i="104"/>
  <c r="F78" i="104"/>
  <c r="F77" i="104"/>
  <c r="F73" i="104"/>
  <c r="F72" i="104"/>
  <c r="D83" i="104"/>
  <c r="D82" i="104"/>
  <c r="D78" i="104"/>
  <c r="D77" i="104"/>
  <c r="D73" i="104"/>
  <c r="D72" i="104"/>
  <c r="B83" i="104"/>
  <c r="B82" i="104"/>
  <c r="B78" i="104"/>
  <c r="B77" i="104"/>
  <c r="F62" i="104"/>
  <c r="F61" i="104"/>
  <c r="F57" i="104"/>
  <c r="F56" i="104"/>
  <c r="F52" i="104"/>
  <c r="F51" i="104"/>
  <c r="D62" i="104"/>
  <c r="D61" i="104"/>
  <c r="L61" i="104" s="1"/>
  <c r="D57" i="104"/>
  <c r="D52" i="104"/>
  <c r="D53" i="104" s="1"/>
  <c r="B52" i="104"/>
  <c r="B51" i="104"/>
  <c r="B73" i="104"/>
  <c r="B72" i="104"/>
  <c r="B62" i="104"/>
  <c r="B61" i="104"/>
  <c r="B57" i="104"/>
  <c r="B56" i="104"/>
  <c r="H482" i="104"/>
  <c r="H481" i="104"/>
  <c r="H477" i="104"/>
  <c r="H476" i="104"/>
  <c r="H472" i="104"/>
  <c r="H471" i="104"/>
  <c r="H461" i="104"/>
  <c r="H460" i="104"/>
  <c r="H456" i="104"/>
  <c r="H455" i="104"/>
  <c r="H451" i="104"/>
  <c r="H450" i="104"/>
  <c r="H440" i="104"/>
  <c r="H439" i="104"/>
  <c r="H435" i="104"/>
  <c r="H434" i="104"/>
  <c r="H430" i="104"/>
  <c r="H429" i="104"/>
  <c r="H419" i="104"/>
  <c r="H418" i="104"/>
  <c r="H414" i="104"/>
  <c r="H413" i="104"/>
  <c r="H409" i="104"/>
  <c r="H408" i="104"/>
  <c r="H398" i="104"/>
  <c r="H397" i="104"/>
  <c r="H393" i="104"/>
  <c r="H392" i="104"/>
  <c r="H388" i="104"/>
  <c r="H387" i="104"/>
  <c r="H377" i="104"/>
  <c r="H376" i="104"/>
  <c r="H372" i="104"/>
  <c r="H371" i="104"/>
  <c r="H367" i="104"/>
  <c r="H366" i="104"/>
  <c r="H356" i="104"/>
  <c r="H355" i="104"/>
  <c r="H351" i="104"/>
  <c r="H350" i="104"/>
  <c r="H346" i="104"/>
  <c r="H345" i="104"/>
  <c r="H334" i="104"/>
  <c r="H330" i="104"/>
  <c r="H329" i="104"/>
  <c r="H325" i="104"/>
  <c r="H324" i="104"/>
  <c r="H314" i="104"/>
  <c r="H313" i="104"/>
  <c r="H309" i="104"/>
  <c r="H308" i="104"/>
  <c r="H304" i="104"/>
  <c r="H303" i="104"/>
  <c r="H293" i="104"/>
  <c r="H292" i="104"/>
  <c r="H288" i="104"/>
  <c r="H287" i="104"/>
  <c r="H283" i="104"/>
  <c r="H282" i="104"/>
  <c r="H272" i="104"/>
  <c r="H271" i="104"/>
  <c r="H267" i="104"/>
  <c r="H266" i="104"/>
  <c r="H262" i="104"/>
  <c r="H261" i="104"/>
  <c r="H251" i="104"/>
  <c r="H250" i="104"/>
  <c r="H246" i="104"/>
  <c r="H245" i="104"/>
  <c r="H241" i="104"/>
  <c r="H240" i="104"/>
  <c r="H230" i="104"/>
  <c r="H229" i="104"/>
  <c r="H225" i="104"/>
  <c r="H224" i="104"/>
  <c r="H220" i="104"/>
  <c r="H219" i="104"/>
  <c r="H209" i="104"/>
  <c r="H208" i="104"/>
  <c r="H204" i="104"/>
  <c r="H203" i="104"/>
  <c r="H199" i="104"/>
  <c r="H198" i="104"/>
  <c r="H188" i="104"/>
  <c r="H187" i="104"/>
  <c r="H183" i="104"/>
  <c r="H182" i="104"/>
  <c r="H178" i="104"/>
  <c r="H177" i="104"/>
  <c r="H167" i="104"/>
  <c r="H166" i="104"/>
  <c r="H162" i="104"/>
  <c r="H161" i="104"/>
  <c r="H157" i="104"/>
  <c r="H156" i="104"/>
  <c r="H146" i="104"/>
  <c r="H141" i="104"/>
  <c r="H140" i="104"/>
  <c r="H136" i="104"/>
  <c r="H135" i="104"/>
  <c r="H125" i="104"/>
  <c r="H120" i="104"/>
  <c r="H119" i="104"/>
  <c r="H115" i="104"/>
  <c r="H114" i="104"/>
  <c r="F483" i="104"/>
  <c r="F473" i="104"/>
  <c r="F462" i="104"/>
  <c r="M456" i="104"/>
  <c r="M450" i="104"/>
  <c r="M461" i="104"/>
  <c r="F441" i="104"/>
  <c r="M434" i="104"/>
  <c r="F431" i="104"/>
  <c r="F420" i="104"/>
  <c r="F415" i="104"/>
  <c r="M408" i="104"/>
  <c r="F399" i="104"/>
  <c r="M398" i="104"/>
  <c r="F378" i="104"/>
  <c r="F373" i="104"/>
  <c r="M367" i="104"/>
  <c r="F357" i="104"/>
  <c r="M346" i="104"/>
  <c r="F336" i="104"/>
  <c r="M329" i="104"/>
  <c r="M304" i="104"/>
  <c r="F305" i="104"/>
  <c r="F294" i="104"/>
  <c r="M283" i="104"/>
  <c r="M287" i="104"/>
  <c r="F284" i="104"/>
  <c r="M272" i="104"/>
  <c r="F273" i="104"/>
  <c r="M261" i="104"/>
  <c r="F252" i="104"/>
  <c r="M241" i="104"/>
  <c r="M240" i="104"/>
  <c r="M251" i="104"/>
  <c r="F231" i="104"/>
  <c r="M225" i="104"/>
  <c r="M224" i="104"/>
  <c r="F221" i="104"/>
  <c r="F210" i="104"/>
  <c r="F200" i="104"/>
  <c r="F189" i="104"/>
  <c r="M178" i="104"/>
  <c r="M182" i="104"/>
  <c r="M188" i="104"/>
  <c r="M162" i="104"/>
  <c r="M161" i="104"/>
  <c r="M146" i="104"/>
  <c r="F147" i="104"/>
  <c r="M141" i="104"/>
  <c r="F137" i="104"/>
  <c r="M120" i="104"/>
  <c r="M114" i="104"/>
  <c r="M125" i="104"/>
  <c r="D483" i="104"/>
  <c r="L471" i="104"/>
  <c r="D473" i="104"/>
  <c r="D462" i="104"/>
  <c r="L450" i="104"/>
  <c r="D452" i="104"/>
  <c r="D441" i="104"/>
  <c r="D436" i="104"/>
  <c r="L440" i="104"/>
  <c r="D420" i="104"/>
  <c r="D410" i="104"/>
  <c r="D389" i="104"/>
  <c r="D378" i="104"/>
  <c r="L372" i="104"/>
  <c r="L371" i="104"/>
  <c r="D368" i="104"/>
  <c r="D357" i="104"/>
  <c r="L345" i="104"/>
  <c r="D347" i="104"/>
  <c r="D336" i="104"/>
  <c r="L324" i="104"/>
  <c r="L325" i="104"/>
  <c r="D315" i="104"/>
  <c r="L303" i="104"/>
  <c r="L314" i="104"/>
  <c r="D294" i="104"/>
  <c r="L287" i="104"/>
  <c r="D284" i="104"/>
  <c r="L292" i="104"/>
  <c r="D268" i="104"/>
  <c r="D263" i="104"/>
  <c r="D252" i="104"/>
  <c r="L241" i="104"/>
  <c r="D231" i="104"/>
  <c r="L225" i="104"/>
  <c r="L224" i="104"/>
  <c r="L230" i="104"/>
  <c r="D210" i="104"/>
  <c r="L203" i="104"/>
  <c r="L199" i="104"/>
  <c r="D189" i="104"/>
  <c r="L177" i="104"/>
  <c r="D168" i="104"/>
  <c r="L162" i="104"/>
  <c r="D163" i="104"/>
  <c r="D158" i="104"/>
  <c r="L146" i="104"/>
  <c r="D147" i="104"/>
  <c r="L136" i="104"/>
  <c r="D137" i="104"/>
  <c r="D126" i="104"/>
  <c r="L114" i="104"/>
  <c r="B483" i="104"/>
  <c r="K472" i="104"/>
  <c r="B462" i="104"/>
  <c r="K451" i="104"/>
  <c r="K455" i="104"/>
  <c r="B441" i="104"/>
  <c r="K435" i="104"/>
  <c r="B436" i="104"/>
  <c r="B420" i="104"/>
  <c r="B410" i="104"/>
  <c r="B399" i="104"/>
  <c r="K393" i="104"/>
  <c r="K392" i="104"/>
  <c r="B378" i="104"/>
  <c r="K366" i="104"/>
  <c r="K351" i="104"/>
  <c r="B357" i="104"/>
  <c r="B347" i="104"/>
  <c r="B336" i="104"/>
  <c r="K325" i="104"/>
  <c r="B326" i="104"/>
  <c r="B315" i="104"/>
  <c r="K303" i="104"/>
  <c r="B294" i="104"/>
  <c r="K282" i="104"/>
  <c r="K293" i="104"/>
  <c r="K272" i="104"/>
  <c r="B273" i="104"/>
  <c r="K262" i="104"/>
  <c r="K266" i="104"/>
  <c r="B263" i="104"/>
  <c r="K251" i="104"/>
  <c r="B252" i="104"/>
  <c r="K246" i="104"/>
  <c r="B242" i="104"/>
  <c r="B231" i="104"/>
  <c r="K220" i="104"/>
  <c r="K224" i="104"/>
  <c r="B221" i="104"/>
  <c r="B210" i="104"/>
  <c r="K198" i="104"/>
  <c r="B200" i="104"/>
  <c r="B189" i="104"/>
  <c r="B184" i="104"/>
  <c r="B168" i="104"/>
  <c r="K161" i="104"/>
  <c r="K157" i="104"/>
  <c r="B147" i="104"/>
  <c r="K136" i="104"/>
  <c r="B142" i="104"/>
  <c r="B137" i="104"/>
  <c r="B126" i="104"/>
  <c r="K115" i="104"/>
  <c r="B116" i="104"/>
  <c r="F36" i="104"/>
  <c r="F35" i="104"/>
  <c r="D36" i="104"/>
  <c r="D35" i="104"/>
  <c r="B36" i="104"/>
  <c r="Y195" i="102"/>
  <c r="T195" i="102"/>
  <c r="O195" i="102"/>
  <c r="J195" i="102"/>
  <c r="E195" i="102"/>
  <c r="V194" i="102"/>
  <c r="Q194" i="102"/>
  <c r="L194" i="102"/>
  <c r="G194" i="102"/>
  <c r="B194" i="102"/>
  <c r="Y186" i="102"/>
  <c r="T186" i="102"/>
  <c r="O186" i="102"/>
  <c r="J186" i="102"/>
  <c r="E186" i="102"/>
  <c r="V185" i="102"/>
  <c r="Q185" i="102"/>
  <c r="L185" i="102"/>
  <c r="G185" i="102"/>
  <c r="B185" i="102"/>
  <c r="Y177" i="102"/>
  <c r="T177" i="102"/>
  <c r="O177" i="102"/>
  <c r="J177" i="102"/>
  <c r="E177" i="102"/>
  <c r="V176" i="102"/>
  <c r="Q176" i="102"/>
  <c r="L176" i="102"/>
  <c r="G176" i="102"/>
  <c r="B176" i="102"/>
  <c r="Y168" i="102"/>
  <c r="T168" i="102"/>
  <c r="O168" i="102"/>
  <c r="J168" i="102"/>
  <c r="E168" i="102"/>
  <c r="V167" i="102"/>
  <c r="Q167" i="102"/>
  <c r="L167" i="102"/>
  <c r="G167" i="102"/>
  <c r="B167" i="102"/>
  <c r="Y159" i="102"/>
  <c r="T159" i="102"/>
  <c r="O159" i="102"/>
  <c r="J159" i="102"/>
  <c r="E159" i="102"/>
  <c r="V158" i="102"/>
  <c r="Q158" i="102"/>
  <c r="L158" i="102"/>
  <c r="G158" i="102"/>
  <c r="B158" i="102"/>
  <c r="Y150" i="102"/>
  <c r="T150" i="102"/>
  <c r="O150" i="102"/>
  <c r="J150" i="102"/>
  <c r="E150" i="102"/>
  <c r="V149" i="102"/>
  <c r="Q149" i="102"/>
  <c r="L149" i="102"/>
  <c r="G149" i="102"/>
  <c r="B149" i="102"/>
  <c r="Y141" i="102"/>
  <c r="T141" i="102"/>
  <c r="O141" i="102"/>
  <c r="J141" i="102"/>
  <c r="E141" i="102"/>
  <c r="V140" i="102"/>
  <c r="Q140" i="102"/>
  <c r="L140" i="102"/>
  <c r="G140" i="102"/>
  <c r="B140" i="102"/>
  <c r="Y132" i="102"/>
  <c r="T132" i="102"/>
  <c r="O132" i="102"/>
  <c r="J132" i="102"/>
  <c r="E132" i="102"/>
  <c r="V131" i="102"/>
  <c r="Q131" i="102"/>
  <c r="L131" i="102"/>
  <c r="G131" i="102"/>
  <c r="B131" i="102"/>
  <c r="Y123" i="102"/>
  <c r="T123" i="102"/>
  <c r="O123" i="102"/>
  <c r="J123" i="102"/>
  <c r="E123" i="102"/>
  <c r="V122" i="102"/>
  <c r="Q122" i="102"/>
  <c r="L122" i="102"/>
  <c r="G122" i="102"/>
  <c r="B122" i="102"/>
  <c r="Y114" i="102"/>
  <c r="T114" i="102"/>
  <c r="O114" i="102"/>
  <c r="J114" i="102"/>
  <c r="E114" i="102"/>
  <c r="V113" i="102"/>
  <c r="Q113" i="102"/>
  <c r="L113" i="102"/>
  <c r="G113" i="102"/>
  <c r="B113" i="102"/>
  <c r="Y105" i="102"/>
  <c r="T105" i="102"/>
  <c r="O105" i="102"/>
  <c r="J105" i="102"/>
  <c r="E105" i="102"/>
  <c r="V104" i="102"/>
  <c r="Q104" i="102"/>
  <c r="L104" i="102"/>
  <c r="G104" i="102"/>
  <c r="B104" i="102"/>
  <c r="Y96" i="102"/>
  <c r="T96" i="102"/>
  <c r="O96" i="102"/>
  <c r="J96" i="102"/>
  <c r="E96" i="102"/>
  <c r="V95" i="102"/>
  <c r="Q95" i="102"/>
  <c r="L95" i="102"/>
  <c r="G95" i="102"/>
  <c r="B95" i="102"/>
  <c r="Y87" i="102"/>
  <c r="T87" i="102"/>
  <c r="O87" i="102"/>
  <c r="J87" i="102"/>
  <c r="E87" i="102"/>
  <c r="V86" i="102"/>
  <c r="Q86" i="102"/>
  <c r="L86" i="102"/>
  <c r="G86" i="102"/>
  <c r="B86" i="102"/>
  <c r="Y78" i="102"/>
  <c r="T78" i="102"/>
  <c r="O78" i="102"/>
  <c r="J78" i="102"/>
  <c r="E78" i="102"/>
  <c r="V77" i="102"/>
  <c r="Q77" i="102"/>
  <c r="L77" i="102"/>
  <c r="G77" i="102"/>
  <c r="B77" i="102"/>
  <c r="Y69" i="102"/>
  <c r="T69" i="102"/>
  <c r="O69" i="102"/>
  <c r="J69" i="102"/>
  <c r="E69" i="102"/>
  <c r="V68" i="102"/>
  <c r="Q68" i="102"/>
  <c r="L68" i="102"/>
  <c r="G68" i="102"/>
  <c r="B68" i="102"/>
  <c r="Y60" i="102"/>
  <c r="T60" i="102"/>
  <c r="O60" i="102"/>
  <c r="J60" i="102"/>
  <c r="E60" i="102"/>
  <c r="V59" i="102"/>
  <c r="Q59" i="102"/>
  <c r="L59" i="102"/>
  <c r="G59" i="102"/>
  <c r="B59" i="102"/>
  <c r="Y51" i="102"/>
  <c r="T51" i="102"/>
  <c r="O51" i="102"/>
  <c r="J51" i="102"/>
  <c r="E51" i="102"/>
  <c r="V50" i="102"/>
  <c r="Q50" i="102"/>
  <c r="L50" i="102"/>
  <c r="G50" i="102"/>
  <c r="B50" i="102"/>
  <c r="Y42" i="102"/>
  <c r="T42" i="102"/>
  <c r="O42" i="102"/>
  <c r="J42" i="102"/>
  <c r="E42" i="102"/>
  <c r="V41" i="102"/>
  <c r="Q41" i="102"/>
  <c r="L41" i="102"/>
  <c r="G41" i="102"/>
  <c r="B41" i="102"/>
  <c r="Y33" i="102"/>
  <c r="T33" i="102"/>
  <c r="O33" i="102"/>
  <c r="J33" i="102"/>
  <c r="E33" i="102"/>
  <c r="V32" i="102"/>
  <c r="Q32" i="102"/>
  <c r="L32" i="102"/>
  <c r="G32" i="102"/>
  <c r="B32" i="102"/>
  <c r="Y24" i="102"/>
  <c r="T24" i="102"/>
  <c r="O24" i="102"/>
  <c r="J24" i="102"/>
  <c r="E24" i="102"/>
  <c r="V23" i="102"/>
  <c r="Q23" i="102"/>
  <c r="L23" i="102"/>
  <c r="G23" i="102"/>
  <c r="B23" i="102"/>
  <c r="Q14" i="102"/>
  <c r="T15" i="102"/>
  <c r="S6" i="102"/>
  <c r="R6" i="102"/>
  <c r="Q6" i="102"/>
  <c r="G14" i="102"/>
  <c r="J15" i="102"/>
  <c r="I6" i="102"/>
  <c r="H6" i="102"/>
  <c r="G6" i="102"/>
  <c r="F41" i="104"/>
  <c r="F40" i="104"/>
  <c r="D41" i="104"/>
  <c r="D40" i="104"/>
  <c r="B41" i="104"/>
  <c r="B40" i="104"/>
  <c r="F68" i="104"/>
  <c r="F89" i="104"/>
  <c r="F110" i="104"/>
  <c r="F131" i="104"/>
  <c r="F152" i="104"/>
  <c r="F173" i="104"/>
  <c r="F194" i="104"/>
  <c r="F215" i="104"/>
  <c r="F236" i="104"/>
  <c r="F257" i="104"/>
  <c r="F278" i="104"/>
  <c r="F299" i="104"/>
  <c r="F320" i="104"/>
  <c r="F341" i="104"/>
  <c r="F362" i="104"/>
  <c r="F383" i="104"/>
  <c r="F404" i="104"/>
  <c r="F425" i="104"/>
  <c r="F446" i="104"/>
  <c r="F467" i="104"/>
  <c r="F47" i="104"/>
  <c r="F26" i="104"/>
  <c r="F5" i="104"/>
  <c r="F31" i="104"/>
  <c r="F30" i="104"/>
  <c r="D31" i="104"/>
  <c r="D30" i="104"/>
  <c r="B31" i="104"/>
  <c r="M482" i="104"/>
  <c r="L482" i="104"/>
  <c r="M481" i="104"/>
  <c r="L481" i="104"/>
  <c r="K481" i="104"/>
  <c r="M477" i="104"/>
  <c r="L477" i="104"/>
  <c r="K477" i="104"/>
  <c r="L472" i="104"/>
  <c r="M471" i="104"/>
  <c r="K471" i="104"/>
  <c r="L461" i="104"/>
  <c r="M460" i="104"/>
  <c r="L460" i="104"/>
  <c r="K460" i="104"/>
  <c r="L456" i="104"/>
  <c r="K456" i="104"/>
  <c r="M451" i="104"/>
  <c r="L451" i="104"/>
  <c r="M440" i="104"/>
  <c r="K440" i="104"/>
  <c r="M439" i="104"/>
  <c r="L439" i="104"/>
  <c r="K439" i="104"/>
  <c r="M435" i="104"/>
  <c r="L435" i="104"/>
  <c r="L434" i="104"/>
  <c r="K434" i="104"/>
  <c r="M430" i="104"/>
  <c r="M429" i="104"/>
  <c r="L429" i="104"/>
  <c r="K429" i="104"/>
  <c r="K419" i="104"/>
  <c r="M418" i="104"/>
  <c r="L418" i="104"/>
  <c r="K418" i="104"/>
  <c r="M414" i="104"/>
  <c r="L414" i="104"/>
  <c r="K414" i="104"/>
  <c r="M413" i="104"/>
  <c r="L413" i="104"/>
  <c r="M409" i="104"/>
  <c r="L408" i="104"/>
  <c r="K408" i="104"/>
  <c r="L398" i="104"/>
  <c r="M397" i="104"/>
  <c r="L397" i="104"/>
  <c r="K397" i="104"/>
  <c r="M393" i="104"/>
  <c r="M392" i="104"/>
  <c r="L392" i="104"/>
  <c r="K387" i="104"/>
  <c r="L377" i="104"/>
  <c r="M376" i="104"/>
  <c r="L376" i="104"/>
  <c r="K376" i="104"/>
  <c r="K372" i="104"/>
  <c r="K371" i="104"/>
  <c r="M366" i="104"/>
  <c r="L356" i="104"/>
  <c r="M355" i="104"/>
  <c r="K355" i="104"/>
  <c r="L351" i="104"/>
  <c r="K350" i="104"/>
  <c r="L346" i="104"/>
  <c r="K345" i="104"/>
  <c r="K335" i="104"/>
  <c r="M334" i="104"/>
  <c r="L334" i="104"/>
  <c r="K334" i="104"/>
  <c r="M330" i="104"/>
  <c r="L330" i="104"/>
  <c r="K330" i="104"/>
  <c r="M314" i="104"/>
  <c r="M313" i="104"/>
  <c r="K313" i="104"/>
  <c r="L309" i="104"/>
  <c r="K309" i="104"/>
  <c r="M308" i="104"/>
  <c r="K308" i="104"/>
  <c r="L304" i="104"/>
  <c r="K304" i="104"/>
  <c r="M293" i="104"/>
  <c r="L293" i="104"/>
  <c r="M292" i="104"/>
  <c r="L288" i="104"/>
  <c r="K287" i="104"/>
  <c r="L283" i="104"/>
  <c r="M271" i="104"/>
  <c r="K271" i="104"/>
  <c r="M267" i="104"/>
  <c r="K267" i="104"/>
  <c r="M266" i="104"/>
  <c r="L262" i="104"/>
  <c r="M250" i="104"/>
  <c r="L250" i="104"/>
  <c r="K250" i="104"/>
  <c r="L245" i="104"/>
  <c r="K245" i="104"/>
  <c r="K241" i="104"/>
  <c r="L240" i="104"/>
  <c r="K240" i="104"/>
  <c r="M230" i="104"/>
  <c r="M229" i="104"/>
  <c r="L229" i="104"/>
  <c r="K229" i="104"/>
  <c r="K225" i="104"/>
  <c r="M220" i="104"/>
  <c r="K209" i="104"/>
  <c r="M208" i="104"/>
  <c r="L208" i="104"/>
  <c r="K208" i="104"/>
  <c r="L204" i="104"/>
  <c r="K204" i="104"/>
  <c r="M199" i="104"/>
  <c r="K199" i="104"/>
  <c r="M187" i="104"/>
  <c r="L187" i="104"/>
  <c r="K187" i="104"/>
  <c r="L183" i="104"/>
  <c r="K183" i="104"/>
  <c r="K177" i="104"/>
  <c r="M166" i="104"/>
  <c r="L166" i="104"/>
  <c r="K166" i="104"/>
  <c r="K162" i="104"/>
  <c r="L161" i="104"/>
  <c r="M156" i="104"/>
  <c r="L156" i="104"/>
  <c r="K156" i="104"/>
  <c r="K146" i="104"/>
  <c r="M145" i="104"/>
  <c r="L145" i="104"/>
  <c r="K145" i="104"/>
  <c r="L140" i="104"/>
  <c r="M136" i="104"/>
  <c r="K135" i="104"/>
  <c r="M124" i="104"/>
  <c r="L124" i="104"/>
  <c r="K124" i="104"/>
  <c r="K120" i="104"/>
  <c r="L119" i="104"/>
  <c r="M115" i="104"/>
  <c r="A480" i="104"/>
  <c r="A475" i="104"/>
  <c r="A470" i="104"/>
  <c r="A459" i="104"/>
  <c r="A454" i="104"/>
  <c r="A449" i="104"/>
  <c r="A438" i="104"/>
  <c r="A433" i="104"/>
  <c r="A428" i="104"/>
  <c r="A417" i="104"/>
  <c r="A412" i="104"/>
  <c r="A407" i="104"/>
  <c r="A396" i="104"/>
  <c r="A391" i="104"/>
  <c r="A386" i="104"/>
  <c r="A375" i="104"/>
  <c r="A370" i="104"/>
  <c r="A365" i="104"/>
  <c r="A354" i="104"/>
  <c r="A349" i="104"/>
  <c r="A344" i="104"/>
  <c r="A333" i="104"/>
  <c r="A328" i="104"/>
  <c r="A323" i="104"/>
  <c r="A312" i="104"/>
  <c r="A307" i="104"/>
  <c r="A302" i="104"/>
  <c r="A291" i="104"/>
  <c r="A286" i="104"/>
  <c r="A281" i="104"/>
  <c r="A270" i="104"/>
  <c r="A265" i="104"/>
  <c r="A260" i="104"/>
  <c r="A249" i="104"/>
  <c r="A244" i="104"/>
  <c r="A239" i="104"/>
  <c r="A228" i="104"/>
  <c r="A223" i="104"/>
  <c r="A218" i="104"/>
  <c r="A207" i="104"/>
  <c r="A202" i="104"/>
  <c r="A197" i="104"/>
  <c r="A186" i="104"/>
  <c r="A181" i="104"/>
  <c r="A176" i="104"/>
  <c r="A165" i="104"/>
  <c r="A160" i="104"/>
  <c r="A155" i="104"/>
  <c r="A144" i="104"/>
  <c r="A139" i="104"/>
  <c r="A134" i="104"/>
  <c r="A123" i="104"/>
  <c r="A118" i="104"/>
  <c r="A113" i="104"/>
  <c r="A102" i="104"/>
  <c r="A97" i="104"/>
  <c r="A92" i="104"/>
  <c r="A81" i="104"/>
  <c r="A76" i="104"/>
  <c r="A71" i="104"/>
  <c r="A60" i="104"/>
  <c r="A55" i="104"/>
  <c r="A50" i="104"/>
  <c r="A39" i="104"/>
  <c r="A34" i="104"/>
  <c r="A29" i="104"/>
  <c r="K18" i="104"/>
  <c r="K13" i="104"/>
  <c r="K8" i="104"/>
  <c r="B9" i="104" l="1"/>
  <c r="K99" i="104"/>
  <c r="K118" i="104"/>
  <c r="K370" i="104"/>
  <c r="K160" i="104"/>
  <c r="K328" i="104"/>
  <c r="K134" i="104"/>
  <c r="K218" i="104"/>
  <c r="K386" i="104"/>
  <c r="K470" i="104"/>
  <c r="M315" i="104"/>
  <c r="K139" i="104"/>
  <c r="M73" i="104"/>
  <c r="M31" i="104"/>
  <c r="K29" i="104"/>
  <c r="K113" i="104"/>
  <c r="K197" i="104"/>
  <c r="K365" i="104"/>
  <c r="K449" i="104"/>
  <c r="K34" i="104"/>
  <c r="K202" i="104"/>
  <c r="M36" i="104"/>
  <c r="K81" i="104"/>
  <c r="K155" i="104"/>
  <c r="K323" i="104"/>
  <c r="K60" i="104"/>
  <c r="K55" i="104"/>
  <c r="K223" i="104"/>
  <c r="K391" i="104"/>
  <c r="K186" i="104"/>
  <c r="K354" i="104"/>
  <c r="K417" i="104"/>
  <c r="K181" i="104"/>
  <c r="K349" i="104"/>
  <c r="F63" i="104"/>
  <c r="M82" i="104"/>
  <c r="K291" i="104"/>
  <c r="K286" i="104"/>
  <c r="K454" i="104"/>
  <c r="K102" i="104"/>
  <c r="K270" i="104"/>
  <c r="K438" i="104"/>
  <c r="K97" i="104"/>
  <c r="K265" i="104"/>
  <c r="K433" i="104"/>
  <c r="K76" i="104"/>
  <c r="K244" i="104"/>
  <c r="K312" i="104"/>
  <c r="K412" i="104"/>
  <c r="K480" i="104"/>
  <c r="K307" i="104"/>
  <c r="K475" i="104"/>
  <c r="K39" i="104"/>
  <c r="K375" i="104"/>
  <c r="K207" i="104"/>
  <c r="K123" i="104"/>
  <c r="K144" i="104"/>
  <c r="K344" i="104"/>
  <c r="K176" i="104"/>
  <c r="K239" i="104"/>
  <c r="K407" i="104"/>
  <c r="K302" i="104"/>
  <c r="K92" i="104"/>
  <c r="K260" i="104"/>
  <c r="K428" i="104"/>
  <c r="K50" i="104"/>
  <c r="K228" i="104"/>
  <c r="K396" i="104"/>
  <c r="K333" i="104"/>
  <c r="K71" i="104"/>
  <c r="K165" i="104"/>
  <c r="K249" i="104"/>
  <c r="K459" i="104"/>
  <c r="K281" i="104"/>
  <c r="B14" i="104"/>
  <c r="F42" i="104"/>
  <c r="F20" i="104"/>
  <c r="H35" i="104"/>
  <c r="K103" i="104"/>
  <c r="M98" i="104"/>
  <c r="H483" i="104"/>
  <c r="C482" i="104" s="1"/>
  <c r="L103" i="104"/>
  <c r="H98" i="104"/>
  <c r="H82" i="104"/>
  <c r="K51" i="104"/>
  <c r="D37" i="104"/>
  <c r="H30" i="104"/>
  <c r="K77" i="104"/>
  <c r="H126" i="104"/>
  <c r="E125" i="104" s="1"/>
  <c r="H273" i="104"/>
  <c r="G271" i="104" s="1"/>
  <c r="B84" i="104"/>
  <c r="K72" i="104"/>
  <c r="L62" i="104"/>
  <c r="H41" i="104"/>
  <c r="B63" i="104"/>
  <c r="D63" i="104"/>
  <c r="K57" i="104"/>
  <c r="D100" i="104"/>
  <c r="H221" i="104"/>
  <c r="G220" i="104" s="1"/>
  <c r="F53" i="104"/>
  <c r="F84" i="104"/>
  <c r="B79" i="104"/>
  <c r="D84" i="104"/>
  <c r="H62" i="104"/>
  <c r="L78" i="104"/>
  <c r="M57" i="104"/>
  <c r="H452" i="104"/>
  <c r="E450" i="104" s="1"/>
  <c r="H83" i="104"/>
  <c r="D105" i="104"/>
  <c r="K56" i="104"/>
  <c r="M78" i="104"/>
  <c r="F37" i="104"/>
  <c r="H51" i="104"/>
  <c r="H56" i="104"/>
  <c r="H179" i="104"/>
  <c r="C178" i="104" s="1"/>
  <c r="H205" i="104"/>
  <c r="C204" i="104" s="1"/>
  <c r="H263" i="104"/>
  <c r="C261" i="104" s="1"/>
  <c r="H289" i="104"/>
  <c r="G287" i="104" s="1"/>
  <c r="H57" i="104"/>
  <c r="L82" i="104"/>
  <c r="H72" i="104"/>
  <c r="M72" i="104"/>
  <c r="H77" i="104"/>
  <c r="H93" i="104"/>
  <c r="M103" i="104"/>
  <c r="K31" i="104"/>
  <c r="K61" i="104"/>
  <c r="H104" i="104"/>
  <c r="H103" i="104"/>
  <c r="B105" i="104"/>
  <c r="K30" i="104"/>
  <c r="M93" i="104"/>
  <c r="D9" i="104"/>
  <c r="K35" i="104"/>
  <c r="H40" i="104"/>
  <c r="L83" i="104"/>
  <c r="M62" i="104"/>
  <c r="N439" i="104"/>
  <c r="H121" i="104"/>
  <c r="I119" i="104" s="1"/>
  <c r="H462" i="104"/>
  <c r="G460" i="104" s="1"/>
  <c r="H36" i="104"/>
  <c r="M99" i="104"/>
  <c r="M52" i="104"/>
  <c r="H389" i="104"/>
  <c r="I388" i="104" s="1"/>
  <c r="H415" i="104"/>
  <c r="C414" i="104" s="1"/>
  <c r="H61" i="104"/>
  <c r="F105" i="104"/>
  <c r="H394" i="104"/>
  <c r="C392" i="104" s="1"/>
  <c r="H478" i="104"/>
  <c r="C477" i="104" s="1"/>
  <c r="K98" i="104"/>
  <c r="H331" i="104"/>
  <c r="C329" i="104" s="1"/>
  <c r="H99" i="104"/>
  <c r="K93" i="104"/>
  <c r="K78" i="104"/>
  <c r="H78" i="104"/>
  <c r="N481" i="104"/>
  <c r="H431" i="104"/>
  <c r="G431" i="104" s="1"/>
  <c r="H441" i="104"/>
  <c r="I441" i="104" s="1"/>
  <c r="N414" i="104"/>
  <c r="H420" i="104"/>
  <c r="E418" i="104" s="1"/>
  <c r="H410" i="104"/>
  <c r="E408" i="104" s="1"/>
  <c r="H399" i="104"/>
  <c r="I398" i="104" s="1"/>
  <c r="N376" i="104"/>
  <c r="H378" i="104"/>
  <c r="E377" i="104" s="1"/>
  <c r="H357" i="104"/>
  <c r="I356" i="104" s="1"/>
  <c r="N330" i="104"/>
  <c r="H336" i="104"/>
  <c r="G334" i="104" s="1"/>
  <c r="H315" i="104"/>
  <c r="I313" i="104" s="1"/>
  <c r="H305" i="104"/>
  <c r="I303" i="104" s="1"/>
  <c r="L294" i="104"/>
  <c r="H294" i="104"/>
  <c r="I293" i="104" s="1"/>
  <c r="H284" i="104"/>
  <c r="E283" i="104" s="1"/>
  <c r="H268" i="104"/>
  <c r="C267" i="104" s="1"/>
  <c r="N250" i="104"/>
  <c r="H252" i="104"/>
  <c r="C251" i="104" s="1"/>
  <c r="H231" i="104"/>
  <c r="E230" i="104" s="1"/>
  <c r="H210" i="104"/>
  <c r="I210" i="104" s="1"/>
  <c r="H189" i="104"/>
  <c r="C187" i="104" s="1"/>
  <c r="N166" i="104"/>
  <c r="H168" i="104"/>
  <c r="I167" i="104" s="1"/>
  <c r="H158" i="104"/>
  <c r="G156" i="104" s="1"/>
  <c r="N145" i="104"/>
  <c r="H142" i="104"/>
  <c r="C140" i="104" s="1"/>
  <c r="H147" i="104"/>
  <c r="I147" i="104" s="1"/>
  <c r="H137" i="104"/>
  <c r="G137" i="104" s="1"/>
  <c r="N124" i="104"/>
  <c r="H94" i="104"/>
  <c r="L104" i="104"/>
  <c r="H73" i="104"/>
  <c r="B53" i="104"/>
  <c r="H52" i="104"/>
  <c r="H473" i="104"/>
  <c r="E472" i="104" s="1"/>
  <c r="H457" i="104"/>
  <c r="I457" i="104" s="1"/>
  <c r="H436" i="104"/>
  <c r="E436" i="104" s="1"/>
  <c r="H368" i="104"/>
  <c r="C367" i="104" s="1"/>
  <c r="H373" i="104"/>
  <c r="I371" i="104" s="1"/>
  <c r="H347" i="104"/>
  <c r="G346" i="104" s="1"/>
  <c r="H352" i="104"/>
  <c r="I351" i="104" s="1"/>
  <c r="H326" i="104"/>
  <c r="G325" i="104" s="1"/>
  <c r="H310" i="104"/>
  <c r="G308" i="104" s="1"/>
  <c r="H247" i="104"/>
  <c r="G245" i="104" s="1"/>
  <c r="H242" i="104"/>
  <c r="H226" i="104"/>
  <c r="H200" i="104"/>
  <c r="G200" i="104" s="1"/>
  <c r="H184" i="104"/>
  <c r="E182" i="104" s="1"/>
  <c r="H163" i="104"/>
  <c r="I162" i="104" s="1"/>
  <c r="H116" i="104"/>
  <c r="C115" i="104" s="1"/>
  <c r="M483" i="104"/>
  <c r="M472" i="104"/>
  <c r="N472" i="104" s="1"/>
  <c r="F478" i="104"/>
  <c r="M476" i="104"/>
  <c r="F452" i="104"/>
  <c r="F457" i="104"/>
  <c r="M455" i="104"/>
  <c r="M441" i="104"/>
  <c r="F436" i="104"/>
  <c r="M436" i="104" s="1"/>
  <c r="N429" i="104"/>
  <c r="M415" i="104"/>
  <c r="F410" i="104"/>
  <c r="N418" i="104"/>
  <c r="N408" i="104"/>
  <c r="M419" i="104"/>
  <c r="F389" i="104"/>
  <c r="F394" i="104"/>
  <c r="M387" i="104"/>
  <c r="M388" i="104"/>
  <c r="N397" i="104"/>
  <c r="M373" i="104"/>
  <c r="F368" i="104"/>
  <c r="M371" i="104"/>
  <c r="N371" i="104" s="1"/>
  <c r="M377" i="104"/>
  <c r="M372" i="104"/>
  <c r="N372" i="104" s="1"/>
  <c r="F347" i="104"/>
  <c r="M350" i="104"/>
  <c r="F352" i="104"/>
  <c r="M352" i="104" s="1"/>
  <c r="M356" i="104"/>
  <c r="M345" i="104"/>
  <c r="N345" i="104" s="1"/>
  <c r="M351" i="104"/>
  <c r="N351" i="104" s="1"/>
  <c r="F326" i="104"/>
  <c r="M324" i="104"/>
  <c r="M325" i="104"/>
  <c r="N325" i="104" s="1"/>
  <c r="F331" i="104"/>
  <c r="M335" i="104"/>
  <c r="F310" i="104"/>
  <c r="M310" i="104" s="1"/>
  <c r="M309" i="104"/>
  <c r="N309" i="104" s="1"/>
  <c r="M303" i="104"/>
  <c r="N303" i="104" s="1"/>
  <c r="M294" i="104"/>
  <c r="F289" i="104"/>
  <c r="M282" i="104"/>
  <c r="M288" i="104"/>
  <c r="F263" i="104"/>
  <c r="M262" i="104"/>
  <c r="N262" i="104" s="1"/>
  <c r="F268" i="104"/>
  <c r="N240" i="104"/>
  <c r="M245" i="104"/>
  <c r="N245" i="104" s="1"/>
  <c r="F247" i="104"/>
  <c r="M246" i="104"/>
  <c r="F242" i="104"/>
  <c r="M252" i="104" s="1"/>
  <c r="M231" i="104"/>
  <c r="F226" i="104"/>
  <c r="M219" i="104"/>
  <c r="M210" i="104"/>
  <c r="F205" i="104"/>
  <c r="M209" i="104"/>
  <c r="M203" i="104"/>
  <c r="M198" i="104"/>
  <c r="M204" i="104"/>
  <c r="N204" i="104" s="1"/>
  <c r="M183" i="104"/>
  <c r="N183" i="104" s="1"/>
  <c r="F184" i="104"/>
  <c r="M177" i="104"/>
  <c r="N177" i="104" s="1"/>
  <c r="F179" i="104"/>
  <c r="F163" i="104"/>
  <c r="F158" i="104"/>
  <c r="M167" i="104"/>
  <c r="M157" i="104"/>
  <c r="M147" i="104"/>
  <c r="M135" i="104"/>
  <c r="F142" i="104"/>
  <c r="M142" i="104" s="1"/>
  <c r="M140" i="104"/>
  <c r="F116" i="104"/>
  <c r="F121" i="104"/>
  <c r="M119" i="104"/>
  <c r="F95" i="104"/>
  <c r="F100" i="104"/>
  <c r="M104" i="104"/>
  <c r="M94" i="104"/>
  <c r="F74" i="104"/>
  <c r="F14" i="104"/>
  <c r="F79" i="104"/>
  <c r="M77" i="104"/>
  <c r="M83" i="104"/>
  <c r="F58" i="104"/>
  <c r="F15" i="104"/>
  <c r="M51" i="104"/>
  <c r="M56" i="104"/>
  <c r="L483" i="104"/>
  <c r="D478" i="104"/>
  <c r="N471" i="104"/>
  <c r="L476" i="104"/>
  <c r="N477" i="104"/>
  <c r="L462" i="104"/>
  <c r="D457" i="104"/>
  <c r="L455" i="104"/>
  <c r="N460" i="104"/>
  <c r="N456" i="104"/>
  <c r="L436" i="104"/>
  <c r="D431" i="104"/>
  <c r="L430" i="104"/>
  <c r="N435" i="104"/>
  <c r="L420" i="104"/>
  <c r="L409" i="104"/>
  <c r="L419" i="104"/>
  <c r="D415" i="104"/>
  <c r="L393" i="104"/>
  <c r="N393" i="104" s="1"/>
  <c r="D394" i="104"/>
  <c r="L388" i="104"/>
  <c r="D399" i="104"/>
  <c r="L387" i="104"/>
  <c r="L378" i="104"/>
  <c r="L366" i="104"/>
  <c r="N366" i="104" s="1"/>
  <c r="D373" i="104"/>
  <c r="L367" i="104"/>
  <c r="L357" i="104"/>
  <c r="D352" i="104"/>
  <c r="L350" i="104"/>
  <c r="L355" i="104"/>
  <c r="N355" i="104" s="1"/>
  <c r="D326" i="104"/>
  <c r="L335" i="104"/>
  <c r="D331" i="104"/>
  <c r="L329" i="104"/>
  <c r="D305" i="104"/>
  <c r="D310" i="104"/>
  <c r="L308" i="104"/>
  <c r="N308" i="104" s="1"/>
  <c r="D19" i="104"/>
  <c r="N304" i="104"/>
  <c r="L313" i="104"/>
  <c r="N313" i="104" s="1"/>
  <c r="D289" i="104"/>
  <c r="L282" i="104"/>
  <c r="N293" i="104"/>
  <c r="L263" i="104"/>
  <c r="L266" i="104"/>
  <c r="N266" i="104" s="1"/>
  <c r="D273" i="104"/>
  <c r="L261" i="104"/>
  <c r="L271" i="104"/>
  <c r="N271" i="104" s="1"/>
  <c r="L267" i="104"/>
  <c r="N267" i="104" s="1"/>
  <c r="L272" i="104"/>
  <c r="N272" i="104" s="1"/>
  <c r="D242" i="104"/>
  <c r="L246" i="104"/>
  <c r="L251" i="104"/>
  <c r="N251" i="104" s="1"/>
  <c r="D247" i="104"/>
  <c r="L247" i="104" s="1"/>
  <c r="D221" i="104"/>
  <c r="D226" i="104"/>
  <c r="N225" i="104"/>
  <c r="L219" i="104"/>
  <c r="L220" i="104"/>
  <c r="N220" i="104" s="1"/>
  <c r="D200" i="104"/>
  <c r="L209" i="104"/>
  <c r="D205" i="104"/>
  <c r="L198" i="104"/>
  <c r="N208" i="104"/>
  <c r="D184" i="104"/>
  <c r="L184" i="104" s="1"/>
  <c r="L178" i="104"/>
  <c r="N187" i="104"/>
  <c r="L188" i="104"/>
  <c r="L182" i="104"/>
  <c r="D179" i="104"/>
  <c r="L158" i="104"/>
  <c r="L168" i="104"/>
  <c r="L163" i="104"/>
  <c r="L157" i="104"/>
  <c r="L167" i="104"/>
  <c r="N162" i="104"/>
  <c r="L147" i="104"/>
  <c r="L141" i="104"/>
  <c r="N146" i="104"/>
  <c r="D142" i="104"/>
  <c r="L135" i="104"/>
  <c r="D116" i="104"/>
  <c r="L126" i="104" s="1"/>
  <c r="D121" i="104"/>
  <c r="L115" i="104"/>
  <c r="N115" i="104" s="1"/>
  <c r="L120" i="104"/>
  <c r="N120" i="104" s="1"/>
  <c r="L125" i="104"/>
  <c r="L93" i="104"/>
  <c r="L98" i="104"/>
  <c r="D14" i="104"/>
  <c r="D95" i="104"/>
  <c r="D15" i="104"/>
  <c r="L94" i="104"/>
  <c r="L99" i="104"/>
  <c r="D20" i="104"/>
  <c r="D79" i="104"/>
  <c r="L72" i="104"/>
  <c r="L77" i="104"/>
  <c r="D74" i="104"/>
  <c r="L73" i="104"/>
  <c r="D58" i="104"/>
  <c r="L56" i="104"/>
  <c r="D10" i="104"/>
  <c r="L51" i="104"/>
  <c r="L52" i="104"/>
  <c r="L57" i="104"/>
  <c r="K482" i="104"/>
  <c r="N482" i="104" s="1"/>
  <c r="B478" i="104"/>
  <c r="B473" i="104"/>
  <c r="K476" i="104"/>
  <c r="B452" i="104"/>
  <c r="K450" i="104"/>
  <c r="N450" i="104" s="1"/>
  <c r="B457" i="104"/>
  <c r="K457" i="104" s="1"/>
  <c r="N451" i="104"/>
  <c r="K461" i="104"/>
  <c r="N461" i="104" s="1"/>
  <c r="K436" i="104"/>
  <c r="N440" i="104"/>
  <c r="B431" i="104"/>
  <c r="K430" i="104"/>
  <c r="N434" i="104"/>
  <c r="K420" i="104"/>
  <c r="K409" i="104"/>
  <c r="K413" i="104"/>
  <c r="N413" i="104" s="1"/>
  <c r="B415" i="104"/>
  <c r="K398" i="104"/>
  <c r="N398" i="104" s="1"/>
  <c r="B389" i="104"/>
  <c r="B394" i="104"/>
  <c r="K388" i="104"/>
  <c r="N392" i="104"/>
  <c r="B368" i="104"/>
  <c r="B373" i="104"/>
  <c r="K377" i="104"/>
  <c r="K367" i="104"/>
  <c r="K357" i="104"/>
  <c r="K356" i="104"/>
  <c r="B352" i="104"/>
  <c r="K352" i="104" s="1"/>
  <c r="K346" i="104"/>
  <c r="N346" i="104" s="1"/>
  <c r="K336" i="104"/>
  <c r="N334" i="104"/>
  <c r="K324" i="104"/>
  <c r="B331" i="104"/>
  <c r="K329" i="104"/>
  <c r="B310" i="104"/>
  <c r="B305" i="104"/>
  <c r="K314" i="104"/>
  <c r="N314" i="104" s="1"/>
  <c r="N287" i="104"/>
  <c r="K292" i="104"/>
  <c r="N292" i="104" s="1"/>
  <c r="K288" i="104"/>
  <c r="B289" i="104"/>
  <c r="B284" i="104"/>
  <c r="K283" i="104"/>
  <c r="N283" i="104" s="1"/>
  <c r="K273" i="104"/>
  <c r="K261" i="104"/>
  <c r="B268" i="104"/>
  <c r="K252" i="104"/>
  <c r="B247" i="104"/>
  <c r="N241" i="104"/>
  <c r="K231" i="104"/>
  <c r="K230" i="104"/>
  <c r="N230" i="104" s="1"/>
  <c r="K219" i="104"/>
  <c r="B226" i="104"/>
  <c r="N229" i="104"/>
  <c r="N224" i="104"/>
  <c r="K210" i="104"/>
  <c r="K203" i="104"/>
  <c r="N199" i="104"/>
  <c r="B205" i="104"/>
  <c r="K184" i="104"/>
  <c r="B179" i="104"/>
  <c r="K182" i="104"/>
  <c r="K178" i="104"/>
  <c r="K188" i="104"/>
  <c r="K167" i="104"/>
  <c r="B163" i="104"/>
  <c r="N156" i="104"/>
  <c r="B158" i="104"/>
  <c r="N161" i="104"/>
  <c r="K137" i="104"/>
  <c r="K147" i="104"/>
  <c r="K142" i="104"/>
  <c r="K140" i="104"/>
  <c r="N136" i="104"/>
  <c r="K141" i="104"/>
  <c r="K126" i="104"/>
  <c r="K125" i="104"/>
  <c r="K114" i="104"/>
  <c r="N114" i="104" s="1"/>
  <c r="B121" i="104"/>
  <c r="K121" i="104" s="1"/>
  <c r="K119" i="104"/>
  <c r="B95" i="104"/>
  <c r="B15" i="104"/>
  <c r="B100" i="104"/>
  <c r="K104" i="104"/>
  <c r="K94" i="104"/>
  <c r="K73" i="104"/>
  <c r="K82" i="104"/>
  <c r="B74" i="104"/>
  <c r="K83" i="104"/>
  <c r="K52" i="104"/>
  <c r="B58" i="104"/>
  <c r="K62" i="104"/>
  <c r="B10" i="104"/>
  <c r="M61" i="104"/>
  <c r="F9" i="104"/>
  <c r="B37" i="104"/>
  <c r="L40" i="104"/>
  <c r="B32" i="104"/>
  <c r="K41" i="104"/>
  <c r="M41" i="104"/>
  <c r="L31" i="104"/>
  <c r="D32" i="104"/>
  <c r="M40" i="104"/>
  <c r="L41" i="104"/>
  <c r="M35" i="104"/>
  <c r="K36" i="104"/>
  <c r="L36" i="104"/>
  <c r="F19" i="104"/>
  <c r="D42" i="104"/>
  <c r="B20" i="104"/>
  <c r="L35" i="104"/>
  <c r="H31" i="104"/>
  <c r="F32" i="104"/>
  <c r="B42" i="104"/>
  <c r="M30" i="104"/>
  <c r="F10" i="104"/>
  <c r="B19" i="104"/>
  <c r="K40" i="104"/>
  <c r="L30" i="104"/>
  <c r="E119" i="104" l="1"/>
  <c r="I220" i="104"/>
  <c r="C263" i="104"/>
  <c r="H79" i="104"/>
  <c r="G77" i="104" s="1"/>
  <c r="E483" i="104"/>
  <c r="M20" i="104"/>
  <c r="H84" i="104"/>
  <c r="E84" i="104" s="1"/>
  <c r="G450" i="104"/>
  <c r="C451" i="104"/>
  <c r="G261" i="104"/>
  <c r="G481" i="104"/>
  <c r="H105" i="104"/>
  <c r="I105" i="104" s="1"/>
  <c r="I219" i="104"/>
  <c r="E120" i="104"/>
  <c r="I287" i="104"/>
  <c r="H37" i="104"/>
  <c r="G37" i="104" s="1"/>
  <c r="M15" i="104"/>
  <c r="I262" i="104"/>
  <c r="G262" i="104"/>
  <c r="C221" i="104"/>
  <c r="E204" i="104"/>
  <c r="L100" i="104"/>
  <c r="H100" i="104"/>
  <c r="I98" i="104" s="1"/>
  <c r="N98" i="104"/>
  <c r="F21" i="104"/>
  <c r="E481" i="104"/>
  <c r="I205" i="104"/>
  <c r="G272" i="104"/>
  <c r="G273" i="104"/>
  <c r="E482" i="104"/>
  <c r="G208" i="104"/>
  <c r="G482" i="104"/>
  <c r="C273" i="104"/>
  <c r="C271" i="104"/>
  <c r="C210" i="104"/>
  <c r="I483" i="104"/>
  <c r="N62" i="104"/>
  <c r="G210" i="104"/>
  <c r="G483" i="104"/>
  <c r="E210" i="104"/>
  <c r="I203" i="104"/>
  <c r="C292" i="104"/>
  <c r="I431" i="104"/>
  <c r="C481" i="104"/>
  <c r="I209" i="104"/>
  <c r="E203" i="104"/>
  <c r="I272" i="104"/>
  <c r="I208" i="104"/>
  <c r="E271" i="104"/>
  <c r="I482" i="104"/>
  <c r="H74" i="104"/>
  <c r="G72" i="104" s="1"/>
  <c r="I271" i="104"/>
  <c r="C208" i="104"/>
  <c r="C483" i="104"/>
  <c r="E208" i="104"/>
  <c r="E272" i="104"/>
  <c r="I481" i="104"/>
  <c r="G451" i="104"/>
  <c r="E476" i="104"/>
  <c r="G314" i="104"/>
  <c r="C313" i="104"/>
  <c r="I263" i="104"/>
  <c r="C203" i="104"/>
  <c r="G204" i="104"/>
  <c r="I204" i="104"/>
  <c r="E188" i="104"/>
  <c r="I187" i="104"/>
  <c r="C179" i="104"/>
  <c r="I179" i="104"/>
  <c r="E178" i="104"/>
  <c r="E126" i="104"/>
  <c r="I124" i="104"/>
  <c r="C126" i="104"/>
  <c r="I125" i="104"/>
  <c r="E124" i="104"/>
  <c r="I126" i="104"/>
  <c r="C124" i="104"/>
  <c r="C125" i="104"/>
  <c r="G125" i="104"/>
  <c r="G126" i="104"/>
  <c r="G124" i="104"/>
  <c r="N103" i="104"/>
  <c r="N78" i="104"/>
  <c r="N82" i="104"/>
  <c r="L37" i="104"/>
  <c r="M105" i="104"/>
  <c r="C220" i="104"/>
  <c r="E221" i="104"/>
  <c r="N119" i="104"/>
  <c r="G188" i="104"/>
  <c r="C188" i="104"/>
  <c r="G219" i="104"/>
  <c r="I273" i="104"/>
  <c r="I288" i="104"/>
  <c r="I452" i="104"/>
  <c r="E452" i="104"/>
  <c r="E220" i="104"/>
  <c r="C450" i="104"/>
  <c r="K79" i="104"/>
  <c r="E179" i="104"/>
  <c r="E231" i="104"/>
  <c r="I177" i="104"/>
  <c r="E187" i="104"/>
  <c r="I221" i="104"/>
  <c r="C272" i="104"/>
  <c r="C304" i="104"/>
  <c r="G221" i="104"/>
  <c r="G452" i="104"/>
  <c r="C177" i="104"/>
  <c r="I450" i="104"/>
  <c r="N83" i="104"/>
  <c r="C189" i="104"/>
  <c r="C452" i="104"/>
  <c r="G179" i="104"/>
  <c r="I178" i="104"/>
  <c r="C219" i="104"/>
  <c r="I267" i="104"/>
  <c r="I429" i="104"/>
  <c r="E451" i="104"/>
  <c r="K84" i="104"/>
  <c r="E136" i="104"/>
  <c r="G178" i="104"/>
  <c r="G146" i="104"/>
  <c r="G177" i="104"/>
  <c r="C288" i="104"/>
  <c r="G330" i="104"/>
  <c r="E177" i="104"/>
  <c r="H58" i="104"/>
  <c r="C57" i="104" s="1"/>
  <c r="E388" i="104"/>
  <c r="E389" i="104"/>
  <c r="C388" i="104"/>
  <c r="I387" i="104"/>
  <c r="C389" i="104"/>
  <c r="C387" i="104"/>
  <c r="G389" i="104"/>
  <c r="E334" i="104"/>
  <c r="G387" i="104"/>
  <c r="I414" i="104"/>
  <c r="H20" i="104"/>
  <c r="K32" i="104"/>
  <c r="N57" i="104"/>
  <c r="G413" i="104"/>
  <c r="I389" i="104"/>
  <c r="E414" i="104"/>
  <c r="H14" i="104"/>
  <c r="C413" i="104"/>
  <c r="G388" i="104"/>
  <c r="E387" i="104"/>
  <c r="E413" i="104"/>
  <c r="H53" i="104"/>
  <c r="C52" i="104" s="1"/>
  <c r="H19" i="104"/>
  <c r="G408" i="104"/>
  <c r="E83" i="104"/>
  <c r="C82" i="104"/>
  <c r="E330" i="104"/>
  <c r="E430" i="104"/>
  <c r="N61" i="104"/>
  <c r="C158" i="104"/>
  <c r="H95" i="104"/>
  <c r="E95" i="104" s="1"/>
  <c r="G392" i="104"/>
  <c r="C429" i="104"/>
  <c r="H10" i="104"/>
  <c r="E329" i="104"/>
  <c r="G187" i="104"/>
  <c r="G203" i="104"/>
  <c r="I231" i="104"/>
  <c r="I261" i="104"/>
  <c r="G288" i="104"/>
  <c r="I314" i="104"/>
  <c r="I330" i="104"/>
  <c r="E392" i="104"/>
  <c r="G397" i="104"/>
  <c r="G414" i="104"/>
  <c r="I430" i="104"/>
  <c r="H63" i="104"/>
  <c r="C61" i="104" s="1"/>
  <c r="E263" i="104"/>
  <c r="H42" i="104"/>
  <c r="I42" i="104" s="1"/>
  <c r="C441" i="104"/>
  <c r="G329" i="104"/>
  <c r="G473" i="104"/>
  <c r="C287" i="104"/>
  <c r="I289" i="104"/>
  <c r="N99" i="104"/>
  <c r="E287" i="104"/>
  <c r="I329" i="104"/>
  <c r="N35" i="104"/>
  <c r="C330" i="104"/>
  <c r="N356" i="104"/>
  <c r="E462" i="104"/>
  <c r="C120" i="104"/>
  <c r="E262" i="104"/>
  <c r="E288" i="104"/>
  <c r="I331" i="104"/>
  <c r="I394" i="104"/>
  <c r="E429" i="104"/>
  <c r="E460" i="104"/>
  <c r="E261" i="104"/>
  <c r="C431" i="104"/>
  <c r="L105" i="104"/>
  <c r="G231" i="104"/>
  <c r="G263" i="104"/>
  <c r="G399" i="104"/>
  <c r="I136" i="104"/>
  <c r="E219" i="104"/>
  <c r="C262" i="104"/>
  <c r="I392" i="104"/>
  <c r="G430" i="104"/>
  <c r="I451" i="104"/>
  <c r="C460" i="104"/>
  <c r="L19" i="104"/>
  <c r="I393" i="104"/>
  <c r="E477" i="104"/>
  <c r="N335" i="104"/>
  <c r="G456" i="104"/>
  <c r="C119" i="104"/>
  <c r="G393" i="104"/>
  <c r="C157" i="104"/>
  <c r="I376" i="104"/>
  <c r="I462" i="104"/>
  <c r="C184" i="104"/>
  <c r="C399" i="104"/>
  <c r="C462" i="104"/>
  <c r="E168" i="104"/>
  <c r="E189" i="104"/>
  <c r="E304" i="104"/>
  <c r="M63" i="104"/>
  <c r="G119" i="104"/>
  <c r="G189" i="104"/>
  <c r="I120" i="104"/>
  <c r="I156" i="104"/>
  <c r="I188" i="104"/>
  <c r="E251" i="104"/>
  <c r="C314" i="104"/>
  <c r="E393" i="104"/>
  <c r="E397" i="104"/>
  <c r="C397" i="104"/>
  <c r="G415" i="104"/>
  <c r="I415" i="104"/>
  <c r="C461" i="104"/>
  <c r="E461" i="104"/>
  <c r="I477" i="104"/>
  <c r="G166" i="104"/>
  <c r="H15" i="104"/>
  <c r="G476" i="104"/>
  <c r="N31" i="104"/>
  <c r="I141" i="104"/>
  <c r="I250" i="104"/>
  <c r="I461" i="104"/>
  <c r="G477" i="104"/>
  <c r="C167" i="104"/>
  <c r="N41" i="104"/>
  <c r="E305" i="104"/>
  <c r="G398" i="104"/>
  <c r="C476" i="104"/>
  <c r="I476" i="104"/>
  <c r="D21" i="104"/>
  <c r="N147" i="104"/>
  <c r="C168" i="104"/>
  <c r="C305" i="104"/>
  <c r="C393" i="104"/>
  <c r="N72" i="104"/>
  <c r="L315" i="104"/>
  <c r="I121" i="104"/>
  <c r="I158" i="104"/>
  <c r="I189" i="104"/>
  <c r="G230" i="104"/>
  <c r="G304" i="104"/>
  <c r="I399" i="104"/>
  <c r="I413" i="104"/>
  <c r="G461" i="104"/>
  <c r="I478" i="104"/>
  <c r="I140" i="104"/>
  <c r="G167" i="104"/>
  <c r="I460" i="104"/>
  <c r="G120" i="104"/>
  <c r="I397" i="104"/>
  <c r="I252" i="104"/>
  <c r="I168" i="104"/>
  <c r="C252" i="104"/>
  <c r="E315" i="104"/>
  <c r="G305" i="104"/>
  <c r="G462" i="104"/>
  <c r="C156" i="104"/>
  <c r="C230" i="104"/>
  <c r="C303" i="104"/>
  <c r="C398" i="104"/>
  <c r="G168" i="104"/>
  <c r="N455" i="104"/>
  <c r="N288" i="104"/>
  <c r="G266" i="104"/>
  <c r="E268" i="104"/>
  <c r="I266" i="104"/>
  <c r="I268" i="104"/>
  <c r="C266" i="104"/>
  <c r="E266" i="104"/>
  <c r="G267" i="104"/>
  <c r="N198" i="104"/>
  <c r="C142" i="104"/>
  <c r="I142" i="104"/>
  <c r="C141" i="104"/>
  <c r="N141" i="104"/>
  <c r="E140" i="104"/>
  <c r="E141" i="104"/>
  <c r="N93" i="104"/>
  <c r="C473" i="104"/>
  <c r="C472" i="104"/>
  <c r="C439" i="104"/>
  <c r="E431" i="104"/>
  <c r="C430" i="104"/>
  <c r="G429" i="104"/>
  <c r="G441" i="104"/>
  <c r="E441" i="104"/>
  <c r="C440" i="104"/>
  <c r="G440" i="104"/>
  <c r="G439" i="104"/>
  <c r="E440" i="104"/>
  <c r="E439" i="104"/>
  <c r="I439" i="104"/>
  <c r="I440" i="104"/>
  <c r="N436" i="104"/>
  <c r="N419" i="104"/>
  <c r="G420" i="104"/>
  <c r="N409" i="104"/>
  <c r="G409" i="104"/>
  <c r="C408" i="104"/>
  <c r="C409" i="104"/>
  <c r="C410" i="104"/>
  <c r="E410" i="104"/>
  <c r="E409" i="104"/>
  <c r="I408" i="104"/>
  <c r="C420" i="104"/>
  <c r="C418" i="104"/>
  <c r="E419" i="104"/>
  <c r="G418" i="104"/>
  <c r="I418" i="104"/>
  <c r="I419" i="104"/>
  <c r="C419" i="104"/>
  <c r="E420" i="104"/>
  <c r="I420" i="104"/>
  <c r="G419" i="104"/>
  <c r="I410" i="104"/>
  <c r="I409" i="104"/>
  <c r="E398" i="104"/>
  <c r="N367" i="104"/>
  <c r="E368" i="104"/>
  <c r="G377" i="104"/>
  <c r="I377" i="104"/>
  <c r="G378" i="104"/>
  <c r="I378" i="104"/>
  <c r="G376" i="104"/>
  <c r="C378" i="104"/>
  <c r="C376" i="104"/>
  <c r="E378" i="104"/>
  <c r="E376" i="104"/>
  <c r="C377" i="104"/>
  <c r="G373" i="104"/>
  <c r="I367" i="104"/>
  <c r="C368" i="104"/>
  <c r="G368" i="104"/>
  <c r="E355" i="104"/>
  <c r="E357" i="104"/>
  <c r="G356" i="104"/>
  <c r="I357" i="104"/>
  <c r="C355" i="104"/>
  <c r="G355" i="104"/>
  <c r="I355" i="104"/>
  <c r="C357" i="104"/>
  <c r="G357" i="104"/>
  <c r="C356" i="104"/>
  <c r="E356" i="104"/>
  <c r="G350" i="104"/>
  <c r="C351" i="104"/>
  <c r="I350" i="104"/>
  <c r="G347" i="104"/>
  <c r="E347" i="104"/>
  <c r="G336" i="104"/>
  <c r="N324" i="104"/>
  <c r="C335" i="104"/>
  <c r="I334" i="104"/>
  <c r="C336" i="104"/>
  <c r="E335" i="104"/>
  <c r="I336" i="104"/>
  <c r="G335" i="104"/>
  <c r="C334" i="104"/>
  <c r="E336" i="104"/>
  <c r="I335" i="104"/>
  <c r="N329" i="104"/>
  <c r="G313" i="104"/>
  <c r="I315" i="104"/>
  <c r="C315" i="104"/>
  <c r="E313" i="104"/>
  <c r="G315" i="104"/>
  <c r="E314" i="104"/>
  <c r="I305" i="104"/>
  <c r="G303" i="104"/>
  <c r="I308" i="104"/>
  <c r="E308" i="104"/>
  <c r="G309" i="104"/>
  <c r="E309" i="104"/>
  <c r="I304" i="104"/>
  <c r="E303" i="104"/>
  <c r="I284" i="104"/>
  <c r="C284" i="104"/>
  <c r="E294" i="104"/>
  <c r="G293" i="104"/>
  <c r="E292" i="104"/>
  <c r="I292" i="104"/>
  <c r="I294" i="104"/>
  <c r="E293" i="104"/>
  <c r="C293" i="104"/>
  <c r="C294" i="104"/>
  <c r="G292" i="104"/>
  <c r="G294" i="104"/>
  <c r="G284" i="104"/>
  <c r="E284" i="104"/>
  <c r="C282" i="104"/>
  <c r="I282" i="104"/>
  <c r="C283" i="104"/>
  <c r="G282" i="104"/>
  <c r="G283" i="104"/>
  <c r="E282" i="104"/>
  <c r="I283" i="104"/>
  <c r="M273" i="104"/>
  <c r="E267" i="104"/>
  <c r="N261" i="104"/>
  <c r="C250" i="104"/>
  <c r="G252" i="104"/>
  <c r="I251" i="104"/>
  <c r="N246" i="104"/>
  <c r="E245" i="104"/>
  <c r="E250" i="104"/>
  <c r="E252" i="104"/>
  <c r="G250" i="104"/>
  <c r="G251" i="104"/>
  <c r="C229" i="104"/>
  <c r="G229" i="104"/>
  <c r="I230" i="104"/>
  <c r="E229" i="104"/>
  <c r="I229" i="104"/>
  <c r="C231" i="104"/>
  <c r="L231" i="104"/>
  <c r="N231" i="104" s="1"/>
  <c r="E209" i="104"/>
  <c r="C209" i="104"/>
  <c r="G209" i="104"/>
  <c r="N182" i="104"/>
  <c r="G183" i="104"/>
  <c r="E166" i="104"/>
  <c r="E167" i="104"/>
  <c r="N157" i="104"/>
  <c r="I166" i="104"/>
  <c r="C166" i="104"/>
  <c r="E163" i="104"/>
  <c r="C161" i="104"/>
  <c r="G157" i="104"/>
  <c r="E156" i="104"/>
  <c r="E158" i="104"/>
  <c r="I157" i="104"/>
  <c r="E157" i="104"/>
  <c r="I161" i="104"/>
  <c r="K168" i="104"/>
  <c r="E145" i="104"/>
  <c r="C146" i="104"/>
  <c r="E146" i="104"/>
  <c r="C147" i="104"/>
  <c r="G147" i="104"/>
  <c r="N135" i="104"/>
  <c r="G140" i="104"/>
  <c r="G141" i="104"/>
  <c r="E135" i="104"/>
  <c r="E137" i="104"/>
  <c r="I145" i="104"/>
  <c r="C145" i="104"/>
  <c r="G145" i="104"/>
  <c r="I146" i="104"/>
  <c r="E147" i="104"/>
  <c r="G136" i="104"/>
  <c r="I137" i="104"/>
  <c r="C135" i="104"/>
  <c r="N140" i="104"/>
  <c r="C137" i="104"/>
  <c r="G135" i="104"/>
  <c r="C136" i="104"/>
  <c r="I135" i="104"/>
  <c r="N125" i="104"/>
  <c r="G115" i="104"/>
  <c r="E116" i="104"/>
  <c r="G116" i="104"/>
  <c r="C116" i="104"/>
  <c r="N94" i="104"/>
  <c r="N77" i="104"/>
  <c r="E73" i="104"/>
  <c r="G83" i="104"/>
  <c r="E82" i="104"/>
  <c r="N73" i="104"/>
  <c r="C83" i="104"/>
  <c r="I84" i="104"/>
  <c r="N56" i="104"/>
  <c r="N52" i="104"/>
  <c r="K74" i="104"/>
  <c r="I472" i="104"/>
  <c r="C471" i="104"/>
  <c r="G471" i="104"/>
  <c r="E471" i="104"/>
  <c r="I473" i="104"/>
  <c r="G472" i="104"/>
  <c r="E473" i="104"/>
  <c r="I471" i="104"/>
  <c r="I455" i="104"/>
  <c r="C455" i="104"/>
  <c r="E455" i="104"/>
  <c r="G455" i="104"/>
  <c r="C456" i="104"/>
  <c r="E456" i="104"/>
  <c r="I456" i="104"/>
  <c r="I436" i="104"/>
  <c r="E435" i="104"/>
  <c r="E434" i="104"/>
  <c r="C435" i="104"/>
  <c r="G435" i="104"/>
  <c r="C434" i="104"/>
  <c r="G434" i="104"/>
  <c r="C436" i="104"/>
  <c r="I435" i="104"/>
  <c r="I434" i="104"/>
  <c r="E372" i="104"/>
  <c r="E366" i="104"/>
  <c r="I368" i="104"/>
  <c r="C366" i="104"/>
  <c r="I366" i="104"/>
  <c r="G367" i="104"/>
  <c r="G366" i="104"/>
  <c r="E367" i="104"/>
  <c r="I372" i="104"/>
  <c r="E371" i="104"/>
  <c r="C371" i="104"/>
  <c r="C372" i="104"/>
  <c r="G372" i="104"/>
  <c r="G371" i="104"/>
  <c r="I373" i="104"/>
  <c r="E345" i="104"/>
  <c r="C345" i="104"/>
  <c r="G345" i="104"/>
  <c r="E346" i="104"/>
  <c r="C346" i="104"/>
  <c r="I347" i="104"/>
  <c r="I345" i="104"/>
  <c r="C347" i="104"/>
  <c r="E351" i="104"/>
  <c r="I352" i="104"/>
  <c r="G351" i="104"/>
  <c r="E350" i="104"/>
  <c r="C350" i="104"/>
  <c r="I346" i="104"/>
  <c r="G326" i="104"/>
  <c r="E325" i="104"/>
  <c r="I326" i="104"/>
  <c r="C324" i="104"/>
  <c r="G324" i="104"/>
  <c r="C325" i="104"/>
  <c r="I324" i="104"/>
  <c r="E324" i="104"/>
  <c r="C326" i="104"/>
  <c r="E326" i="104"/>
  <c r="I325" i="104"/>
  <c r="I310" i="104"/>
  <c r="I309" i="104"/>
  <c r="C308" i="104"/>
  <c r="C309" i="104"/>
  <c r="I242" i="104"/>
  <c r="C241" i="104"/>
  <c r="C240" i="104"/>
  <c r="I240" i="104"/>
  <c r="E240" i="104"/>
  <c r="G240" i="104"/>
  <c r="G241" i="104"/>
  <c r="I247" i="104"/>
  <c r="E246" i="104"/>
  <c r="C245" i="104"/>
  <c r="G242" i="104"/>
  <c r="I246" i="104"/>
  <c r="E241" i="104"/>
  <c r="E242" i="104"/>
  <c r="G246" i="104"/>
  <c r="I245" i="104"/>
  <c r="C246" i="104"/>
  <c r="C242" i="104"/>
  <c r="I241" i="104"/>
  <c r="E224" i="104"/>
  <c r="E225" i="104"/>
  <c r="G224" i="104"/>
  <c r="I226" i="104"/>
  <c r="G225" i="104"/>
  <c r="C224" i="104"/>
  <c r="I225" i="104"/>
  <c r="C225" i="104"/>
  <c r="I224" i="104"/>
  <c r="E198" i="104"/>
  <c r="I199" i="104"/>
  <c r="C199" i="104"/>
  <c r="G198" i="104"/>
  <c r="I200" i="104"/>
  <c r="C198" i="104"/>
  <c r="I198" i="104"/>
  <c r="G199" i="104"/>
  <c r="E199" i="104"/>
  <c r="C200" i="104"/>
  <c r="C182" i="104"/>
  <c r="C183" i="104"/>
  <c r="I184" i="104"/>
  <c r="G182" i="104"/>
  <c r="E183" i="104"/>
  <c r="I183" i="104"/>
  <c r="I182" i="104"/>
  <c r="I163" i="104"/>
  <c r="G162" i="104"/>
  <c r="E161" i="104"/>
  <c r="E162" i="104"/>
  <c r="G161" i="104"/>
  <c r="C162" i="104"/>
  <c r="G114" i="104"/>
  <c r="I114" i="104"/>
  <c r="C114" i="104"/>
  <c r="E114" i="104"/>
  <c r="I116" i="104"/>
  <c r="E115" i="104"/>
  <c r="I115" i="104"/>
  <c r="G82" i="104"/>
  <c r="G478" i="104"/>
  <c r="M473" i="104"/>
  <c r="M478" i="104"/>
  <c r="G457" i="104"/>
  <c r="M452" i="104"/>
  <c r="M462" i="104"/>
  <c r="M457" i="104"/>
  <c r="G436" i="104"/>
  <c r="M431" i="104"/>
  <c r="G410" i="104"/>
  <c r="M410" i="104"/>
  <c r="M420" i="104"/>
  <c r="N420" i="104" s="1"/>
  <c r="G394" i="104"/>
  <c r="M389" i="104"/>
  <c r="N388" i="104"/>
  <c r="N387" i="104"/>
  <c r="M399" i="104"/>
  <c r="M394" i="104"/>
  <c r="M378" i="104"/>
  <c r="M368" i="104"/>
  <c r="N377" i="104"/>
  <c r="M347" i="104"/>
  <c r="G352" i="104"/>
  <c r="M357" i="104"/>
  <c r="N357" i="104" s="1"/>
  <c r="N350" i="104"/>
  <c r="G331" i="104"/>
  <c r="M326" i="104"/>
  <c r="M336" i="104"/>
  <c r="M331" i="104"/>
  <c r="M305" i="104"/>
  <c r="G310" i="104"/>
  <c r="G289" i="104"/>
  <c r="M284" i="104"/>
  <c r="M289" i="104"/>
  <c r="N282" i="104"/>
  <c r="G268" i="104"/>
  <c r="M263" i="104"/>
  <c r="M268" i="104"/>
  <c r="G247" i="104"/>
  <c r="M242" i="104"/>
  <c r="M247" i="104"/>
  <c r="G226" i="104"/>
  <c r="M221" i="104"/>
  <c r="M226" i="104"/>
  <c r="M200" i="104"/>
  <c r="G205" i="104"/>
  <c r="N209" i="104"/>
  <c r="N203" i="104"/>
  <c r="M205" i="104"/>
  <c r="M179" i="104"/>
  <c r="G184" i="104"/>
  <c r="M189" i="104"/>
  <c r="M184" i="104"/>
  <c r="N184" i="104" s="1"/>
  <c r="M19" i="104"/>
  <c r="M168" i="104"/>
  <c r="G158" i="104"/>
  <c r="M158" i="104"/>
  <c r="G163" i="104"/>
  <c r="M163" i="104"/>
  <c r="G142" i="104"/>
  <c r="M137" i="104"/>
  <c r="M126" i="104"/>
  <c r="N126" i="104" s="1"/>
  <c r="M116" i="104"/>
  <c r="G121" i="104"/>
  <c r="M121" i="104"/>
  <c r="M95" i="104"/>
  <c r="N104" i="104"/>
  <c r="M100" i="104"/>
  <c r="M74" i="104"/>
  <c r="G79" i="104"/>
  <c r="F16" i="104"/>
  <c r="M79" i="104"/>
  <c r="M9" i="104"/>
  <c r="M84" i="104"/>
  <c r="M14" i="104"/>
  <c r="N51" i="104"/>
  <c r="M53" i="104"/>
  <c r="M58" i="104"/>
  <c r="N476" i="104"/>
  <c r="E478" i="104"/>
  <c r="L473" i="104"/>
  <c r="L478" i="104"/>
  <c r="E457" i="104"/>
  <c r="L452" i="104"/>
  <c r="L457" i="104"/>
  <c r="N430" i="104"/>
  <c r="L441" i="104"/>
  <c r="L431" i="104"/>
  <c r="E415" i="104"/>
  <c r="L410" i="104"/>
  <c r="L415" i="104"/>
  <c r="E399" i="104"/>
  <c r="L399" i="104"/>
  <c r="L394" i="104"/>
  <c r="E394" i="104"/>
  <c r="L389" i="104"/>
  <c r="L368" i="104"/>
  <c r="E373" i="104"/>
  <c r="L14" i="104"/>
  <c r="L373" i="104"/>
  <c r="L347" i="104"/>
  <c r="E352" i="104"/>
  <c r="L352" i="104"/>
  <c r="N352" i="104" s="1"/>
  <c r="E331" i="104"/>
  <c r="L326" i="104"/>
  <c r="L336" i="104"/>
  <c r="L331" i="104"/>
  <c r="E310" i="104"/>
  <c r="L305" i="104"/>
  <c r="L15" i="104"/>
  <c r="L310" i="104"/>
  <c r="L284" i="104"/>
  <c r="E289" i="104"/>
  <c r="L289" i="104"/>
  <c r="L273" i="104"/>
  <c r="L268" i="104"/>
  <c r="E273" i="104"/>
  <c r="E247" i="104"/>
  <c r="L242" i="104"/>
  <c r="L252" i="104"/>
  <c r="N252" i="104" s="1"/>
  <c r="L221" i="104"/>
  <c r="E226" i="104"/>
  <c r="N219" i="104"/>
  <c r="L226" i="104"/>
  <c r="E205" i="104"/>
  <c r="L200" i="104"/>
  <c r="L205" i="104"/>
  <c r="E200" i="104"/>
  <c r="L210" i="104"/>
  <c r="N210" i="104" s="1"/>
  <c r="N178" i="104"/>
  <c r="L189" i="104"/>
  <c r="N188" i="104"/>
  <c r="E184" i="104"/>
  <c r="L179" i="104"/>
  <c r="N167" i="104"/>
  <c r="L10" i="104"/>
  <c r="L137" i="104"/>
  <c r="E142" i="104"/>
  <c r="L9" i="104"/>
  <c r="L142" i="104"/>
  <c r="N142" i="104" s="1"/>
  <c r="L116" i="104"/>
  <c r="E121" i="104"/>
  <c r="L121" i="104"/>
  <c r="L95" i="104"/>
  <c r="L20" i="104"/>
  <c r="L74" i="104"/>
  <c r="E79" i="104"/>
  <c r="L84" i="104"/>
  <c r="L79" i="104"/>
  <c r="L58" i="104"/>
  <c r="L53" i="104"/>
  <c r="D16" i="104"/>
  <c r="L63" i="104"/>
  <c r="L42" i="104"/>
  <c r="N40" i="104"/>
  <c r="C478" i="104"/>
  <c r="K473" i="104"/>
  <c r="K483" i="104"/>
  <c r="N483" i="104" s="1"/>
  <c r="K478" i="104"/>
  <c r="C457" i="104"/>
  <c r="K452" i="104"/>
  <c r="K462" i="104"/>
  <c r="K441" i="104"/>
  <c r="K431" i="104"/>
  <c r="K410" i="104"/>
  <c r="C415" i="104"/>
  <c r="K415" i="104"/>
  <c r="K389" i="104"/>
  <c r="C394" i="104"/>
  <c r="K399" i="104"/>
  <c r="K394" i="104"/>
  <c r="K368" i="104"/>
  <c r="C373" i="104"/>
  <c r="K373" i="104"/>
  <c r="K378" i="104"/>
  <c r="C352" i="104"/>
  <c r="K347" i="104"/>
  <c r="C331" i="104"/>
  <c r="K326" i="104"/>
  <c r="K331" i="104"/>
  <c r="K305" i="104"/>
  <c r="C310" i="104"/>
  <c r="K315" i="104"/>
  <c r="K310" i="104"/>
  <c r="K294" i="104"/>
  <c r="N294" i="104" s="1"/>
  <c r="C289" i="104"/>
  <c r="K284" i="104"/>
  <c r="K289" i="104"/>
  <c r="C268" i="104"/>
  <c r="K263" i="104"/>
  <c r="K268" i="104"/>
  <c r="K242" i="104"/>
  <c r="C247" i="104"/>
  <c r="K247" i="104"/>
  <c r="C226" i="104"/>
  <c r="K221" i="104"/>
  <c r="K226" i="104"/>
  <c r="C205" i="104"/>
  <c r="K200" i="104"/>
  <c r="K205" i="104"/>
  <c r="B11" i="104"/>
  <c r="K189" i="104"/>
  <c r="K179" i="104"/>
  <c r="C163" i="104"/>
  <c r="K158" i="104"/>
  <c r="K163" i="104"/>
  <c r="K116" i="104"/>
  <c r="C121" i="104"/>
  <c r="K95" i="104"/>
  <c r="K9" i="104"/>
  <c r="K105" i="104"/>
  <c r="K10" i="104"/>
  <c r="K100" i="104"/>
  <c r="K58" i="104"/>
  <c r="K53" i="104"/>
  <c r="K63" i="104"/>
  <c r="M10" i="104"/>
  <c r="N30" i="104"/>
  <c r="B16" i="104"/>
  <c r="K42" i="104"/>
  <c r="N36" i="104"/>
  <c r="L32" i="104"/>
  <c r="D11" i="104"/>
  <c r="M37" i="104"/>
  <c r="M32" i="104"/>
  <c r="F11" i="104"/>
  <c r="H32" i="104"/>
  <c r="I30" i="104" s="1"/>
  <c r="H9" i="104"/>
  <c r="M42" i="104"/>
  <c r="B21" i="104"/>
  <c r="K37" i="104"/>
  <c r="K15" i="104"/>
  <c r="K20" i="104"/>
  <c r="K19" i="104"/>
  <c r="K14" i="104"/>
  <c r="E104" i="104" l="1"/>
  <c r="C104" i="104"/>
  <c r="G105" i="104"/>
  <c r="E105" i="104"/>
  <c r="G103" i="104"/>
  <c r="C105" i="104"/>
  <c r="G104" i="104"/>
  <c r="E103" i="104"/>
  <c r="C103" i="104"/>
  <c r="I103" i="104"/>
  <c r="C37" i="104"/>
  <c r="G99" i="104"/>
  <c r="G73" i="104"/>
  <c r="C78" i="104"/>
  <c r="G78" i="104"/>
  <c r="I35" i="104"/>
  <c r="I72" i="104"/>
  <c r="G36" i="104"/>
  <c r="E37" i="104"/>
  <c r="C36" i="104"/>
  <c r="E35" i="104"/>
  <c r="E78" i="104"/>
  <c r="C35" i="104"/>
  <c r="C77" i="104"/>
  <c r="C79" i="104"/>
  <c r="I78" i="104"/>
  <c r="I36" i="104"/>
  <c r="I79" i="104"/>
  <c r="I37" i="104"/>
  <c r="C74" i="104"/>
  <c r="E77" i="104"/>
  <c r="E36" i="104"/>
  <c r="I77" i="104"/>
  <c r="G35" i="104"/>
  <c r="C99" i="104"/>
  <c r="E99" i="104"/>
  <c r="G100" i="104"/>
  <c r="I99" i="104"/>
  <c r="E98" i="104"/>
  <c r="G98" i="104"/>
  <c r="C100" i="104"/>
  <c r="I100" i="104"/>
  <c r="C98" i="104"/>
  <c r="E100" i="104"/>
  <c r="I104" i="104"/>
  <c r="I82" i="104"/>
  <c r="C84" i="104"/>
  <c r="I83" i="104"/>
  <c r="G84" i="104"/>
  <c r="G95" i="104"/>
  <c r="N457" i="104"/>
  <c r="G58" i="104"/>
  <c r="I56" i="104"/>
  <c r="H16" i="104"/>
  <c r="C14" i="104" s="1"/>
  <c r="C72" i="104"/>
  <c r="I74" i="104"/>
  <c r="C93" i="104"/>
  <c r="I95" i="104"/>
  <c r="E74" i="104"/>
  <c r="E72" i="104"/>
  <c r="G74" i="104"/>
  <c r="I73" i="104"/>
  <c r="C73" i="104"/>
  <c r="N158" i="104"/>
  <c r="G94" i="104"/>
  <c r="E58" i="104"/>
  <c r="C56" i="104"/>
  <c r="I57" i="104"/>
  <c r="C58" i="104"/>
  <c r="G56" i="104"/>
  <c r="E57" i="104"/>
  <c r="G57" i="104"/>
  <c r="I58" i="104"/>
  <c r="E56" i="104"/>
  <c r="L21" i="104"/>
  <c r="C95" i="104"/>
  <c r="E94" i="104"/>
  <c r="N462" i="104"/>
  <c r="I93" i="104"/>
  <c r="N378" i="104"/>
  <c r="E93" i="104"/>
  <c r="C94" i="104"/>
  <c r="E41" i="104"/>
  <c r="I41" i="104"/>
  <c r="G41" i="104"/>
  <c r="G53" i="104"/>
  <c r="I53" i="104"/>
  <c r="C63" i="104"/>
  <c r="N32" i="104"/>
  <c r="E52" i="104"/>
  <c r="I52" i="104"/>
  <c r="E40" i="104"/>
  <c r="C53" i="104"/>
  <c r="G51" i="104"/>
  <c r="G40" i="104"/>
  <c r="E53" i="104"/>
  <c r="E42" i="104"/>
  <c r="C40" i="104"/>
  <c r="E51" i="104"/>
  <c r="C41" i="104"/>
  <c r="C51" i="104"/>
  <c r="G52" i="104"/>
  <c r="G42" i="104"/>
  <c r="I40" i="104"/>
  <c r="I51" i="104"/>
  <c r="C62" i="104"/>
  <c r="I61" i="104"/>
  <c r="E61" i="104"/>
  <c r="I63" i="104"/>
  <c r="G61" i="104"/>
  <c r="G62" i="104"/>
  <c r="E62" i="104"/>
  <c r="I94" i="104"/>
  <c r="G63" i="104"/>
  <c r="N105" i="104"/>
  <c r="N42" i="104"/>
  <c r="N168" i="104"/>
  <c r="G93" i="104"/>
  <c r="C42" i="104"/>
  <c r="H21" i="104"/>
  <c r="C19" i="104" s="1"/>
  <c r="E63" i="104"/>
  <c r="I62" i="104"/>
  <c r="N315" i="104"/>
  <c r="L16" i="104"/>
  <c r="N452" i="104"/>
  <c r="N263" i="104"/>
  <c r="N200" i="104"/>
  <c r="N473" i="104"/>
  <c r="N431" i="104"/>
  <c r="N415" i="104"/>
  <c r="N394" i="104"/>
  <c r="N399" i="104"/>
  <c r="N373" i="104"/>
  <c r="N368" i="104"/>
  <c r="N347" i="104"/>
  <c r="N336" i="104"/>
  <c r="N331" i="104"/>
  <c r="N273" i="104"/>
  <c r="N268" i="104"/>
  <c r="N247" i="104"/>
  <c r="N242" i="104"/>
  <c r="N221" i="104"/>
  <c r="N205" i="104"/>
  <c r="N137" i="104"/>
  <c r="N116" i="104"/>
  <c r="N95" i="104"/>
  <c r="N74" i="104"/>
  <c r="N53" i="104"/>
  <c r="N410" i="104"/>
  <c r="N305" i="104"/>
  <c r="N289" i="104"/>
  <c r="N19" i="104"/>
  <c r="N189" i="104"/>
  <c r="N163" i="104"/>
  <c r="N121" i="104"/>
  <c r="M16" i="104"/>
  <c r="N100" i="104"/>
  <c r="N79" i="104"/>
  <c r="N84" i="104"/>
  <c r="N14" i="104"/>
  <c r="N478" i="104"/>
  <c r="N441" i="104"/>
  <c r="N389" i="104"/>
  <c r="N326" i="104"/>
  <c r="N15" i="104"/>
  <c r="N310" i="104"/>
  <c r="N284" i="104"/>
  <c r="N10" i="104"/>
  <c r="N226" i="104"/>
  <c r="N179" i="104"/>
  <c r="N9" i="104"/>
  <c r="N20" i="104"/>
  <c r="L11" i="104"/>
  <c r="N58" i="104"/>
  <c r="N63" i="104"/>
  <c r="K11" i="104"/>
  <c r="N37" i="104"/>
  <c r="I32" i="104"/>
  <c r="G30" i="104"/>
  <c r="E30" i="104"/>
  <c r="C31" i="104"/>
  <c r="H11" i="104"/>
  <c r="C32" i="104"/>
  <c r="E32" i="104"/>
  <c r="C30" i="104"/>
  <c r="E31" i="104"/>
  <c r="G31" i="104"/>
  <c r="G32" i="104"/>
  <c r="M11" i="104"/>
  <c r="M21" i="104"/>
  <c r="K21" i="104"/>
  <c r="K16" i="104"/>
  <c r="I31" i="104"/>
  <c r="G14" i="104" l="1"/>
  <c r="G16" i="104"/>
  <c r="G15" i="104"/>
  <c r="I16" i="104"/>
  <c r="E14" i="104"/>
  <c r="E16" i="104"/>
  <c r="C15" i="104"/>
  <c r="C16" i="104"/>
  <c r="E15" i="104"/>
  <c r="I14" i="104"/>
  <c r="I15" i="104"/>
  <c r="E20" i="104"/>
  <c r="G19" i="104"/>
  <c r="E21" i="104"/>
  <c r="I19" i="104"/>
  <c r="G21" i="104"/>
  <c r="I20" i="104"/>
  <c r="I21" i="104"/>
  <c r="G20" i="104"/>
  <c r="C21" i="104"/>
  <c r="E19" i="104"/>
  <c r="C20" i="104"/>
  <c r="N16" i="104"/>
  <c r="N21" i="104"/>
  <c r="N11" i="104"/>
  <c r="E11" i="104"/>
  <c r="E9" i="104"/>
  <c r="C9" i="104"/>
  <c r="C11" i="104"/>
  <c r="E10" i="104"/>
  <c r="G10" i="104"/>
  <c r="C10" i="104"/>
  <c r="I10" i="104"/>
  <c r="G11" i="104"/>
  <c r="I11" i="104"/>
  <c r="G9" i="104"/>
  <c r="I9" i="104"/>
  <c r="A391" i="103" l="1"/>
  <c r="A390" i="103"/>
  <c r="A389" i="103"/>
  <c r="A388" i="103"/>
  <c r="A387" i="103"/>
  <c r="A386" i="103"/>
  <c r="A385" i="103"/>
  <c r="A384" i="103"/>
  <c r="A383" i="103"/>
  <c r="A374" i="103"/>
  <c r="A373" i="103"/>
  <c r="A372" i="103"/>
  <c r="A371" i="103"/>
  <c r="A370" i="103"/>
  <c r="A369" i="103"/>
  <c r="A368" i="103"/>
  <c r="A367" i="103"/>
  <c r="A366" i="103"/>
  <c r="A357" i="103"/>
  <c r="A356" i="103"/>
  <c r="A355" i="103"/>
  <c r="A354" i="103"/>
  <c r="A353" i="103"/>
  <c r="A352" i="103"/>
  <c r="A351" i="103"/>
  <c r="A350" i="103"/>
  <c r="A349" i="103"/>
  <c r="A340" i="103"/>
  <c r="A339" i="103"/>
  <c r="A338" i="103"/>
  <c r="A337" i="103"/>
  <c r="A336" i="103"/>
  <c r="A335" i="103"/>
  <c r="A334" i="103"/>
  <c r="A333" i="103"/>
  <c r="A332" i="103"/>
  <c r="A323" i="103"/>
  <c r="A322" i="103"/>
  <c r="A321" i="103"/>
  <c r="A320" i="103"/>
  <c r="A319" i="103"/>
  <c r="A318" i="103"/>
  <c r="A317" i="103"/>
  <c r="A316" i="103"/>
  <c r="A315" i="103"/>
  <c r="A306" i="103"/>
  <c r="A305" i="103"/>
  <c r="A304" i="103"/>
  <c r="A303" i="103"/>
  <c r="A302" i="103"/>
  <c r="A301" i="103"/>
  <c r="A300" i="103"/>
  <c r="A299" i="103"/>
  <c r="A298" i="103"/>
  <c r="A289" i="103"/>
  <c r="A288" i="103"/>
  <c r="A287" i="103"/>
  <c r="A286" i="103"/>
  <c r="A285" i="103"/>
  <c r="A284" i="103"/>
  <c r="A283" i="103"/>
  <c r="A282" i="103"/>
  <c r="A281" i="103"/>
  <c r="A272" i="103"/>
  <c r="A271" i="103"/>
  <c r="A270" i="103"/>
  <c r="A269" i="103"/>
  <c r="A268" i="103"/>
  <c r="A267" i="103"/>
  <c r="A266" i="103"/>
  <c r="A265" i="103"/>
  <c r="A264" i="103"/>
  <c r="A255" i="103"/>
  <c r="A254" i="103"/>
  <c r="A253" i="103"/>
  <c r="A252" i="103"/>
  <c r="A251" i="103"/>
  <c r="A250" i="103"/>
  <c r="A249" i="103"/>
  <c r="A248" i="103"/>
  <c r="A247" i="103"/>
  <c r="A238" i="103"/>
  <c r="A237" i="103"/>
  <c r="A236" i="103"/>
  <c r="A235" i="103"/>
  <c r="A234" i="103"/>
  <c r="A233" i="103"/>
  <c r="A232" i="103"/>
  <c r="A231" i="103"/>
  <c r="A230" i="103"/>
  <c r="A221" i="103"/>
  <c r="A220" i="103"/>
  <c r="A219" i="103"/>
  <c r="A218" i="103"/>
  <c r="A217" i="103"/>
  <c r="A216" i="103"/>
  <c r="A215" i="103"/>
  <c r="A214" i="103"/>
  <c r="A213" i="103"/>
  <c r="A204" i="103"/>
  <c r="A203" i="103"/>
  <c r="A202" i="103"/>
  <c r="A201" i="103"/>
  <c r="A200" i="103"/>
  <c r="A199" i="103"/>
  <c r="A198" i="103"/>
  <c r="A197" i="103"/>
  <c r="A196" i="103"/>
  <c r="A187" i="103"/>
  <c r="A186" i="103"/>
  <c r="A185" i="103"/>
  <c r="A184" i="103"/>
  <c r="A183" i="103"/>
  <c r="A182" i="103"/>
  <c r="A181" i="103"/>
  <c r="A180" i="103"/>
  <c r="A179" i="103"/>
  <c r="A170" i="103"/>
  <c r="A169" i="103"/>
  <c r="A168" i="103"/>
  <c r="A167" i="103"/>
  <c r="A166" i="103"/>
  <c r="A165" i="103"/>
  <c r="A164" i="103"/>
  <c r="A163" i="103"/>
  <c r="A162" i="103"/>
  <c r="A153" i="103"/>
  <c r="A152" i="103"/>
  <c r="A151" i="103"/>
  <c r="A150" i="103"/>
  <c r="A149" i="103"/>
  <c r="A148" i="103"/>
  <c r="A147" i="103"/>
  <c r="A146" i="103"/>
  <c r="A145" i="103"/>
  <c r="A136" i="103"/>
  <c r="A135" i="103"/>
  <c r="A134" i="103"/>
  <c r="A133" i="103"/>
  <c r="A132" i="103"/>
  <c r="A131" i="103"/>
  <c r="A130" i="103"/>
  <c r="A129" i="103"/>
  <c r="A128" i="103"/>
  <c r="A119" i="103"/>
  <c r="A118" i="103"/>
  <c r="A117" i="103"/>
  <c r="A116" i="103"/>
  <c r="A115" i="103"/>
  <c r="A114" i="103"/>
  <c r="A113" i="103"/>
  <c r="A112" i="103"/>
  <c r="A111" i="103"/>
  <c r="A102" i="103"/>
  <c r="A101" i="103"/>
  <c r="A100" i="103"/>
  <c r="A99" i="103"/>
  <c r="A98" i="103"/>
  <c r="A97" i="103"/>
  <c r="A96" i="103"/>
  <c r="A95" i="103"/>
  <c r="A94" i="103"/>
  <c r="A85" i="103"/>
  <c r="A84" i="103"/>
  <c r="A83" i="103"/>
  <c r="A82" i="103"/>
  <c r="A81" i="103"/>
  <c r="A80" i="103"/>
  <c r="A79" i="103"/>
  <c r="A78" i="103"/>
  <c r="A77" i="103"/>
  <c r="A68" i="103"/>
  <c r="A67" i="103"/>
  <c r="A66" i="103"/>
  <c r="A65" i="103"/>
  <c r="A64" i="103"/>
  <c r="A63" i="103"/>
  <c r="A62" i="103"/>
  <c r="A61" i="103"/>
  <c r="A60" i="103"/>
  <c r="A51" i="103"/>
  <c r="A50" i="103"/>
  <c r="A49" i="103"/>
  <c r="A48" i="103"/>
  <c r="A47" i="103"/>
  <c r="A46" i="103"/>
  <c r="A45" i="103"/>
  <c r="A44" i="103"/>
  <c r="A43" i="103"/>
  <c r="A34" i="103"/>
  <c r="A33" i="103"/>
  <c r="A32" i="103"/>
  <c r="A31" i="103"/>
  <c r="A30" i="103"/>
  <c r="A29" i="103"/>
  <c r="A28" i="103"/>
  <c r="A27" i="103"/>
  <c r="A26" i="103"/>
  <c r="A17" i="103"/>
  <c r="A16" i="103"/>
  <c r="A15" i="103"/>
  <c r="A14" i="103"/>
  <c r="A13" i="103"/>
  <c r="A12" i="103"/>
  <c r="A11" i="103"/>
  <c r="A10" i="103"/>
  <c r="A9" i="103"/>
  <c r="O24" i="103"/>
  <c r="L23" i="103"/>
  <c r="J24" i="103"/>
  <c r="G23" i="103"/>
  <c r="E24" i="103"/>
  <c r="B23" i="103"/>
  <c r="N7" i="103"/>
  <c r="M7" i="103"/>
  <c r="L7" i="103"/>
  <c r="I7" i="103"/>
  <c r="H7" i="103"/>
  <c r="G7" i="103"/>
  <c r="D7" i="103"/>
  <c r="C7" i="103"/>
  <c r="B7" i="103"/>
  <c r="C347" i="103" l="1"/>
  <c r="C279" i="103"/>
  <c r="C211" i="103"/>
  <c r="C143" i="103"/>
  <c r="C75" i="103"/>
  <c r="C330" i="103"/>
  <c r="C262" i="103"/>
  <c r="C194" i="103"/>
  <c r="C126" i="103"/>
  <c r="C58" i="103"/>
  <c r="C381" i="103"/>
  <c r="C313" i="103"/>
  <c r="C245" i="103"/>
  <c r="C177" i="103"/>
  <c r="C109" i="103"/>
  <c r="C41" i="103"/>
  <c r="C364" i="103"/>
  <c r="C296" i="103"/>
  <c r="C228" i="103"/>
  <c r="C160" i="103"/>
  <c r="C92" i="103"/>
  <c r="L381" i="103"/>
  <c r="L313" i="103"/>
  <c r="L245" i="103"/>
  <c r="L177" i="103"/>
  <c r="L109" i="103"/>
  <c r="L41" i="103"/>
  <c r="L58" i="103"/>
  <c r="L194" i="103"/>
  <c r="L364" i="103"/>
  <c r="L296" i="103"/>
  <c r="L228" i="103"/>
  <c r="L160" i="103"/>
  <c r="L92" i="103"/>
  <c r="L330" i="103"/>
  <c r="L126" i="103"/>
  <c r="L347" i="103"/>
  <c r="L279" i="103"/>
  <c r="L211" i="103"/>
  <c r="L143" i="103"/>
  <c r="L75" i="103"/>
  <c r="L262" i="103"/>
  <c r="M364" i="103"/>
  <c r="M296" i="103"/>
  <c r="M228" i="103"/>
  <c r="M160" i="103"/>
  <c r="M92" i="103"/>
  <c r="M381" i="103"/>
  <c r="M347" i="103"/>
  <c r="M279" i="103"/>
  <c r="M211" i="103"/>
  <c r="M143" i="103"/>
  <c r="M75" i="103"/>
  <c r="M313" i="103"/>
  <c r="M245" i="103"/>
  <c r="M109" i="103"/>
  <c r="M330" i="103"/>
  <c r="M262" i="103"/>
  <c r="M194" i="103"/>
  <c r="M126" i="103"/>
  <c r="M58" i="103"/>
  <c r="M41" i="103"/>
  <c r="M177" i="103"/>
  <c r="N364" i="103"/>
  <c r="N296" i="103"/>
  <c r="N228" i="103"/>
  <c r="N160" i="103"/>
  <c r="N92" i="103"/>
  <c r="N347" i="103"/>
  <c r="N279" i="103"/>
  <c r="N211" i="103"/>
  <c r="N143" i="103"/>
  <c r="N75" i="103"/>
  <c r="N330" i="103"/>
  <c r="N262" i="103"/>
  <c r="N194" i="103"/>
  <c r="N126" i="103"/>
  <c r="N58" i="103"/>
  <c r="N381" i="103"/>
  <c r="N313" i="103"/>
  <c r="N245" i="103"/>
  <c r="N177" i="103"/>
  <c r="N109" i="103"/>
  <c r="N41" i="103"/>
  <c r="B364" i="103"/>
  <c r="B347" i="103"/>
  <c r="B279" i="103"/>
  <c r="B211" i="103"/>
  <c r="B143" i="103"/>
  <c r="B75" i="103"/>
  <c r="B228" i="103"/>
  <c r="B160" i="103"/>
  <c r="B92" i="103"/>
  <c r="B296" i="103"/>
  <c r="B330" i="103"/>
  <c r="B262" i="103"/>
  <c r="B194" i="103"/>
  <c r="B126" i="103"/>
  <c r="B58" i="103"/>
  <c r="B381" i="103"/>
  <c r="B313" i="103"/>
  <c r="B245" i="103"/>
  <c r="B177" i="103"/>
  <c r="B109" i="103"/>
  <c r="B41" i="103"/>
  <c r="D347" i="103"/>
  <c r="D279" i="103"/>
  <c r="D211" i="103"/>
  <c r="D143" i="103"/>
  <c r="D75" i="103"/>
  <c r="D41" i="103"/>
  <c r="D160" i="103"/>
  <c r="D92" i="103"/>
  <c r="D330" i="103"/>
  <c r="D262" i="103"/>
  <c r="D194" i="103"/>
  <c r="D126" i="103"/>
  <c r="D58" i="103"/>
  <c r="D364" i="103"/>
  <c r="D381" i="103"/>
  <c r="D313" i="103"/>
  <c r="D245" i="103"/>
  <c r="D177" i="103"/>
  <c r="D109" i="103"/>
  <c r="D296" i="103"/>
  <c r="D228" i="103"/>
  <c r="G330" i="103"/>
  <c r="G262" i="103"/>
  <c r="G194" i="103"/>
  <c r="G126" i="103"/>
  <c r="G58" i="103"/>
  <c r="G381" i="103"/>
  <c r="G313" i="103"/>
  <c r="G245" i="103"/>
  <c r="G177" i="103"/>
  <c r="G109" i="103"/>
  <c r="G41" i="103"/>
  <c r="G364" i="103"/>
  <c r="G296" i="103"/>
  <c r="G228" i="103"/>
  <c r="G160" i="103"/>
  <c r="G92" i="103"/>
  <c r="G347" i="103"/>
  <c r="G279" i="103"/>
  <c r="G211" i="103"/>
  <c r="G143" i="103"/>
  <c r="G75" i="103"/>
  <c r="H330" i="103"/>
  <c r="H262" i="103"/>
  <c r="H194" i="103"/>
  <c r="H126" i="103"/>
  <c r="H58" i="103"/>
  <c r="H347" i="103"/>
  <c r="H381" i="103"/>
  <c r="H313" i="103"/>
  <c r="H245" i="103"/>
  <c r="H177" i="103"/>
  <c r="H109" i="103"/>
  <c r="H41" i="103"/>
  <c r="H364" i="103"/>
  <c r="H296" i="103"/>
  <c r="H228" i="103"/>
  <c r="H160" i="103"/>
  <c r="H92" i="103"/>
  <c r="H211" i="103"/>
  <c r="H75" i="103"/>
  <c r="H143" i="103"/>
  <c r="H279" i="103"/>
  <c r="I381" i="103"/>
  <c r="I313" i="103"/>
  <c r="I245" i="103"/>
  <c r="I177" i="103"/>
  <c r="I109" i="103"/>
  <c r="I41" i="103"/>
  <c r="I126" i="103"/>
  <c r="I58" i="103"/>
  <c r="I364" i="103"/>
  <c r="I296" i="103"/>
  <c r="I228" i="103"/>
  <c r="I160" i="103"/>
  <c r="I92" i="103"/>
  <c r="I262" i="103"/>
  <c r="I347" i="103"/>
  <c r="I279" i="103"/>
  <c r="I211" i="103"/>
  <c r="I143" i="103"/>
  <c r="I75" i="103"/>
  <c r="I194" i="103"/>
  <c r="I330" i="103"/>
  <c r="B24" i="103"/>
  <c r="L24" i="103"/>
  <c r="I24" i="103"/>
  <c r="C24" i="103"/>
  <c r="D24" i="103"/>
  <c r="M24" i="103"/>
  <c r="N24" i="103"/>
  <c r="G24" i="103"/>
  <c r="H24" i="103"/>
  <c r="A194" i="102"/>
  <c r="A185" i="102"/>
  <c r="A167" i="102"/>
  <c r="A158" i="102"/>
  <c r="A176" i="102"/>
  <c r="A149" i="102"/>
  <c r="A140" i="102"/>
  <c r="A131" i="102"/>
  <c r="A122" i="102"/>
  <c r="A113" i="102"/>
  <c r="A104" i="102"/>
  <c r="A95" i="102"/>
  <c r="A86" i="102"/>
  <c r="A77" i="102"/>
  <c r="A68" i="102"/>
  <c r="A59" i="102"/>
  <c r="A50" i="102"/>
  <c r="A41" i="102"/>
  <c r="A32" i="102"/>
  <c r="A23" i="102"/>
  <c r="B14" i="102"/>
  <c r="A14" i="102"/>
  <c r="A5" i="102"/>
  <c r="L14" i="102"/>
  <c r="V14" i="102"/>
  <c r="Y15" i="102"/>
  <c r="O15" i="102"/>
  <c r="E15" i="102"/>
  <c r="X6" i="102"/>
  <c r="W6" i="102"/>
  <c r="V6" i="102"/>
  <c r="N6" i="102"/>
  <c r="M6" i="102"/>
  <c r="L6" i="102"/>
  <c r="D6" i="102"/>
  <c r="C6" i="102"/>
  <c r="B6" i="102"/>
  <c r="A391" i="101"/>
  <c r="A390" i="101"/>
  <c r="A389" i="101"/>
  <c r="A388" i="101"/>
  <c r="A387" i="101"/>
  <c r="A386" i="101"/>
  <c r="A385" i="101"/>
  <c r="A384" i="101"/>
  <c r="A383" i="101"/>
  <c r="A374" i="101"/>
  <c r="A373" i="101"/>
  <c r="A372" i="101"/>
  <c r="A371" i="101"/>
  <c r="A370" i="101"/>
  <c r="A369" i="101"/>
  <c r="A368" i="101"/>
  <c r="A367" i="101"/>
  <c r="A366" i="101"/>
  <c r="A357" i="101"/>
  <c r="A356" i="101"/>
  <c r="A355" i="101"/>
  <c r="A354" i="101"/>
  <c r="A353" i="101"/>
  <c r="A352" i="101"/>
  <c r="A351" i="101"/>
  <c r="A350" i="101"/>
  <c r="A349" i="101"/>
  <c r="A340" i="101"/>
  <c r="A339" i="101"/>
  <c r="A338" i="101"/>
  <c r="A337" i="101"/>
  <c r="A336" i="101"/>
  <c r="A335" i="101"/>
  <c r="A334" i="101"/>
  <c r="A333" i="101"/>
  <c r="A332" i="101"/>
  <c r="A323" i="101"/>
  <c r="A322" i="101"/>
  <c r="A321" i="101"/>
  <c r="A320" i="101"/>
  <c r="A319" i="101"/>
  <c r="A318" i="101"/>
  <c r="A317" i="101"/>
  <c r="A316" i="101"/>
  <c r="A315" i="101"/>
  <c r="A306" i="101"/>
  <c r="A305" i="101"/>
  <c r="A304" i="101"/>
  <c r="A303" i="101"/>
  <c r="A302" i="101"/>
  <c r="A301" i="101"/>
  <c r="A300" i="101"/>
  <c r="A299" i="101"/>
  <c r="A298" i="101"/>
  <c r="A289" i="101"/>
  <c r="A288" i="101"/>
  <c r="A287" i="101"/>
  <c r="A286" i="101"/>
  <c r="A285" i="101"/>
  <c r="A284" i="101"/>
  <c r="A283" i="101"/>
  <c r="A282" i="101"/>
  <c r="A281" i="101"/>
  <c r="A272" i="101"/>
  <c r="A271" i="101"/>
  <c r="A270" i="101"/>
  <c r="A269" i="101"/>
  <c r="A268" i="101"/>
  <c r="A267" i="101"/>
  <c r="A266" i="101"/>
  <c r="A265" i="101"/>
  <c r="A264" i="101"/>
  <c r="A255" i="101"/>
  <c r="A254" i="101"/>
  <c r="A253" i="101"/>
  <c r="A252" i="101"/>
  <c r="A251" i="101"/>
  <c r="A250" i="101"/>
  <c r="A249" i="101"/>
  <c r="A248" i="101"/>
  <c r="A247" i="101"/>
  <c r="A238" i="101"/>
  <c r="A237" i="101"/>
  <c r="A236" i="101"/>
  <c r="A235" i="101"/>
  <c r="A234" i="101"/>
  <c r="A233" i="101"/>
  <c r="A232" i="101"/>
  <c r="A231" i="101"/>
  <c r="A230" i="101"/>
  <c r="A221" i="101"/>
  <c r="A220" i="101"/>
  <c r="A219" i="101"/>
  <c r="A218" i="101"/>
  <c r="A217" i="101"/>
  <c r="A216" i="101"/>
  <c r="A215" i="101"/>
  <c r="A214" i="101"/>
  <c r="A213" i="101"/>
  <c r="A204" i="101"/>
  <c r="A203" i="101"/>
  <c r="A202" i="101"/>
  <c r="A201" i="101"/>
  <c r="A200" i="101"/>
  <c r="A199" i="101"/>
  <c r="A198" i="101"/>
  <c r="A197" i="101"/>
  <c r="A196" i="101"/>
  <c r="A187" i="101"/>
  <c r="A186" i="101"/>
  <c r="A185" i="101"/>
  <c r="A184" i="101"/>
  <c r="A183" i="101"/>
  <c r="A182" i="101"/>
  <c r="A181" i="101"/>
  <c r="A180" i="101"/>
  <c r="A179" i="101"/>
  <c r="A170" i="101"/>
  <c r="A169" i="101"/>
  <c r="A168" i="101"/>
  <c r="A167" i="101"/>
  <c r="A166" i="101"/>
  <c r="A165" i="101"/>
  <c r="A164" i="101"/>
  <c r="A163" i="101"/>
  <c r="A162" i="101"/>
  <c r="A153" i="101"/>
  <c r="A152" i="101"/>
  <c r="A151" i="101"/>
  <c r="A150" i="101"/>
  <c r="A149" i="101"/>
  <c r="A148" i="101"/>
  <c r="A147" i="101"/>
  <c r="A146" i="101"/>
  <c r="A145" i="101"/>
  <c r="A136" i="101"/>
  <c r="A135" i="101"/>
  <c r="A134" i="101"/>
  <c r="A133" i="101"/>
  <c r="A132" i="101"/>
  <c r="A131" i="101"/>
  <c r="A130" i="101"/>
  <c r="A129" i="101"/>
  <c r="A128" i="101"/>
  <c r="A119" i="101"/>
  <c r="A118" i="101"/>
  <c r="A117" i="101"/>
  <c r="A116" i="101"/>
  <c r="A115" i="101"/>
  <c r="A114" i="101"/>
  <c r="A113" i="101"/>
  <c r="A112" i="101"/>
  <c r="A111" i="101"/>
  <c r="A102" i="101"/>
  <c r="A101" i="101"/>
  <c r="A100" i="101"/>
  <c r="A99" i="101"/>
  <c r="A98" i="101"/>
  <c r="A97" i="101"/>
  <c r="A96" i="101"/>
  <c r="A95" i="101"/>
  <c r="A94" i="101"/>
  <c r="A85" i="101"/>
  <c r="A84" i="101"/>
  <c r="A83" i="101"/>
  <c r="A82" i="101"/>
  <c r="A81" i="101"/>
  <c r="A80" i="101"/>
  <c r="A79" i="101"/>
  <c r="A78" i="101"/>
  <c r="A77" i="101"/>
  <c r="A68" i="101"/>
  <c r="A67" i="101"/>
  <c r="A66" i="101"/>
  <c r="A65" i="101"/>
  <c r="A64" i="101"/>
  <c r="A63" i="101"/>
  <c r="A62" i="101"/>
  <c r="A61" i="101"/>
  <c r="A60" i="101"/>
  <c r="A51" i="101"/>
  <c r="A50" i="101"/>
  <c r="A49" i="101"/>
  <c r="A48" i="101"/>
  <c r="A47" i="101"/>
  <c r="A46" i="101"/>
  <c r="A45" i="101"/>
  <c r="A44" i="101"/>
  <c r="A43" i="101"/>
  <c r="A34" i="101"/>
  <c r="A33" i="101"/>
  <c r="A32" i="101"/>
  <c r="A31" i="101"/>
  <c r="A30" i="101"/>
  <c r="A29" i="101"/>
  <c r="A28" i="101"/>
  <c r="A27" i="101"/>
  <c r="A26" i="101"/>
  <c r="A17" i="101"/>
  <c r="A16" i="101"/>
  <c r="A15" i="101"/>
  <c r="A14" i="101"/>
  <c r="A13" i="101"/>
  <c r="A12" i="101"/>
  <c r="A11" i="101"/>
  <c r="A10" i="101"/>
  <c r="A9" i="101"/>
  <c r="D195" i="102" l="1"/>
  <c r="I159" i="102"/>
  <c r="D123" i="102"/>
  <c r="I87" i="102"/>
  <c r="D51" i="102"/>
  <c r="D177" i="102"/>
  <c r="I141" i="102"/>
  <c r="D105" i="102"/>
  <c r="I69" i="102"/>
  <c r="D33" i="102"/>
  <c r="D168" i="102"/>
  <c r="I132" i="102"/>
  <c r="D96" i="102"/>
  <c r="I60" i="102"/>
  <c r="I195" i="102"/>
  <c r="D159" i="102"/>
  <c r="I123" i="102"/>
  <c r="D87" i="102"/>
  <c r="I51" i="102"/>
  <c r="I186" i="102"/>
  <c r="D150" i="102"/>
  <c r="I114" i="102"/>
  <c r="D78" i="102"/>
  <c r="I168" i="102"/>
  <c r="I150" i="102"/>
  <c r="I96" i="102"/>
  <c r="I78" i="102"/>
  <c r="D186" i="102"/>
  <c r="I105" i="102"/>
  <c r="D69" i="102"/>
  <c r="D60" i="102"/>
  <c r="I177" i="102"/>
  <c r="D141" i="102"/>
  <c r="D132" i="102"/>
  <c r="I42" i="102"/>
  <c r="I33" i="102"/>
  <c r="D114" i="102"/>
  <c r="I24" i="102"/>
  <c r="D42" i="102"/>
  <c r="D24" i="102"/>
  <c r="Q177" i="102"/>
  <c r="L141" i="102"/>
  <c r="Q105" i="102"/>
  <c r="L69" i="102"/>
  <c r="Q33" i="102"/>
  <c r="L195" i="102"/>
  <c r="Q159" i="102"/>
  <c r="L123" i="102"/>
  <c r="Q87" i="102"/>
  <c r="L51" i="102"/>
  <c r="L186" i="102"/>
  <c r="Q150" i="102"/>
  <c r="L114" i="102"/>
  <c r="Q78" i="102"/>
  <c r="L42" i="102"/>
  <c r="L177" i="102"/>
  <c r="Q141" i="102"/>
  <c r="L105" i="102"/>
  <c r="Q69" i="102"/>
  <c r="L33" i="102"/>
  <c r="L168" i="102"/>
  <c r="Q132" i="102"/>
  <c r="L96" i="102"/>
  <c r="Q195" i="102"/>
  <c r="Q51" i="102"/>
  <c r="Q168" i="102"/>
  <c r="L159" i="102"/>
  <c r="L60" i="102"/>
  <c r="L150" i="102"/>
  <c r="Q24" i="102"/>
  <c r="L24" i="102"/>
  <c r="Q15" i="102"/>
  <c r="Q96" i="102"/>
  <c r="L87" i="102"/>
  <c r="Q60" i="102"/>
  <c r="L78" i="102"/>
  <c r="Q123" i="102"/>
  <c r="Q114" i="102"/>
  <c r="Q42" i="102"/>
  <c r="Q186" i="102"/>
  <c r="L132" i="102"/>
  <c r="M15" i="102"/>
  <c r="R168" i="102"/>
  <c r="M132" i="102"/>
  <c r="R96" i="102"/>
  <c r="M60" i="102"/>
  <c r="R24" i="102"/>
  <c r="M195" i="102"/>
  <c r="M186" i="102"/>
  <c r="R150" i="102"/>
  <c r="M114" i="102"/>
  <c r="R78" i="102"/>
  <c r="M42" i="102"/>
  <c r="M177" i="102"/>
  <c r="R141" i="102"/>
  <c r="M105" i="102"/>
  <c r="R69" i="102"/>
  <c r="M33" i="102"/>
  <c r="M168" i="102"/>
  <c r="R132" i="102"/>
  <c r="M96" i="102"/>
  <c r="R60" i="102"/>
  <c r="M24" i="102"/>
  <c r="R195" i="102"/>
  <c r="M159" i="102"/>
  <c r="R123" i="102"/>
  <c r="M87" i="102"/>
  <c r="R87" i="102"/>
  <c r="R15" i="102"/>
  <c r="R105" i="102"/>
  <c r="M150" i="102"/>
  <c r="R42" i="102"/>
  <c r="R186" i="102"/>
  <c r="M123" i="102"/>
  <c r="R177" i="102"/>
  <c r="M78" i="102"/>
  <c r="R159" i="102"/>
  <c r="R114" i="102"/>
  <c r="R51" i="102"/>
  <c r="M69" i="102"/>
  <c r="M51" i="102"/>
  <c r="M141" i="102"/>
  <c r="R33" i="102"/>
  <c r="N15" i="102"/>
  <c r="N195" i="102"/>
  <c r="S159" i="102"/>
  <c r="N123" i="102"/>
  <c r="S87" i="102"/>
  <c r="N51" i="102"/>
  <c r="N177" i="102"/>
  <c r="S141" i="102"/>
  <c r="N105" i="102"/>
  <c r="S69" i="102"/>
  <c r="N33" i="102"/>
  <c r="N168" i="102"/>
  <c r="S132" i="102"/>
  <c r="N96" i="102"/>
  <c r="S60" i="102"/>
  <c r="S195" i="102"/>
  <c r="N159" i="102"/>
  <c r="S123" i="102"/>
  <c r="N87" i="102"/>
  <c r="S51" i="102"/>
  <c r="S186" i="102"/>
  <c r="N150" i="102"/>
  <c r="S114" i="102"/>
  <c r="N78" i="102"/>
  <c r="S78" i="102"/>
  <c r="N42" i="102"/>
  <c r="N24" i="102"/>
  <c r="N60" i="102"/>
  <c r="S24" i="102"/>
  <c r="S177" i="102"/>
  <c r="N132" i="102"/>
  <c r="S33" i="102"/>
  <c r="N186" i="102"/>
  <c r="S96" i="102"/>
  <c r="S150" i="102"/>
  <c r="S105" i="102"/>
  <c r="N69" i="102"/>
  <c r="S168" i="102"/>
  <c r="S42" i="102"/>
  <c r="N141" i="102"/>
  <c r="N114" i="102"/>
  <c r="S15" i="102"/>
  <c r="V15" i="102"/>
  <c r="V141" i="102"/>
  <c r="V69" i="102"/>
  <c r="V195" i="102"/>
  <c r="V123" i="102"/>
  <c r="V51" i="102"/>
  <c r="V186" i="102"/>
  <c r="V114" i="102"/>
  <c r="V42" i="102"/>
  <c r="V177" i="102"/>
  <c r="V105" i="102"/>
  <c r="V33" i="102"/>
  <c r="V168" i="102"/>
  <c r="V96" i="102"/>
  <c r="V60" i="102"/>
  <c r="V159" i="102"/>
  <c r="V150" i="102"/>
  <c r="V132" i="102"/>
  <c r="V24" i="102"/>
  <c r="V87" i="102"/>
  <c r="V78" i="102"/>
  <c r="W15" i="102"/>
  <c r="W132" i="102"/>
  <c r="W60" i="102"/>
  <c r="W195" i="102"/>
  <c r="W186" i="102"/>
  <c r="W114" i="102"/>
  <c r="W42" i="102"/>
  <c r="W177" i="102"/>
  <c r="W105" i="102"/>
  <c r="W33" i="102"/>
  <c r="W168" i="102"/>
  <c r="W96" i="102"/>
  <c r="W24" i="102"/>
  <c r="W159" i="102"/>
  <c r="W87" i="102"/>
  <c r="W150" i="102"/>
  <c r="W69" i="102"/>
  <c r="W78" i="102"/>
  <c r="W51" i="102"/>
  <c r="W123" i="102"/>
  <c r="W141" i="102"/>
  <c r="G177" i="102"/>
  <c r="B141" i="102"/>
  <c r="G105" i="102"/>
  <c r="B69" i="102"/>
  <c r="G33" i="102"/>
  <c r="B195" i="102"/>
  <c r="G159" i="102"/>
  <c r="B123" i="102"/>
  <c r="G87" i="102"/>
  <c r="B51" i="102"/>
  <c r="B186" i="102"/>
  <c r="G150" i="102"/>
  <c r="B114" i="102"/>
  <c r="G78" i="102"/>
  <c r="B42" i="102"/>
  <c r="B177" i="102"/>
  <c r="G141" i="102"/>
  <c r="B105" i="102"/>
  <c r="G69" i="102"/>
  <c r="B33" i="102"/>
  <c r="B168" i="102"/>
  <c r="G132" i="102"/>
  <c r="B96" i="102"/>
  <c r="G123" i="102"/>
  <c r="B78" i="102"/>
  <c r="G42" i="102"/>
  <c r="G24" i="102"/>
  <c r="G96" i="102"/>
  <c r="B87" i="102"/>
  <c r="B24" i="102"/>
  <c r="G168" i="102"/>
  <c r="B159" i="102"/>
  <c r="G114" i="102"/>
  <c r="G51" i="102"/>
  <c r="B60" i="102"/>
  <c r="G195" i="102"/>
  <c r="B150" i="102"/>
  <c r="B132" i="102"/>
  <c r="G186" i="102"/>
  <c r="G60" i="102"/>
  <c r="X15" i="102"/>
  <c r="X195" i="102"/>
  <c r="X123" i="102"/>
  <c r="X51" i="102"/>
  <c r="X177" i="102"/>
  <c r="X105" i="102"/>
  <c r="X33" i="102"/>
  <c r="X168" i="102"/>
  <c r="X96" i="102"/>
  <c r="X24" i="102"/>
  <c r="X159" i="102"/>
  <c r="X87" i="102"/>
  <c r="X150" i="102"/>
  <c r="X78" i="102"/>
  <c r="X60" i="102"/>
  <c r="X114" i="102"/>
  <c r="X141" i="102"/>
  <c r="X132" i="102"/>
  <c r="X42" i="102"/>
  <c r="X186" i="102"/>
  <c r="X69" i="102"/>
  <c r="H168" i="102"/>
  <c r="C132" i="102"/>
  <c r="H96" i="102"/>
  <c r="C60" i="102"/>
  <c r="H24" i="102"/>
  <c r="C186" i="102"/>
  <c r="H150" i="102"/>
  <c r="C114" i="102"/>
  <c r="H78" i="102"/>
  <c r="C42" i="102"/>
  <c r="C177" i="102"/>
  <c r="H141" i="102"/>
  <c r="C105" i="102"/>
  <c r="H69" i="102"/>
  <c r="C33" i="102"/>
  <c r="C168" i="102"/>
  <c r="H132" i="102"/>
  <c r="C96" i="102"/>
  <c r="H60" i="102"/>
  <c r="C24" i="102"/>
  <c r="H195" i="102"/>
  <c r="C159" i="102"/>
  <c r="H123" i="102"/>
  <c r="C87" i="102"/>
  <c r="H114" i="102"/>
  <c r="H105" i="102"/>
  <c r="C69" i="102"/>
  <c r="H51" i="102"/>
  <c r="C195" i="102"/>
  <c r="C78" i="102"/>
  <c r="C150" i="102"/>
  <c r="C123" i="102"/>
  <c r="H186" i="102"/>
  <c r="H177" i="102"/>
  <c r="C141" i="102"/>
  <c r="C51" i="102"/>
  <c r="H42" i="102"/>
  <c r="H33" i="102"/>
  <c r="H87" i="102"/>
  <c r="H159" i="102"/>
  <c r="B15" i="102"/>
  <c r="G15" i="102"/>
  <c r="C15" i="102"/>
  <c r="H15" i="102"/>
  <c r="D15" i="102"/>
  <c r="I15" i="102"/>
  <c r="L15" i="102"/>
  <c r="J23" i="101"/>
  <c r="J40" i="101" s="1"/>
  <c r="J57" i="101" s="1"/>
  <c r="J74" i="101" s="1"/>
  <c r="J91" i="101" s="1"/>
  <c r="J108" i="101" s="1"/>
  <c r="J125" i="101" s="1"/>
  <c r="J142" i="101" s="1"/>
  <c r="J159" i="101" s="1"/>
  <c r="J176" i="101" s="1"/>
  <c r="J193" i="101" s="1"/>
  <c r="J210" i="101" s="1"/>
  <c r="J227" i="101" s="1"/>
  <c r="J244" i="101" s="1"/>
  <c r="J261" i="101" s="1"/>
  <c r="J278" i="101" s="1"/>
  <c r="J295" i="101" s="1"/>
  <c r="J312" i="101" s="1"/>
  <c r="J329" i="101" s="1"/>
  <c r="J346" i="101" s="1"/>
  <c r="J363" i="101" s="1"/>
  <c r="J380" i="101" s="1"/>
  <c r="F23" i="101"/>
  <c r="F40" i="101" s="1"/>
  <c r="F57" i="101" s="1"/>
  <c r="F74" i="101" s="1"/>
  <c r="F91" i="101" s="1"/>
  <c r="F108" i="101" s="1"/>
  <c r="F125" i="101" s="1"/>
  <c r="F142" i="101" s="1"/>
  <c r="F159" i="101" s="1"/>
  <c r="F176" i="101" s="1"/>
  <c r="F193" i="101" s="1"/>
  <c r="F210" i="101" s="1"/>
  <c r="F227" i="101" s="1"/>
  <c r="F244" i="101" s="1"/>
  <c r="F261" i="101" s="1"/>
  <c r="F278" i="101" s="1"/>
  <c r="F295" i="101" s="1"/>
  <c r="F312" i="101" s="1"/>
  <c r="F329" i="101" s="1"/>
  <c r="F346" i="101" s="1"/>
  <c r="F363" i="101" s="1"/>
  <c r="F380" i="101" s="1"/>
  <c r="B23" i="101"/>
  <c r="K13" i="80" l="1"/>
  <c r="R45" i="80" l="1"/>
  <c r="R44" i="80"/>
  <c r="K44" i="80"/>
  <c r="I44" i="80"/>
  <c r="H44" i="80"/>
  <c r="F44" i="80"/>
  <c r="C44" i="80"/>
  <c r="R8" i="80"/>
  <c r="K8" i="80"/>
  <c r="I8" i="80"/>
  <c r="H8" i="80"/>
  <c r="F9" i="80"/>
  <c r="C8" i="80"/>
  <c r="N8" i="80" l="1"/>
  <c r="O8" i="80" s="1"/>
  <c r="N44" i="80"/>
  <c r="O44" i="80" s="1"/>
  <c r="L44" i="80"/>
  <c r="L8" i="80"/>
  <c r="R11" i="80"/>
  <c r="K12" i="80"/>
  <c r="I11" i="80"/>
  <c r="H11" i="80"/>
  <c r="C9" i="80"/>
  <c r="A9" i="80"/>
  <c r="A10" i="80"/>
  <c r="A11" i="80"/>
  <c r="A12" i="80"/>
  <c r="A13" i="80"/>
  <c r="A14" i="80"/>
  <c r="A15" i="80"/>
  <c r="A16" i="80"/>
  <c r="A17" i="80"/>
  <c r="A18" i="80"/>
  <c r="A19" i="80"/>
  <c r="A20" i="80"/>
  <c r="A21" i="80"/>
  <c r="A22" i="80"/>
  <c r="A23" i="80"/>
  <c r="A24" i="80"/>
  <c r="A25" i="80"/>
  <c r="A26" i="80"/>
  <c r="A27" i="80"/>
  <c r="A28" i="80"/>
  <c r="A29" i="80"/>
  <c r="A30" i="80"/>
  <c r="A31" i="80"/>
  <c r="A32" i="80"/>
  <c r="A8" i="80"/>
  <c r="AG6" i="79"/>
  <c r="AF6" i="79"/>
  <c r="AE6" i="79"/>
  <c r="AD6" i="79"/>
  <c r="AC6" i="79"/>
  <c r="AB6" i="79"/>
  <c r="AA6" i="79"/>
  <c r="Z6" i="79"/>
  <c r="Y6" i="79"/>
  <c r="X6" i="79"/>
  <c r="V6" i="79"/>
  <c r="U6" i="79"/>
  <c r="T6" i="79"/>
  <c r="S6" i="79"/>
  <c r="R6" i="79"/>
  <c r="Q6" i="79"/>
  <c r="P6" i="79"/>
  <c r="O6" i="79"/>
  <c r="N6" i="79"/>
  <c r="M6" i="79"/>
  <c r="K6" i="79"/>
  <c r="J6" i="79"/>
  <c r="I6" i="79"/>
  <c r="H6" i="79"/>
  <c r="G6" i="79"/>
  <c r="F6" i="79"/>
  <c r="E6" i="79"/>
  <c r="D6" i="79"/>
  <c r="C6" i="79"/>
  <c r="B6" i="79"/>
  <c r="J8" i="79"/>
  <c r="J35" i="79" s="1"/>
  <c r="U33" i="79" s="1"/>
  <c r="I8" i="79"/>
  <c r="I35" i="79" s="1"/>
  <c r="T33" i="79" s="1"/>
  <c r="H8" i="79"/>
  <c r="H35" i="79" s="1"/>
  <c r="S33" i="79" s="1"/>
  <c r="G8" i="79"/>
  <c r="G35" i="79" s="1"/>
  <c r="R33" i="79" s="1"/>
  <c r="F8" i="79"/>
  <c r="F35" i="79" s="1"/>
  <c r="Q33" i="79" s="1"/>
  <c r="E8" i="79"/>
  <c r="E35" i="79" s="1"/>
  <c r="P33" i="79" s="1"/>
  <c r="D8" i="79"/>
  <c r="D35" i="79" s="1"/>
  <c r="O33" i="79" s="1"/>
  <c r="C8" i="79"/>
  <c r="C35" i="79" s="1"/>
  <c r="N33" i="79" s="1"/>
  <c r="B8" i="79"/>
  <c r="B35" i="79" s="1"/>
  <c r="M33" i="79" s="1"/>
  <c r="A35" i="79"/>
  <c r="A9" i="79"/>
  <c r="A10" i="79"/>
  <c r="A11" i="79"/>
  <c r="A12" i="79"/>
  <c r="A13" i="79"/>
  <c r="A14" i="79"/>
  <c r="A15" i="79"/>
  <c r="A16" i="79"/>
  <c r="A17" i="79"/>
  <c r="A18" i="79"/>
  <c r="A19" i="79"/>
  <c r="A20" i="79"/>
  <c r="A21" i="79"/>
  <c r="A22" i="79"/>
  <c r="A23" i="79"/>
  <c r="A24" i="79"/>
  <c r="A25" i="79"/>
  <c r="A26" i="79"/>
  <c r="A27" i="79"/>
  <c r="A28" i="79"/>
  <c r="A29" i="79"/>
  <c r="A30" i="79"/>
  <c r="A31" i="79"/>
  <c r="A32" i="79"/>
  <c r="A8" i="79"/>
  <c r="A6" i="79"/>
  <c r="A1" i="79" s="1"/>
  <c r="K8" i="79" l="1"/>
  <c r="P19" i="79"/>
  <c r="Q31" i="79"/>
  <c r="U25" i="79"/>
  <c r="T17" i="79"/>
  <c r="R9" i="79"/>
  <c r="U30" i="79" l="1"/>
  <c r="P15" i="79"/>
  <c r="Q20" i="79"/>
  <c r="P8" i="79"/>
  <c r="Q10" i="79"/>
  <c r="U18" i="79"/>
  <c r="Q24" i="79"/>
  <c r="P11" i="79"/>
  <c r="U16" i="79"/>
  <c r="Q26" i="79"/>
  <c r="Q15" i="79"/>
  <c r="Q8" i="79"/>
  <c r="AD8" i="79"/>
  <c r="Z8" i="79"/>
  <c r="AE8" i="79"/>
  <c r="AF8" i="79"/>
  <c r="AG8" i="79"/>
  <c r="Y8" i="79"/>
  <c r="X8" i="79"/>
  <c r="AB8" i="79"/>
  <c r="AC8" i="79"/>
  <c r="AA8" i="79"/>
  <c r="U28" i="79"/>
  <c r="Q12" i="79"/>
  <c r="Q27" i="79"/>
  <c r="Q30" i="79"/>
  <c r="Q11" i="79"/>
  <c r="R28" i="79"/>
  <c r="Q18" i="79"/>
  <c r="T13" i="79"/>
  <c r="T29" i="79"/>
  <c r="U14" i="79"/>
  <c r="U29" i="79"/>
  <c r="Q16" i="79"/>
  <c r="S10" i="79"/>
  <c r="S14" i="79"/>
  <c r="S18" i="79"/>
  <c r="S22" i="79"/>
  <c r="S26" i="79"/>
  <c r="S30" i="79"/>
  <c r="S35" i="79"/>
  <c r="S8" i="79"/>
  <c r="S24" i="79"/>
  <c r="S13" i="79"/>
  <c r="S32" i="79"/>
  <c r="R12" i="79"/>
  <c r="R16" i="79"/>
  <c r="U13" i="79"/>
  <c r="Q13" i="79"/>
  <c r="Q17" i="79"/>
  <c r="Q21" i="79"/>
  <c r="Q25" i="79"/>
  <c r="Q29" i="79"/>
  <c r="Q35" i="79"/>
  <c r="Q9" i="79"/>
  <c r="R20" i="79"/>
  <c r="S11" i="79"/>
  <c r="U32" i="79"/>
  <c r="Q23" i="79"/>
  <c r="P9" i="79"/>
  <c r="P12" i="79"/>
  <c r="P16" i="79"/>
  <c r="P20" i="79"/>
  <c r="P24" i="79"/>
  <c r="P28" i="79"/>
  <c r="P32" i="79"/>
  <c r="P14" i="79"/>
  <c r="P26" i="79"/>
  <c r="P10" i="79"/>
  <c r="P18" i="79"/>
  <c r="P22" i="79"/>
  <c r="P30" i="79"/>
  <c r="P13" i="79"/>
  <c r="P17" i="79"/>
  <c r="P21" i="79"/>
  <c r="P25" i="79"/>
  <c r="P29" i="79"/>
  <c r="P35" i="79"/>
  <c r="S25" i="79"/>
  <c r="P23" i="79"/>
  <c r="Q19" i="79"/>
  <c r="U12" i="79"/>
  <c r="S23" i="79"/>
  <c r="S29" i="79"/>
  <c r="P27" i="79"/>
  <c r="S9" i="79"/>
  <c r="S15" i="79"/>
  <c r="R13" i="79"/>
  <c r="R17" i="79"/>
  <c r="R21" i="79"/>
  <c r="R25" i="79"/>
  <c r="R29" i="79"/>
  <c r="R35" i="79"/>
  <c r="R11" i="79"/>
  <c r="R15" i="79"/>
  <c r="R19" i="79"/>
  <c r="R23" i="79"/>
  <c r="R31" i="79"/>
  <c r="R27" i="79"/>
  <c r="R10" i="79"/>
  <c r="R14" i="79"/>
  <c r="R18" i="79"/>
  <c r="R22" i="79"/>
  <c r="R26" i="79"/>
  <c r="R30" i="79"/>
  <c r="R8" i="79"/>
  <c r="S27" i="79"/>
  <c r="T10" i="79"/>
  <c r="T14" i="79"/>
  <c r="T18" i="79"/>
  <c r="T22" i="79"/>
  <c r="T26" i="79"/>
  <c r="T30" i="79"/>
  <c r="T12" i="79"/>
  <c r="T16" i="79"/>
  <c r="T20" i="79"/>
  <c r="T28" i="79"/>
  <c r="T35" i="79"/>
  <c r="T9" i="79"/>
  <c r="T24" i="79"/>
  <c r="T32" i="79"/>
  <c r="T11" i="79"/>
  <c r="T15" i="79"/>
  <c r="T19" i="79"/>
  <c r="T23" i="79"/>
  <c r="T27" i="79"/>
  <c r="T31" i="79"/>
  <c r="R32" i="79"/>
  <c r="U11" i="79"/>
  <c r="U15" i="79"/>
  <c r="U19" i="79"/>
  <c r="U23" i="79"/>
  <c r="U27" i="79"/>
  <c r="U31" i="79"/>
  <c r="U9" i="79"/>
  <c r="U35" i="79"/>
  <c r="U8" i="79"/>
  <c r="S17" i="79"/>
  <c r="S12" i="79"/>
  <c r="S19" i="79"/>
  <c r="S21" i="79"/>
  <c r="S16" i="79"/>
  <c r="U20" i="79"/>
  <c r="S31" i="79"/>
  <c r="T21" i="79"/>
  <c r="S20" i="79"/>
  <c r="U22" i="79"/>
  <c r="U17" i="79"/>
  <c r="Q22" i="79"/>
  <c r="U26" i="79"/>
  <c r="R24" i="79"/>
  <c r="T8" i="79"/>
  <c r="Q28" i="79"/>
  <c r="T25" i="79"/>
  <c r="U21" i="79"/>
  <c r="Q14" i="79"/>
  <c r="U24" i="79"/>
  <c r="U10" i="79"/>
  <c r="Q32" i="79"/>
  <c r="P31" i="79"/>
  <c r="S28" i="79"/>
  <c r="CP143" i="78" l="1"/>
  <c r="CP142" i="78"/>
  <c r="CP141" i="78"/>
  <c r="CP140" i="78"/>
  <c r="CP139" i="78"/>
  <c r="CP138" i="78"/>
  <c r="CP137" i="78"/>
  <c r="CP136" i="78"/>
  <c r="CP135" i="78"/>
  <c r="CP134" i="78"/>
  <c r="CP133" i="78"/>
  <c r="CP132" i="78"/>
  <c r="CP131" i="78"/>
  <c r="CP130" i="78"/>
  <c r="CP129" i="78"/>
  <c r="CP128" i="78"/>
  <c r="CP127" i="78"/>
  <c r="CP126" i="78"/>
  <c r="CP125" i="78"/>
  <c r="CP124" i="78"/>
  <c r="CP123" i="78"/>
  <c r="CP122" i="78"/>
  <c r="CP121" i="78"/>
  <c r="CP120" i="78"/>
  <c r="CP119" i="78"/>
  <c r="CE143" i="78"/>
  <c r="CE142" i="78"/>
  <c r="CE141" i="78"/>
  <c r="CE140" i="78"/>
  <c r="CE139" i="78"/>
  <c r="CE138" i="78"/>
  <c r="CE137" i="78"/>
  <c r="CE136" i="78"/>
  <c r="CE135" i="78"/>
  <c r="CE134" i="78"/>
  <c r="CE133" i="78"/>
  <c r="CE132" i="78"/>
  <c r="CE131" i="78"/>
  <c r="CE130" i="78"/>
  <c r="CE129" i="78"/>
  <c r="CE128" i="78"/>
  <c r="CE127" i="78"/>
  <c r="CE126" i="78"/>
  <c r="CE125" i="78"/>
  <c r="CE124" i="78"/>
  <c r="CE123" i="78"/>
  <c r="CE122" i="78"/>
  <c r="CE121" i="78"/>
  <c r="CE120" i="78"/>
  <c r="CE119" i="78"/>
  <c r="BT143" i="78"/>
  <c r="BT142" i="78"/>
  <c r="BT141" i="78"/>
  <c r="BT140" i="78"/>
  <c r="BT139" i="78"/>
  <c r="BT138" i="78"/>
  <c r="BT137" i="78"/>
  <c r="BT136" i="78"/>
  <c r="BT135" i="78"/>
  <c r="BT134" i="78"/>
  <c r="BT133" i="78"/>
  <c r="BT132" i="78"/>
  <c r="BT131" i="78"/>
  <c r="BT130" i="78"/>
  <c r="BT129" i="78"/>
  <c r="BT128" i="78"/>
  <c r="BT127" i="78"/>
  <c r="BT126" i="78"/>
  <c r="BT125" i="78"/>
  <c r="BT124" i="78"/>
  <c r="BT123" i="78"/>
  <c r="BT122" i="78"/>
  <c r="BT121" i="78"/>
  <c r="BT120" i="78"/>
  <c r="BT119" i="78"/>
  <c r="BI143" i="78"/>
  <c r="BI142" i="78"/>
  <c r="BI141" i="78"/>
  <c r="BI140" i="78"/>
  <c r="BI139" i="78"/>
  <c r="BI138" i="78"/>
  <c r="BI137" i="78"/>
  <c r="BI136" i="78"/>
  <c r="BI135" i="78"/>
  <c r="BI134" i="78"/>
  <c r="BI133" i="78"/>
  <c r="BI132" i="78"/>
  <c r="BI131" i="78"/>
  <c r="BI130" i="78"/>
  <c r="BI129" i="78"/>
  <c r="BI128" i="78"/>
  <c r="BI127" i="78"/>
  <c r="BI126" i="78"/>
  <c r="BI125" i="78"/>
  <c r="BI124" i="78"/>
  <c r="BI123" i="78"/>
  <c r="BI122" i="78"/>
  <c r="BI121" i="78"/>
  <c r="BI120" i="78"/>
  <c r="BI119" i="78"/>
  <c r="AX143" i="78"/>
  <c r="AX142" i="78"/>
  <c r="AX141" i="78"/>
  <c r="AX140" i="78"/>
  <c r="AX139" i="78"/>
  <c r="AX138" i="78"/>
  <c r="AX137" i="78"/>
  <c r="AX136" i="78"/>
  <c r="AX135" i="78"/>
  <c r="AX134" i="78"/>
  <c r="AX133" i="78"/>
  <c r="AX132" i="78"/>
  <c r="AX131" i="78"/>
  <c r="AX130" i="78"/>
  <c r="AX129" i="78"/>
  <c r="AX128" i="78"/>
  <c r="AX127" i="78"/>
  <c r="AX126" i="78"/>
  <c r="AX125" i="78"/>
  <c r="AX124" i="78"/>
  <c r="AX123" i="78"/>
  <c r="AX122" i="78"/>
  <c r="AX121" i="78"/>
  <c r="AX120" i="78"/>
  <c r="AX119" i="78"/>
  <c r="AM143" i="78"/>
  <c r="AM142" i="78"/>
  <c r="AM141" i="78"/>
  <c r="AM140" i="78"/>
  <c r="AM139" i="78"/>
  <c r="AM138" i="78"/>
  <c r="AM137" i="78"/>
  <c r="AM136" i="78"/>
  <c r="AM135" i="78"/>
  <c r="AM134" i="78"/>
  <c r="AM133" i="78"/>
  <c r="AM132" i="78"/>
  <c r="AM131" i="78"/>
  <c r="AM130" i="78"/>
  <c r="AM129" i="78"/>
  <c r="AM128" i="78"/>
  <c r="AM127" i="78"/>
  <c r="AM126" i="78"/>
  <c r="AM125" i="78"/>
  <c r="AM124" i="78"/>
  <c r="AM123" i="78"/>
  <c r="AM122" i="78"/>
  <c r="AM121" i="78"/>
  <c r="AM120" i="78"/>
  <c r="AM119" i="78"/>
  <c r="AB143" i="78"/>
  <c r="AB142" i="78"/>
  <c r="AB141" i="78"/>
  <c r="AB140" i="78"/>
  <c r="AB139" i="78"/>
  <c r="AB138" i="78"/>
  <c r="AB137" i="78"/>
  <c r="AB136" i="78"/>
  <c r="AB135" i="78"/>
  <c r="AB134" i="78"/>
  <c r="AB133" i="78"/>
  <c r="AB132" i="78"/>
  <c r="AB131" i="78"/>
  <c r="AB130" i="78"/>
  <c r="AB129" i="78"/>
  <c r="AB128" i="78"/>
  <c r="AB127" i="78"/>
  <c r="AB126" i="78"/>
  <c r="AB125" i="78"/>
  <c r="AB124" i="78"/>
  <c r="AB123" i="78"/>
  <c r="AB122" i="78"/>
  <c r="AB121" i="78"/>
  <c r="AB120" i="78"/>
  <c r="AB119" i="78"/>
  <c r="Q122" i="78"/>
  <c r="Q143" i="78"/>
  <c r="Q142" i="78"/>
  <c r="Q141" i="78"/>
  <c r="Q140" i="78"/>
  <c r="Q139" i="78"/>
  <c r="Q138" i="78"/>
  <c r="Q137" i="78"/>
  <c r="Q136" i="78"/>
  <c r="Q135" i="78"/>
  <c r="Q134" i="78"/>
  <c r="Q133" i="78"/>
  <c r="Q132" i="78"/>
  <c r="Q131" i="78"/>
  <c r="Q130" i="78"/>
  <c r="Q129" i="78"/>
  <c r="Q128" i="78"/>
  <c r="Q127" i="78"/>
  <c r="Q126" i="78"/>
  <c r="Q125" i="78"/>
  <c r="Q124" i="78"/>
  <c r="Q123" i="78"/>
  <c r="Q121" i="78"/>
  <c r="Q120" i="78"/>
  <c r="Q119" i="78"/>
  <c r="CS9" i="78"/>
  <c r="CS83" i="78" s="1"/>
  <c r="CS10" i="78"/>
  <c r="CS84" i="78" s="1"/>
  <c r="CS11" i="78"/>
  <c r="CS48" i="78" s="1"/>
  <c r="CS12" i="78"/>
  <c r="CS86" i="78" s="1"/>
  <c r="CS13" i="78"/>
  <c r="CS87" i="78" s="1"/>
  <c r="CS14" i="78"/>
  <c r="CS88" i="78" s="1"/>
  <c r="CS15" i="78"/>
  <c r="CS52" i="78" s="1"/>
  <c r="CS16" i="78"/>
  <c r="CS17" i="78"/>
  <c r="CS91" i="78" s="1"/>
  <c r="CS18" i="78"/>
  <c r="CS19" i="78"/>
  <c r="CS56" i="78" s="1"/>
  <c r="CS20" i="78"/>
  <c r="CS57" i="78" s="1"/>
  <c r="CS21" i="78"/>
  <c r="CS58" i="78" s="1"/>
  <c r="CS22" i="78"/>
  <c r="CS59" i="78" s="1"/>
  <c r="CS23" i="78"/>
  <c r="CS97" i="78" s="1"/>
  <c r="CS24" i="78"/>
  <c r="CS25" i="78"/>
  <c r="CS99" i="78" s="1"/>
  <c r="CS26" i="78"/>
  <c r="CS63" i="78" s="1"/>
  <c r="CS27" i="78"/>
  <c r="CS28" i="78"/>
  <c r="CS102" i="78" s="1"/>
  <c r="CS29" i="78"/>
  <c r="CS103" i="78" s="1"/>
  <c r="CS30" i="78"/>
  <c r="CS67" i="78" s="1"/>
  <c r="CS31" i="78"/>
  <c r="CS68" i="78" s="1"/>
  <c r="CS32" i="78"/>
  <c r="CS69" i="78" s="1"/>
  <c r="CS8" i="78"/>
  <c r="CH9" i="78"/>
  <c r="CH46" i="78" s="1"/>
  <c r="CH10" i="78"/>
  <c r="CH47" i="78" s="1"/>
  <c r="CH11" i="78"/>
  <c r="CH48" i="78" s="1"/>
  <c r="CH12" i="78"/>
  <c r="CH86" i="78" s="1"/>
  <c r="CH13" i="78"/>
  <c r="CH87" i="78" s="1"/>
  <c r="CH14" i="78"/>
  <c r="CH51" i="78" s="1"/>
  <c r="CH15" i="78"/>
  <c r="CH52" i="78" s="1"/>
  <c r="CH16" i="78"/>
  <c r="CH53" i="78" s="1"/>
  <c r="CH17" i="78"/>
  <c r="CH54" i="78" s="1"/>
  <c r="CH18" i="78"/>
  <c r="CH55" i="78" s="1"/>
  <c r="CH19" i="78"/>
  <c r="CH56" i="78" s="1"/>
  <c r="CH20" i="78"/>
  <c r="CH57" i="78" s="1"/>
  <c r="CH21" i="78"/>
  <c r="CH22" i="78"/>
  <c r="CH96" i="78" s="1"/>
  <c r="CH23" i="78"/>
  <c r="CH97" i="78" s="1"/>
  <c r="CH24" i="78"/>
  <c r="CH61" i="78" s="1"/>
  <c r="CH25" i="78"/>
  <c r="CH99" i="78" s="1"/>
  <c r="CH26" i="78"/>
  <c r="CH100" i="78" s="1"/>
  <c r="CH27" i="78"/>
  <c r="CH64" i="78" s="1"/>
  <c r="CH28" i="78"/>
  <c r="CH102" i="78" s="1"/>
  <c r="CH29" i="78"/>
  <c r="CH103" i="78" s="1"/>
  <c r="CH30" i="78"/>
  <c r="CH67" i="78" s="1"/>
  <c r="CH31" i="78"/>
  <c r="CH32" i="78"/>
  <c r="CH69" i="78" s="1"/>
  <c r="CH8" i="78"/>
  <c r="BW9" i="78"/>
  <c r="BW46" i="78" s="1"/>
  <c r="BW10" i="78"/>
  <c r="BW11" i="78"/>
  <c r="BW48" i="78" s="1"/>
  <c r="BW12" i="78"/>
  <c r="BW49" i="78" s="1"/>
  <c r="BW13" i="78"/>
  <c r="BW14" i="78"/>
  <c r="BW88" i="78" s="1"/>
  <c r="BW15" i="78"/>
  <c r="BW52" i="78" s="1"/>
  <c r="BW16" i="78"/>
  <c r="BW17" i="78"/>
  <c r="BW54" i="78" s="1"/>
  <c r="BW18" i="78"/>
  <c r="BW92" i="78" s="1"/>
  <c r="BW19" i="78"/>
  <c r="BW56" i="78" s="1"/>
  <c r="BW20" i="78"/>
  <c r="BW94" i="78" s="1"/>
  <c r="BW21" i="78"/>
  <c r="BW95" i="78" s="1"/>
  <c r="BW22" i="78"/>
  <c r="BW96" i="78" s="1"/>
  <c r="BW23" i="78"/>
  <c r="BW97" i="78" s="1"/>
  <c r="BW24" i="78"/>
  <c r="BW61" i="78" s="1"/>
  <c r="BW25" i="78"/>
  <c r="BW99" i="78" s="1"/>
  <c r="BW26" i="78"/>
  <c r="BW63" i="78" s="1"/>
  <c r="BW27" i="78"/>
  <c r="BW64" i="78" s="1"/>
  <c r="BW28" i="78"/>
  <c r="BW65" i="78" s="1"/>
  <c r="BW29" i="78"/>
  <c r="BW66" i="78" s="1"/>
  <c r="BW30" i="78"/>
  <c r="BW104" i="78" s="1"/>
  <c r="BW31" i="78"/>
  <c r="BW32" i="78"/>
  <c r="BW69" i="78" s="1"/>
  <c r="BW8" i="78"/>
  <c r="BL9" i="78"/>
  <c r="BL46" i="78" s="1"/>
  <c r="BL10" i="78"/>
  <c r="BL47" i="78" s="1"/>
  <c r="BL11" i="78"/>
  <c r="BL85" i="78" s="1"/>
  <c r="BL12" i="78"/>
  <c r="BL86" i="78" s="1"/>
  <c r="BL13" i="78"/>
  <c r="BL50" i="78" s="1"/>
  <c r="BL14" i="78"/>
  <c r="BL88" i="78" s="1"/>
  <c r="BL15" i="78"/>
  <c r="BL89" i="78" s="1"/>
  <c r="BL16" i="78"/>
  <c r="BL17" i="78"/>
  <c r="BL91" i="78" s="1"/>
  <c r="BL18" i="78"/>
  <c r="BL55" i="78" s="1"/>
  <c r="BL19" i="78"/>
  <c r="BL93" i="78" s="1"/>
  <c r="BL20" i="78"/>
  <c r="BL94" i="78" s="1"/>
  <c r="BL21" i="78"/>
  <c r="BL58" i="78" s="1"/>
  <c r="BL22" i="78"/>
  <c r="BL59" i="78" s="1"/>
  <c r="BL23" i="78"/>
  <c r="BL60" i="78" s="1"/>
  <c r="BL24" i="78"/>
  <c r="BL25" i="78"/>
  <c r="BL62" i="78" s="1"/>
  <c r="BL26" i="78"/>
  <c r="BL63" i="78" s="1"/>
  <c r="BL27" i="78"/>
  <c r="BL101" i="78" s="1"/>
  <c r="BL28" i="78"/>
  <c r="BL65" i="78" s="1"/>
  <c r="BL29" i="78"/>
  <c r="BL66" i="78" s="1"/>
  <c r="BL30" i="78"/>
  <c r="BL104" i="78" s="1"/>
  <c r="BL31" i="78"/>
  <c r="BL68" i="78" s="1"/>
  <c r="BL32" i="78"/>
  <c r="BL8" i="78"/>
  <c r="BA9" i="78"/>
  <c r="BA83" i="78" s="1"/>
  <c r="BA10" i="78"/>
  <c r="BA47" i="78" s="1"/>
  <c r="BA11" i="78"/>
  <c r="BA48" i="78" s="1"/>
  <c r="BA12" i="78"/>
  <c r="BA49" i="78" s="1"/>
  <c r="BA13" i="78"/>
  <c r="BA87" i="78" s="1"/>
  <c r="BA14" i="78"/>
  <c r="BA88" i="78" s="1"/>
  <c r="BA15" i="78"/>
  <c r="BA89" i="78" s="1"/>
  <c r="BA16" i="78"/>
  <c r="BA53" i="78" s="1"/>
  <c r="BA17" i="78"/>
  <c r="BA91" i="78" s="1"/>
  <c r="BA18" i="78"/>
  <c r="BA92" i="78" s="1"/>
  <c r="BA19" i="78"/>
  <c r="BA56" i="78" s="1"/>
  <c r="BA20" i="78"/>
  <c r="BA57" i="78" s="1"/>
  <c r="BA21" i="78"/>
  <c r="BA58" i="78" s="1"/>
  <c r="BA22" i="78"/>
  <c r="BA96" i="78" s="1"/>
  <c r="BA23" i="78"/>
  <c r="BA97" i="78" s="1"/>
  <c r="BA24" i="78"/>
  <c r="BA98" i="78" s="1"/>
  <c r="BA25" i="78"/>
  <c r="BA99" i="78" s="1"/>
  <c r="BA26" i="78"/>
  <c r="BA100" i="78" s="1"/>
  <c r="BA27" i="78"/>
  <c r="BA64" i="78" s="1"/>
  <c r="BA28" i="78"/>
  <c r="BA65" i="78" s="1"/>
  <c r="BA29" i="78"/>
  <c r="BA103" i="78" s="1"/>
  <c r="BA30" i="78"/>
  <c r="BA104" i="78" s="1"/>
  <c r="BA31" i="78"/>
  <c r="BA32" i="78"/>
  <c r="BA106" i="78" s="1"/>
  <c r="BA8" i="78"/>
  <c r="AP9" i="78"/>
  <c r="AP83" i="78" s="1"/>
  <c r="AP10" i="78"/>
  <c r="AP84" i="78" s="1"/>
  <c r="AP11" i="78"/>
  <c r="AP48" i="78" s="1"/>
  <c r="AP12" i="78"/>
  <c r="AP49" i="78" s="1"/>
  <c r="AP13" i="78"/>
  <c r="AP50" i="78" s="1"/>
  <c r="AP14" i="78"/>
  <c r="AP88" i="78" s="1"/>
  <c r="AP15" i="78"/>
  <c r="AP89" i="78" s="1"/>
  <c r="AP16" i="78"/>
  <c r="AP17" i="78"/>
  <c r="AP91" i="78" s="1"/>
  <c r="AP18" i="78"/>
  <c r="AP55" i="78" s="1"/>
  <c r="AP19" i="78"/>
  <c r="AP56" i="78" s="1"/>
  <c r="AP20" i="78"/>
  <c r="AP57" i="78" s="1"/>
  <c r="AP21" i="78"/>
  <c r="AP95" i="78" s="1"/>
  <c r="AP22" i="78"/>
  <c r="AP96" i="78" s="1"/>
  <c r="AP23" i="78"/>
  <c r="AP97" i="78" s="1"/>
  <c r="AP24" i="78"/>
  <c r="AP98" i="78" s="1"/>
  <c r="AP25" i="78"/>
  <c r="AP99" i="78" s="1"/>
  <c r="AP26" i="78"/>
  <c r="AP100" i="78" s="1"/>
  <c r="AP27" i="78"/>
  <c r="AP64" i="78" s="1"/>
  <c r="AP28" i="78"/>
  <c r="AP65" i="78" s="1"/>
  <c r="AP29" i="78"/>
  <c r="AP66" i="78" s="1"/>
  <c r="AP30" i="78"/>
  <c r="AP104" i="78" s="1"/>
  <c r="AP31" i="78"/>
  <c r="AP68" i="78" s="1"/>
  <c r="AP32" i="78"/>
  <c r="AP69" i="78" s="1"/>
  <c r="AP8" i="78"/>
  <c r="AE9" i="78"/>
  <c r="AE10" i="78"/>
  <c r="AE47" i="78" s="1"/>
  <c r="AE11" i="78"/>
  <c r="AE85" i="78" s="1"/>
  <c r="AE12" i="78"/>
  <c r="AE86" i="78" s="1"/>
  <c r="AE13" i="78"/>
  <c r="AE50" i="78" s="1"/>
  <c r="AE14" i="78"/>
  <c r="AE51" i="78" s="1"/>
  <c r="AE15" i="78"/>
  <c r="AE89" i="78" s="1"/>
  <c r="AE16" i="78"/>
  <c r="AE53" i="78" s="1"/>
  <c r="AE17" i="78"/>
  <c r="AE91" i="78" s="1"/>
  <c r="AE18" i="78"/>
  <c r="AE55" i="78" s="1"/>
  <c r="AE19" i="78"/>
  <c r="AE93" i="78" s="1"/>
  <c r="AE20" i="78"/>
  <c r="AE94" i="78" s="1"/>
  <c r="AE21" i="78"/>
  <c r="AE58" i="78" s="1"/>
  <c r="AE22" i="78"/>
  <c r="AE59" i="78" s="1"/>
  <c r="AE23" i="78"/>
  <c r="AE97" i="78" s="1"/>
  <c r="AE24" i="78"/>
  <c r="AE61" i="78" s="1"/>
  <c r="AE25" i="78"/>
  <c r="AE99" i="78" s="1"/>
  <c r="AE26" i="78"/>
  <c r="AE27" i="78"/>
  <c r="AE64" i="78" s="1"/>
  <c r="AE28" i="78"/>
  <c r="AE102" i="78" s="1"/>
  <c r="AE29" i="78"/>
  <c r="AE66" i="78" s="1"/>
  <c r="AE30" i="78"/>
  <c r="AE67" i="78" s="1"/>
  <c r="AE31" i="78"/>
  <c r="AE105" i="78" s="1"/>
  <c r="AE32" i="78"/>
  <c r="AE69" i="78" s="1"/>
  <c r="AE8" i="78"/>
  <c r="CS106" i="78"/>
  <c r="CS55" i="78"/>
  <c r="CS47" i="78"/>
  <c r="CT43" i="78"/>
  <c r="CT80" i="78" s="1"/>
  <c r="CS43" i="78"/>
  <c r="CS80" i="78" s="1"/>
  <c r="CR43" i="78"/>
  <c r="CR80" i="78" s="1"/>
  <c r="CT42" i="78"/>
  <c r="CT79" i="78" s="1"/>
  <c r="CS42" i="78"/>
  <c r="CS79" i="78" s="1"/>
  <c r="CR42" i="78"/>
  <c r="CR79" i="78" s="1"/>
  <c r="CR32" i="78"/>
  <c r="CR69" i="78" s="1"/>
  <c r="CR106" i="78" s="1"/>
  <c r="CR31" i="78"/>
  <c r="CR68" i="78" s="1"/>
  <c r="CR105" i="78" s="1"/>
  <c r="CR30" i="78"/>
  <c r="CR67" i="78" s="1"/>
  <c r="CR104" i="78" s="1"/>
  <c r="CR29" i="78"/>
  <c r="CR66" i="78" s="1"/>
  <c r="CR103" i="78" s="1"/>
  <c r="CR28" i="78"/>
  <c r="CS64" i="78"/>
  <c r="CR27" i="78"/>
  <c r="CR64" i="78" s="1"/>
  <c r="CR101" i="78" s="1"/>
  <c r="CS100" i="78"/>
  <c r="CR26" i="78"/>
  <c r="CT26" i="78" s="1"/>
  <c r="CT63" i="78" s="1"/>
  <c r="CT100" i="78" s="1"/>
  <c r="CR25" i="78"/>
  <c r="CR62" i="78" s="1"/>
  <c r="CR99" i="78" s="1"/>
  <c r="CR24" i="78"/>
  <c r="CR61" i="78" s="1"/>
  <c r="CR98" i="78" s="1"/>
  <c r="CR23" i="78"/>
  <c r="CR60" i="78" s="1"/>
  <c r="CR97" i="78" s="1"/>
  <c r="CR22" i="78"/>
  <c r="CR59" i="78" s="1"/>
  <c r="CR96" i="78" s="1"/>
  <c r="CR21" i="78"/>
  <c r="CR58" i="78" s="1"/>
  <c r="CR95" i="78" s="1"/>
  <c r="CR20" i="78"/>
  <c r="CR19" i="78"/>
  <c r="CR56" i="78" s="1"/>
  <c r="CR93" i="78" s="1"/>
  <c r="CS92" i="78"/>
  <c r="CR18" i="78"/>
  <c r="CR55" i="78" s="1"/>
  <c r="CR92" i="78" s="1"/>
  <c r="CR17" i="78"/>
  <c r="CR16" i="78"/>
  <c r="CR53" i="78" s="1"/>
  <c r="CR90" i="78" s="1"/>
  <c r="CR15" i="78"/>
  <c r="CR52" i="78" s="1"/>
  <c r="CR89" i="78" s="1"/>
  <c r="CR14" i="78"/>
  <c r="CR51" i="78" s="1"/>
  <c r="CR88" i="78" s="1"/>
  <c r="CR13" i="78"/>
  <c r="CR50" i="78" s="1"/>
  <c r="CR87" i="78" s="1"/>
  <c r="CR12" i="78"/>
  <c r="CR11" i="78"/>
  <c r="CR48" i="78" s="1"/>
  <c r="CR85" i="78" s="1"/>
  <c r="CR10" i="78"/>
  <c r="CR47" i="78" s="1"/>
  <c r="CR84" i="78" s="1"/>
  <c r="CR9" i="78"/>
  <c r="CR46" i="78" s="1"/>
  <c r="CR83" i="78" s="1"/>
  <c r="CR8" i="78"/>
  <c r="CT8" i="78" s="1"/>
  <c r="CT45" i="78" s="1"/>
  <c r="CT82" i="78" s="1"/>
  <c r="CH62" i="78"/>
  <c r="CI43" i="78"/>
  <c r="CI80" i="78" s="1"/>
  <c r="CH43" i="78"/>
  <c r="CH80" i="78" s="1"/>
  <c r="CG43" i="78"/>
  <c r="CG80" i="78" s="1"/>
  <c r="CI42" i="78"/>
  <c r="CI79" i="78" s="1"/>
  <c r="CH42" i="78"/>
  <c r="CH79" i="78" s="1"/>
  <c r="CG42" i="78"/>
  <c r="CG79" i="78" s="1"/>
  <c r="CG32" i="78"/>
  <c r="CG31" i="78"/>
  <c r="CG68" i="78" s="1"/>
  <c r="CG105" i="78" s="1"/>
  <c r="CG30" i="78"/>
  <c r="CG67" i="78" s="1"/>
  <c r="CG104" i="78" s="1"/>
  <c r="CG29" i="78"/>
  <c r="CG66" i="78" s="1"/>
  <c r="CG103" i="78" s="1"/>
  <c r="CG28" i="78"/>
  <c r="CG65" i="78" s="1"/>
  <c r="CG102" i="78" s="1"/>
  <c r="CG27" i="78"/>
  <c r="CG26" i="78"/>
  <c r="CG63" i="78" s="1"/>
  <c r="CG100" i="78" s="1"/>
  <c r="CG25" i="78"/>
  <c r="CG62" i="78" s="1"/>
  <c r="CG99" i="78" s="1"/>
  <c r="CG24" i="78"/>
  <c r="CG23" i="78"/>
  <c r="CG60" i="78" s="1"/>
  <c r="CG97" i="78" s="1"/>
  <c r="CG22" i="78"/>
  <c r="CG59" i="78" s="1"/>
  <c r="CG96" i="78" s="1"/>
  <c r="CG21" i="78"/>
  <c r="CG58" i="78" s="1"/>
  <c r="CG95" i="78" s="1"/>
  <c r="CG20" i="78"/>
  <c r="CG57" i="78" s="1"/>
  <c r="CG94" i="78" s="1"/>
  <c r="CG19" i="78"/>
  <c r="CG18" i="78"/>
  <c r="CG55" i="78" s="1"/>
  <c r="CG92" i="78" s="1"/>
  <c r="CH91" i="78"/>
  <c r="CG17" i="78"/>
  <c r="CI17" i="78" s="1"/>
  <c r="CI54" i="78" s="1"/>
  <c r="CI91" i="78" s="1"/>
  <c r="CG16" i="78"/>
  <c r="CG15" i="78"/>
  <c r="CG52" i="78" s="1"/>
  <c r="CG89" i="78" s="1"/>
  <c r="CG14" i="78"/>
  <c r="CG51" i="78" s="1"/>
  <c r="CG88" i="78" s="1"/>
  <c r="CG13" i="78"/>
  <c r="CG50" i="78" s="1"/>
  <c r="CG87" i="78" s="1"/>
  <c r="CG12" i="78"/>
  <c r="CG49" i="78" s="1"/>
  <c r="CG86" i="78" s="1"/>
  <c r="CG11" i="78"/>
  <c r="CG48" i="78" s="1"/>
  <c r="CG85" i="78" s="1"/>
  <c r="CG10" i="78"/>
  <c r="CG47" i="78" s="1"/>
  <c r="CG84" i="78" s="1"/>
  <c r="CH83" i="78"/>
  <c r="CG9" i="78"/>
  <c r="CG46" i="78" s="1"/>
  <c r="CG83" i="78" s="1"/>
  <c r="CG8" i="78"/>
  <c r="BW62" i="78"/>
  <c r="BX43" i="78"/>
  <c r="BX80" i="78" s="1"/>
  <c r="BW43" i="78"/>
  <c r="BW80" i="78" s="1"/>
  <c r="BV43" i="78"/>
  <c r="BV80" i="78" s="1"/>
  <c r="BX42" i="78"/>
  <c r="BX79" i="78" s="1"/>
  <c r="BW42" i="78"/>
  <c r="BW79" i="78" s="1"/>
  <c r="BV42" i="78"/>
  <c r="BV79" i="78" s="1"/>
  <c r="BV32" i="78"/>
  <c r="BV31" i="78"/>
  <c r="BV68" i="78" s="1"/>
  <c r="BV105" i="78" s="1"/>
  <c r="BV30" i="78"/>
  <c r="BV67" i="78" s="1"/>
  <c r="BV104" i="78" s="1"/>
  <c r="BV29" i="78"/>
  <c r="BV66" i="78" s="1"/>
  <c r="BV103" i="78" s="1"/>
  <c r="BV28" i="78"/>
  <c r="BV65" i="78" s="1"/>
  <c r="BV102" i="78" s="1"/>
  <c r="BV27" i="78"/>
  <c r="BV64" i="78" s="1"/>
  <c r="BV101" i="78" s="1"/>
  <c r="BV26" i="78"/>
  <c r="BV63" i="78" s="1"/>
  <c r="BV100" i="78" s="1"/>
  <c r="BV25" i="78"/>
  <c r="BV62" i="78" s="1"/>
  <c r="BV99" i="78" s="1"/>
  <c r="BV24" i="78"/>
  <c r="BX24" i="78" s="1"/>
  <c r="BX61" i="78" s="1"/>
  <c r="BX98" i="78" s="1"/>
  <c r="BV23" i="78"/>
  <c r="BV60" i="78" s="1"/>
  <c r="BV97" i="78" s="1"/>
  <c r="BV22" i="78"/>
  <c r="BV59" i="78" s="1"/>
  <c r="BV96" i="78" s="1"/>
  <c r="BV21" i="78"/>
  <c r="BV58" i="78" s="1"/>
  <c r="BV95" i="78" s="1"/>
  <c r="BV20" i="78"/>
  <c r="BV57" i="78" s="1"/>
  <c r="BV94" i="78" s="1"/>
  <c r="BV19" i="78"/>
  <c r="BV18" i="78"/>
  <c r="BV55" i="78" s="1"/>
  <c r="BV92" i="78" s="1"/>
  <c r="BW91" i="78"/>
  <c r="BV17" i="78"/>
  <c r="BV54" i="78" s="1"/>
  <c r="BV91" i="78" s="1"/>
  <c r="BW53" i="78"/>
  <c r="BV16" i="78"/>
  <c r="BV15" i="78"/>
  <c r="BV52" i="78" s="1"/>
  <c r="BV89" i="78" s="1"/>
  <c r="BV14" i="78"/>
  <c r="BV51" i="78" s="1"/>
  <c r="BV88" i="78" s="1"/>
  <c r="BV13" i="78"/>
  <c r="BV50" i="78" s="1"/>
  <c r="BV87" i="78" s="1"/>
  <c r="BV12" i="78"/>
  <c r="BV49" i="78" s="1"/>
  <c r="BV86" i="78" s="1"/>
  <c r="BV11" i="78"/>
  <c r="BV48" i="78" s="1"/>
  <c r="BV85" i="78" s="1"/>
  <c r="BV10" i="78"/>
  <c r="BV47" i="78" s="1"/>
  <c r="BV84" i="78" s="1"/>
  <c r="BV9" i="78"/>
  <c r="BV46" i="78" s="1"/>
  <c r="BV83" i="78" s="1"/>
  <c r="BV8" i="78"/>
  <c r="BV45" i="78" s="1"/>
  <c r="BV82" i="78" s="1"/>
  <c r="BM43" i="78"/>
  <c r="BM80" i="78" s="1"/>
  <c r="BL43" i="78"/>
  <c r="BL80" i="78" s="1"/>
  <c r="BK43" i="78"/>
  <c r="BK80" i="78" s="1"/>
  <c r="BM42" i="78"/>
  <c r="BM79" i="78" s="1"/>
  <c r="BL42" i="78"/>
  <c r="BL79" i="78" s="1"/>
  <c r="BK42" i="78"/>
  <c r="BK79" i="78" s="1"/>
  <c r="BK32" i="78"/>
  <c r="BK69" i="78" s="1"/>
  <c r="BK106" i="78" s="1"/>
  <c r="BK31" i="78"/>
  <c r="BK68" i="78" s="1"/>
  <c r="BK105" i="78" s="1"/>
  <c r="BK30" i="78"/>
  <c r="BK67" i="78" s="1"/>
  <c r="BK104" i="78" s="1"/>
  <c r="BK29" i="78"/>
  <c r="BK66" i="78" s="1"/>
  <c r="BK103" i="78" s="1"/>
  <c r="BK28" i="78"/>
  <c r="BK65" i="78" s="1"/>
  <c r="BK102" i="78" s="1"/>
  <c r="BK27" i="78"/>
  <c r="BK64" i="78" s="1"/>
  <c r="BK101" i="78" s="1"/>
  <c r="BK26" i="78"/>
  <c r="BK63" i="78" s="1"/>
  <c r="BK100" i="78" s="1"/>
  <c r="BK25" i="78"/>
  <c r="BK24" i="78"/>
  <c r="BK61" i="78" s="1"/>
  <c r="BK98" i="78" s="1"/>
  <c r="BK23" i="78"/>
  <c r="BK60" i="78" s="1"/>
  <c r="BK97" i="78" s="1"/>
  <c r="BK22" i="78"/>
  <c r="BK21" i="78"/>
  <c r="BK58" i="78" s="1"/>
  <c r="BK95" i="78" s="1"/>
  <c r="BK20" i="78"/>
  <c r="BK57" i="78" s="1"/>
  <c r="BK94" i="78" s="1"/>
  <c r="BK19" i="78"/>
  <c r="BK56" i="78" s="1"/>
  <c r="BK93" i="78" s="1"/>
  <c r="BK18" i="78"/>
  <c r="BK55" i="78" s="1"/>
  <c r="BK92" i="78" s="1"/>
  <c r="BK17" i="78"/>
  <c r="BK16" i="78"/>
  <c r="BK53" i="78" s="1"/>
  <c r="BK90" i="78" s="1"/>
  <c r="BK15" i="78"/>
  <c r="BK52" i="78" s="1"/>
  <c r="BK89" i="78" s="1"/>
  <c r="BK14" i="78"/>
  <c r="BK51" i="78" s="1"/>
  <c r="BK88" i="78" s="1"/>
  <c r="BK13" i="78"/>
  <c r="BK50" i="78" s="1"/>
  <c r="BK87" i="78" s="1"/>
  <c r="BK12" i="78"/>
  <c r="BK49" i="78" s="1"/>
  <c r="BK86" i="78" s="1"/>
  <c r="BK11" i="78"/>
  <c r="BK48" i="78" s="1"/>
  <c r="BK85" i="78" s="1"/>
  <c r="BK10" i="78"/>
  <c r="BK47" i="78" s="1"/>
  <c r="BK84" i="78" s="1"/>
  <c r="BK9" i="78"/>
  <c r="BK8" i="78"/>
  <c r="BK45" i="78" s="1"/>
  <c r="BK82" i="78" s="1"/>
  <c r="BB43" i="78"/>
  <c r="BB80" i="78" s="1"/>
  <c r="BA43" i="78"/>
  <c r="BA80" i="78" s="1"/>
  <c r="AZ43" i="78"/>
  <c r="AZ80" i="78" s="1"/>
  <c r="BB42" i="78"/>
  <c r="BB79" i="78" s="1"/>
  <c r="BA42" i="78"/>
  <c r="BA79" i="78" s="1"/>
  <c r="AZ42" i="78"/>
  <c r="AZ79" i="78" s="1"/>
  <c r="AZ32" i="78"/>
  <c r="AZ69" i="78" s="1"/>
  <c r="AZ106" i="78" s="1"/>
  <c r="AZ31" i="78"/>
  <c r="AZ68" i="78" s="1"/>
  <c r="AZ105" i="78" s="1"/>
  <c r="AZ30" i="78"/>
  <c r="AZ67" i="78" s="1"/>
  <c r="AZ104" i="78" s="1"/>
  <c r="AZ29" i="78"/>
  <c r="AZ66" i="78" s="1"/>
  <c r="AZ103" i="78" s="1"/>
  <c r="AZ28" i="78"/>
  <c r="AZ27" i="78"/>
  <c r="AZ64" i="78" s="1"/>
  <c r="AZ101" i="78" s="1"/>
  <c r="AZ26" i="78"/>
  <c r="AZ63" i="78" s="1"/>
  <c r="AZ100" i="78" s="1"/>
  <c r="AZ25" i="78"/>
  <c r="AZ24" i="78"/>
  <c r="AZ61" i="78" s="1"/>
  <c r="AZ98" i="78" s="1"/>
  <c r="AZ23" i="78"/>
  <c r="AZ60" i="78" s="1"/>
  <c r="AZ97" i="78" s="1"/>
  <c r="AZ22" i="78"/>
  <c r="AZ59" i="78" s="1"/>
  <c r="AZ96" i="78" s="1"/>
  <c r="AZ21" i="78"/>
  <c r="AZ58" i="78" s="1"/>
  <c r="AZ95" i="78" s="1"/>
  <c r="AZ20" i="78"/>
  <c r="AZ19" i="78"/>
  <c r="AZ56" i="78" s="1"/>
  <c r="AZ93" i="78" s="1"/>
  <c r="AZ18" i="78"/>
  <c r="AZ55" i="78" s="1"/>
  <c r="AZ92" i="78" s="1"/>
  <c r="AZ17" i="78"/>
  <c r="AZ16" i="78"/>
  <c r="AZ53" i="78" s="1"/>
  <c r="AZ90" i="78" s="1"/>
  <c r="AZ15" i="78"/>
  <c r="AZ52" i="78" s="1"/>
  <c r="AZ89" i="78" s="1"/>
  <c r="AZ14" i="78"/>
  <c r="AZ51" i="78" s="1"/>
  <c r="AZ88" i="78" s="1"/>
  <c r="AZ13" i="78"/>
  <c r="AZ50" i="78" s="1"/>
  <c r="AZ87" i="78" s="1"/>
  <c r="AZ12" i="78"/>
  <c r="AZ11" i="78"/>
  <c r="AZ48" i="78" s="1"/>
  <c r="AZ85" i="78" s="1"/>
  <c r="AZ10" i="78"/>
  <c r="AZ47" i="78" s="1"/>
  <c r="AZ84" i="78" s="1"/>
  <c r="AZ9" i="78"/>
  <c r="AZ8" i="78"/>
  <c r="AZ45" i="78" s="1"/>
  <c r="AZ82" i="78" s="1"/>
  <c r="AQ43" i="78"/>
  <c r="AQ80" i="78" s="1"/>
  <c r="AP43" i="78"/>
  <c r="AP80" i="78" s="1"/>
  <c r="AO43" i="78"/>
  <c r="AO80" i="78" s="1"/>
  <c r="AQ42" i="78"/>
  <c r="AQ79" i="78" s="1"/>
  <c r="AP42" i="78"/>
  <c r="AP79" i="78" s="1"/>
  <c r="AO42" i="78"/>
  <c r="AO79" i="78" s="1"/>
  <c r="AO32" i="78"/>
  <c r="AO69" i="78" s="1"/>
  <c r="AO106" i="78" s="1"/>
  <c r="AO31" i="78"/>
  <c r="AO68" i="78" s="1"/>
  <c r="AO105" i="78" s="1"/>
  <c r="AO30" i="78"/>
  <c r="AO67" i="78" s="1"/>
  <c r="AO104" i="78" s="1"/>
  <c r="AO29" i="78"/>
  <c r="AO66" i="78" s="1"/>
  <c r="AO103" i="78" s="1"/>
  <c r="AP102" i="78"/>
  <c r="AO28" i="78"/>
  <c r="AO27" i="78"/>
  <c r="AO64" i="78" s="1"/>
  <c r="AO101" i="78" s="1"/>
  <c r="AO26" i="78"/>
  <c r="AO63" i="78" s="1"/>
  <c r="AO100" i="78" s="1"/>
  <c r="AO25" i="78"/>
  <c r="AO24" i="78"/>
  <c r="AO61" i="78" s="1"/>
  <c r="AO98" i="78" s="1"/>
  <c r="AO23" i="78"/>
  <c r="AO60" i="78" s="1"/>
  <c r="AO97" i="78" s="1"/>
  <c r="AO22" i="78"/>
  <c r="AO59" i="78" s="1"/>
  <c r="AO96" i="78" s="1"/>
  <c r="AO21" i="78"/>
  <c r="AO58" i="78" s="1"/>
  <c r="AO95" i="78" s="1"/>
  <c r="AO20" i="78"/>
  <c r="AO19" i="78"/>
  <c r="AO56" i="78" s="1"/>
  <c r="AO93" i="78" s="1"/>
  <c r="AO18" i="78"/>
  <c r="AO55" i="78" s="1"/>
  <c r="AO92" i="78" s="1"/>
  <c r="AO17" i="78"/>
  <c r="AO16" i="78"/>
  <c r="AO53" i="78" s="1"/>
  <c r="AO90" i="78" s="1"/>
  <c r="AO15" i="78"/>
  <c r="AO52" i="78" s="1"/>
  <c r="AO89" i="78" s="1"/>
  <c r="AO14" i="78"/>
  <c r="AO51" i="78" s="1"/>
  <c r="AO88" i="78" s="1"/>
  <c r="AO13" i="78"/>
  <c r="AO50" i="78" s="1"/>
  <c r="AO87" i="78" s="1"/>
  <c r="AO12" i="78"/>
  <c r="AO11" i="78"/>
  <c r="AO48" i="78" s="1"/>
  <c r="AO85" i="78" s="1"/>
  <c r="AO10" i="78"/>
  <c r="AO47" i="78" s="1"/>
  <c r="AO84" i="78" s="1"/>
  <c r="AO9" i="78"/>
  <c r="AO8" i="78"/>
  <c r="AO45" i="78" s="1"/>
  <c r="AO82" i="78" s="1"/>
  <c r="AF43" i="78"/>
  <c r="AF80" i="78" s="1"/>
  <c r="AE43" i="78"/>
  <c r="AE80" i="78" s="1"/>
  <c r="AD43" i="78"/>
  <c r="AD80" i="78" s="1"/>
  <c r="AF42" i="78"/>
  <c r="AF79" i="78" s="1"/>
  <c r="AE42" i="78"/>
  <c r="AE79" i="78" s="1"/>
  <c r="AD42" i="78"/>
  <c r="AD79" i="78" s="1"/>
  <c r="AD32" i="78"/>
  <c r="AD69" i="78" s="1"/>
  <c r="AD106" i="78" s="1"/>
  <c r="AD31" i="78"/>
  <c r="AD30" i="78"/>
  <c r="AD67" i="78" s="1"/>
  <c r="AD104" i="78" s="1"/>
  <c r="AD29" i="78"/>
  <c r="AD66" i="78" s="1"/>
  <c r="AD103" i="78" s="1"/>
  <c r="AD28" i="78"/>
  <c r="AD27" i="78"/>
  <c r="AD64" i="78" s="1"/>
  <c r="AD101" i="78" s="1"/>
  <c r="AD26" i="78"/>
  <c r="AD63" i="78" s="1"/>
  <c r="AD100" i="78" s="1"/>
  <c r="AD25" i="78"/>
  <c r="AD62" i="78" s="1"/>
  <c r="AD99" i="78" s="1"/>
  <c r="AD24" i="78"/>
  <c r="AD61" i="78" s="1"/>
  <c r="AD98" i="78" s="1"/>
  <c r="AD23" i="78"/>
  <c r="AD22" i="78"/>
  <c r="AD59" i="78" s="1"/>
  <c r="AD96" i="78" s="1"/>
  <c r="AD21" i="78"/>
  <c r="AD58" i="78" s="1"/>
  <c r="AD95" i="78" s="1"/>
  <c r="AD20" i="78"/>
  <c r="AD19" i="78"/>
  <c r="AD56" i="78" s="1"/>
  <c r="AD93" i="78" s="1"/>
  <c r="AD18" i="78"/>
  <c r="AD55" i="78" s="1"/>
  <c r="AD92" i="78" s="1"/>
  <c r="AD17" i="78"/>
  <c r="AD54" i="78" s="1"/>
  <c r="AD91" i="78" s="1"/>
  <c r="AD16" i="78"/>
  <c r="AD53" i="78" s="1"/>
  <c r="AD90" i="78" s="1"/>
  <c r="AD15" i="78"/>
  <c r="AD14" i="78"/>
  <c r="AD51" i="78" s="1"/>
  <c r="AD88" i="78" s="1"/>
  <c r="AD13" i="78"/>
  <c r="AD50" i="78" s="1"/>
  <c r="AD87" i="78" s="1"/>
  <c r="AD12" i="78"/>
  <c r="AD11" i="78"/>
  <c r="AD48" i="78" s="1"/>
  <c r="AD85" i="78" s="1"/>
  <c r="AD10" i="78"/>
  <c r="AD47" i="78" s="1"/>
  <c r="AD84" i="78" s="1"/>
  <c r="AD9" i="78"/>
  <c r="AD46" i="78" s="1"/>
  <c r="AD83" i="78" s="1"/>
  <c r="AD8" i="78"/>
  <c r="AD45" i="78" s="1"/>
  <c r="AD82" i="78" s="1"/>
  <c r="I106" i="49"/>
  <c r="I95" i="49"/>
  <c r="I84" i="49"/>
  <c r="I73" i="49"/>
  <c r="I62" i="49"/>
  <c r="I51" i="49"/>
  <c r="A267" i="49"/>
  <c r="G292" i="49"/>
  <c r="D292" i="49"/>
  <c r="F292" i="49" s="1"/>
  <c r="G291" i="49"/>
  <c r="D291" i="49"/>
  <c r="F291" i="49" s="1"/>
  <c r="G290" i="49"/>
  <c r="D290" i="49"/>
  <c r="F290" i="49" s="1"/>
  <c r="G289" i="49"/>
  <c r="D289" i="49"/>
  <c r="F289" i="49" s="1"/>
  <c r="G288" i="49"/>
  <c r="D288" i="49"/>
  <c r="F288" i="49" s="1"/>
  <c r="G287" i="49"/>
  <c r="D287" i="49"/>
  <c r="F287" i="49" s="1"/>
  <c r="G286" i="49"/>
  <c r="D286" i="49"/>
  <c r="F286" i="49" s="1"/>
  <c r="G285" i="49"/>
  <c r="D285" i="49"/>
  <c r="F285" i="49" s="1"/>
  <c r="G284" i="49"/>
  <c r="D284" i="49"/>
  <c r="F284" i="49" s="1"/>
  <c r="G283" i="49"/>
  <c r="D283" i="49"/>
  <c r="F283" i="49" s="1"/>
  <c r="G282" i="49"/>
  <c r="D282" i="49"/>
  <c r="F282" i="49" s="1"/>
  <c r="G281" i="49"/>
  <c r="D281" i="49"/>
  <c r="F281" i="49" s="1"/>
  <c r="G280" i="49"/>
  <c r="D280" i="49"/>
  <c r="F280" i="49" s="1"/>
  <c r="G279" i="49"/>
  <c r="D279" i="49"/>
  <c r="F279" i="49" s="1"/>
  <c r="G278" i="49"/>
  <c r="D278" i="49"/>
  <c r="F278" i="49" s="1"/>
  <c r="G277" i="49"/>
  <c r="D277" i="49"/>
  <c r="F277" i="49" s="1"/>
  <c r="G276" i="49"/>
  <c r="D276" i="49"/>
  <c r="F276" i="49" s="1"/>
  <c r="G275" i="49"/>
  <c r="D275" i="49"/>
  <c r="F275" i="49" s="1"/>
  <c r="G274" i="49"/>
  <c r="D274" i="49"/>
  <c r="F274" i="49" s="1"/>
  <c r="G273" i="49"/>
  <c r="D273" i="49"/>
  <c r="F273" i="49" s="1"/>
  <c r="G272" i="49"/>
  <c r="D272" i="49"/>
  <c r="F272" i="49" s="1"/>
  <c r="G271" i="49"/>
  <c r="D271" i="49"/>
  <c r="F271" i="49" s="1"/>
  <c r="G270" i="49"/>
  <c r="D270" i="49"/>
  <c r="F270" i="49" s="1"/>
  <c r="G269" i="49"/>
  <c r="D269" i="49"/>
  <c r="G268" i="49"/>
  <c r="D268" i="49"/>
  <c r="G245" i="49"/>
  <c r="A238" i="49"/>
  <c r="G263" i="49"/>
  <c r="D263" i="49"/>
  <c r="F263" i="49" s="1"/>
  <c r="G262" i="49"/>
  <c r="D262" i="49"/>
  <c r="F262" i="49" s="1"/>
  <c r="G261" i="49"/>
  <c r="D261" i="49"/>
  <c r="F261" i="49" s="1"/>
  <c r="G260" i="49"/>
  <c r="D260" i="49"/>
  <c r="F260" i="49" s="1"/>
  <c r="G259" i="49"/>
  <c r="D259" i="49"/>
  <c r="F259" i="49" s="1"/>
  <c r="G258" i="49"/>
  <c r="D258" i="49"/>
  <c r="F258" i="49" s="1"/>
  <c r="G257" i="49"/>
  <c r="D257" i="49"/>
  <c r="F257" i="49" s="1"/>
  <c r="G256" i="49"/>
  <c r="D256" i="49"/>
  <c r="F256" i="49" s="1"/>
  <c r="G255" i="49"/>
  <c r="D255" i="49"/>
  <c r="F255" i="49" s="1"/>
  <c r="G254" i="49"/>
  <c r="D254" i="49"/>
  <c r="F254" i="49" s="1"/>
  <c r="G253" i="49"/>
  <c r="D253" i="49"/>
  <c r="F253" i="49" s="1"/>
  <c r="G252" i="49"/>
  <c r="D252" i="49"/>
  <c r="F252" i="49" s="1"/>
  <c r="G251" i="49"/>
  <c r="D251" i="49"/>
  <c r="F251" i="49" s="1"/>
  <c r="G250" i="49"/>
  <c r="D250" i="49"/>
  <c r="F250" i="49" s="1"/>
  <c r="G249" i="49"/>
  <c r="D249" i="49"/>
  <c r="F249" i="49" s="1"/>
  <c r="G248" i="49"/>
  <c r="D248" i="49"/>
  <c r="F248" i="49" s="1"/>
  <c r="G247" i="49"/>
  <c r="D247" i="49"/>
  <c r="F247" i="49" s="1"/>
  <c r="G246" i="49"/>
  <c r="D246" i="49"/>
  <c r="F246" i="49" s="1"/>
  <c r="D245" i="49"/>
  <c r="F245" i="49" s="1"/>
  <c r="G244" i="49"/>
  <c r="D244" i="49"/>
  <c r="F244" i="49" s="1"/>
  <c r="G243" i="49"/>
  <c r="D243" i="49"/>
  <c r="F243" i="49" s="1"/>
  <c r="G242" i="49"/>
  <c r="D242" i="49"/>
  <c r="F242" i="49" s="1"/>
  <c r="G241" i="49"/>
  <c r="D241" i="49"/>
  <c r="F241" i="49" s="1"/>
  <c r="G240" i="49"/>
  <c r="D240" i="49"/>
  <c r="F240" i="49" s="1"/>
  <c r="G239" i="49"/>
  <c r="D239" i="49"/>
  <c r="A209" i="49"/>
  <c r="G234" i="49"/>
  <c r="D234" i="49"/>
  <c r="F234" i="49" s="1"/>
  <c r="G233" i="49"/>
  <c r="D233" i="49"/>
  <c r="F233" i="49" s="1"/>
  <c r="G232" i="49"/>
  <c r="D232" i="49"/>
  <c r="F232" i="49" s="1"/>
  <c r="G231" i="49"/>
  <c r="D231" i="49"/>
  <c r="F231" i="49" s="1"/>
  <c r="G230" i="49"/>
  <c r="D230" i="49"/>
  <c r="F230" i="49" s="1"/>
  <c r="G229" i="49"/>
  <c r="D229" i="49"/>
  <c r="F229" i="49" s="1"/>
  <c r="G228" i="49"/>
  <c r="D228" i="49"/>
  <c r="F228" i="49" s="1"/>
  <c r="G227" i="49"/>
  <c r="D227" i="49"/>
  <c r="F227" i="49" s="1"/>
  <c r="G226" i="49"/>
  <c r="D226" i="49"/>
  <c r="F226" i="49" s="1"/>
  <c r="G225" i="49"/>
  <c r="D225" i="49"/>
  <c r="F225" i="49" s="1"/>
  <c r="G224" i="49"/>
  <c r="D224" i="49"/>
  <c r="F224" i="49" s="1"/>
  <c r="G223" i="49"/>
  <c r="D223" i="49"/>
  <c r="F223" i="49" s="1"/>
  <c r="G222" i="49"/>
  <c r="D222" i="49"/>
  <c r="F222" i="49" s="1"/>
  <c r="G221" i="49"/>
  <c r="D221" i="49"/>
  <c r="F221" i="49" s="1"/>
  <c r="G220" i="49"/>
  <c r="D220" i="49"/>
  <c r="F220" i="49" s="1"/>
  <c r="G219" i="49"/>
  <c r="D219" i="49"/>
  <c r="F219" i="49" s="1"/>
  <c r="G218" i="49"/>
  <c r="D218" i="49"/>
  <c r="F218" i="49" s="1"/>
  <c r="G217" i="49"/>
  <c r="D217" i="49"/>
  <c r="F217" i="49" s="1"/>
  <c r="G216" i="49"/>
  <c r="D216" i="49"/>
  <c r="F216" i="49" s="1"/>
  <c r="G215" i="49"/>
  <c r="D215" i="49"/>
  <c r="F215" i="49" s="1"/>
  <c r="G214" i="49"/>
  <c r="D214" i="49"/>
  <c r="F214" i="49" s="1"/>
  <c r="G213" i="49"/>
  <c r="D213" i="49"/>
  <c r="F213" i="49" s="1"/>
  <c r="G212" i="49"/>
  <c r="D212" i="49"/>
  <c r="F212" i="49" s="1"/>
  <c r="G211" i="49"/>
  <c r="D211" i="49"/>
  <c r="G210" i="49"/>
  <c r="D210" i="49"/>
  <c r="A180" i="49"/>
  <c r="G205" i="49"/>
  <c r="D205" i="49"/>
  <c r="F205" i="49" s="1"/>
  <c r="G204" i="49"/>
  <c r="D204" i="49"/>
  <c r="F204" i="49" s="1"/>
  <c r="G203" i="49"/>
  <c r="D203" i="49"/>
  <c r="F203" i="49" s="1"/>
  <c r="G202" i="49"/>
  <c r="D202" i="49"/>
  <c r="F202" i="49" s="1"/>
  <c r="G201" i="49"/>
  <c r="D201" i="49"/>
  <c r="F201" i="49" s="1"/>
  <c r="G200" i="49"/>
  <c r="D200" i="49"/>
  <c r="F200" i="49" s="1"/>
  <c r="G199" i="49"/>
  <c r="D199" i="49"/>
  <c r="F199" i="49" s="1"/>
  <c r="G198" i="49"/>
  <c r="D198" i="49"/>
  <c r="F198" i="49" s="1"/>
  <c r="G197" i="49"/>
  <c r="D197" i="49"/>
  <c r="F197" i="49" s="1"/>
  <c r="G196" i="49"/>
  <c r="D196" i="49"/>
  <c r="F196" i="49" s="1"/>
  <c r="G195" i="49"/>
  <c r="D195" i="49"/>
  <c r="F195" i="49" s="1"/>
  <c r="G194" i="49"/>
  <c r="D194" i="49"/>
  <c r="F194" i="49" s="1"/>
  <c r="G193" i="49"/>
  <c r="D193" i="49"/>
  <c r="F193" i="49" s="1"/>
  <c r="G192" i="49"/>
  <c r="D192" i="49"/>
  <c r="F192" i="49" s="1"/>
  <c r="G191" i="49"/>
  <c r="D191" i="49"/>
  <c r="F191" i="49" s="1"/>
  <c r="G190" i="49"/>
  <c r="D190" i="49"/>
  <c r="F190" i="49" s="1"/>
  <c r="G189" i="49"/>
  <c r="D189" i="49"/>
  <c r="F189" i="49" s="1"/>
  <c r="G188" i="49"/>
  <c r="D188" i="49"/>
  <c r="F188" i="49" s="1"/>
  <c r="G187" i="49"/>
  <c r="D187" i="49"/>
  <c r="F187" i="49" s="1"/>
  <c r="G186" i="49"/>
  <c r="D186" i="49"/>
  <c r="F186" i="49" s="1"/>
  <c r="G185" i="49"/>
  <c r="D185" i="49"/>
  <c r="F185" i="49" s="1"/>
  <c r="G184" i="49"/>
  <c r="D184" i="49"/>
  <c r="F184" i="49" s="1"/>
  <c r="G183" i="49"/>
  <c r="D183" i="49"/>
  <c r="F183" i="49" s="1"/>
  <c r="G182" i="49"/>
  <c r="D182" i="49"/>
  <c r="G181" i="49"/>
  <c r="D181" i="49"/>
  <c r="G152" i="49"/>
  <c r="D152" i="49"/>
  <c r="A151" i="49"/>
  <c r="G176" i="49"/>
  <c r="D176" i="49"/>
  <c r="F176" i="49" s="1"/>
  <c r="G175" i="49"/>
  <c r="D175" i="49"/>
  <c r="F175" i="49" s="1"/>
  <c r="G174" i="49"/>
  <c r="D174" i="49"/>
  <c r="F174" i="49" s="1"/>
  <c r="G173" i="49"/>
  <c r="D173" i="49"/>
  <c r="F173" i="49" s="1"/>
  <c r="G172" i="49"/>
  <c r="D172" i="49"/>
  <c r="F172" i="49" s="1"/>
  <c r="G171" i="49"/>
  <c r="D171" i="49"/>
  <c r="F171" i="49" s="1"/>
  <c r="G170" i="49"/>
  <c r="D170" i="49"/>
  <c r="F170" i="49" s="1"/>
  <c r="G169" i="49"/>
  <c r="D169" i="49"/>
  <c r="F169" i="49" s="1"/>
  <c r="G168" i="49"/>
  <c r="D168" i="49"/>
  <c r="F168" i="49" s="1"/>
  <c r="G167" i="49"/>
  <c r="D167" i="49"/>
  <c r="F167" i="49" s="1"/>
  <c r="G166" i="49"/>
  <c r="D166" i="49"/>
  <c r="F166" i="49" s="1"/>
  <c r="G165" i="49"/>
  <c r="D165" i="49"/>
  <c r="F165" i="49" s="1"/>
  <c r="G164" i="49"/>
  <c r="D164" i="49"/>
  <c r="F164" i="49" s="1"/>
  <c r="G163" i="49"/>
  <c r="D163" i="49"/>
  <c r="F163" i="49" s="1"/>
  <c r="G162" i="49"/>
  <c r="D162" i="49"/>
  <c r="F162" i="49" s="1"/>
  <c r="G161" i="49"/>
  <c r="D161" i="49"/>
  <c r="F161" i="49" s="1"/>
  <c r="G160" i="49"/>
  <c r="D160" i="49"/>
  <c r="F160" i="49" s="1"/>
  <c r="G159" i="49"/>
  <c r="D159" i="49"/>
  <c r="F159" i="49" s="1"/>
  <c r="G158" i="49"/>
  <c r="D158" i="49"/>
  <c r="F158" i="49" s="1"/>
  <c r="G157" i="49"/>
  <c r="D157" i="49"/>
  <c r="F157" i="49" s="1"/>
  <c r="G156" i="49"/>
  <c r="D156" i="49"/>
  <c r="F156" i="49" s="1"/>
  <c r="G155" i="49"/>
  <c r="D155" i="49"/>
  <c r="F155" i="49" s="1"/>
  <c r="G154" i="49"/>
  <c r="D154" i="49"/>
  <c r="F154" i="49" s="1"/>
  <c r="G153" i="49"/>
  <c r="D153" i="49"/>
  <c r="S9" i="78"/>
  <c r="S46" i="78" s="1"/>
  <c r="S83" i="78" s="1"/>
  <c r="S10" i="78"/>
  <c r="S47" i="78" s="1"/>
  <c r="S84" i="78" s="1"/>
  <c r="S11" i="78"/>
  <c r="S48" i="78" s="1"/>
  <c r="S85" i="78" s="1"/>
  <c r="S12" i="78"/>
  <c r="S49" i="78" s="1"/>
  <c r="S86" i="78" s="1"/>
  <c r="S13" i="78"/>
  <c r="S50" i="78" s="1"/>
  <c r="S87" i="78" s="1"/>
  <c r="S14" i="78"/>
  <c r="S51" i="78" s="1"/>
  <c r="S88" i="78" s="1"/>
  <c r="S15" i="78"/>
  <c r="S52" i="78" s="1"/>
  <c r="S89" i="78" s="1"/>
  <c r="S16" i="78"/>
  <c r="S53" i="78" s="1"/>
  <c r="S90" i="78" s="1"/>
  <c r="S17" i="78"/>
  <c r="S54" i="78" s="1"/>
  <c r="S91" i="78" s="1"/>
  <c r="S18" i="78"/>
  <c r="S55" i="78" s="1"/>
  <c r="S92" i="78" s="1"/>
  <c r="S19" i="78"/>
  <c r="S56" i="78" s="1"/>
  <c r="S93" i="78" s="1"/>
  <c r="S20" i="78"/>
  <c r="S57" i="78" s="1"/>
  <c r="S94" i="78" s="1"/>
  <c r="S21" i="78"/>
  <c r="S58" i="78" s="1"/>
  <c r="S95" i="78" s="1"/>
  <c r="S22" i="78"/>
  <c r="S59" i="78" s="1"/>
  <c r="S96" i="78" s="1"/>
  <c r="S23" i="78"/>
  <c r="S60" i="78" s="1"/>
  <c r="S97" i="78" s="1"/>
  <c r="S24" i="78"/>
  <c r="S61" i="78" s="1"/>
  <c r="S98" i="78" s="1"/>
  <c r="S25" i="78"/>
  <c r="S62" i="78" s="1"/>
  <c r="S99" i="78" s="1"/>
  <c r="S26" i="78"/>
  <c r="S63" i="78" s="1"/>
  <c r="S100" i="78" s="1"/>
  <c r="S27" i="78"/>
  <c r="S64" i="78" s="1"/>
  <c r="S101" i="78" s="1"/>
  <c r="S28" i="78"/>
  <c r="S65" i="78" s="1"/>
  <c r="S102" i="78" s="1"/>
  <c r="S29" i="78"/>
  <c r="S66" i="78" s="1"/>
  <c r="S103" i="78" s="1"/>
  <c r="S30" i="78"/>
  <c r="S67" i="78" s="1"/>
  <c r="S104" i="78" s="1"/>
  <c r="S31" i="78"/>
  <c r="S68" i="78" s="1"/>
  <c r="S105" i="78" s="1"/>
  <c r="S32" i="78"/>
  <c r="S69" i="78" s="1"/>
  <c r="S106" i="78" s="1"/>
  <c r="T8" i="78"/>
  <c r="S8" i="78"/>
  <c r="S45" i="78" s="1"/>
  <c r="S82" i="78" s="1"/>
  <c r="F120" i="78"/>
  <c r="F121" i="78"/>
  <c r="F122" i="78"/>
  <c r="F123" i="78"/>
  <c r="F124" i="78"/>
  <c r="F125" i="78"/>
  <c r="F126" i="78"/>
  <c r="F127" i="78"/>
  <c r="F128" i="78"/>
  <c r="F129" i="78"/>
  <c r="F130" i="78"/>
  <c r="F131" i="78"/>
  <c r="F132" i="78"/>
  <c r="F133" i="78"/>
  <c r="F134" i="78"/>
  <c r="F135" i="78"/>
  <c r="F136" i="78"/>
  <c r="F137" i="78"/>
  <c r="F138" i="78"/>
  <c r="F139" i="78"/>
  <c r="F140" i="78"/>
  <c r="F141" i="78"/>
  <c r="F142" i="78"/>
  <c r="F143" i="78"/>
  <c r="F119" i="78"/>
  <c r="F117" i="78"/>
  <c r="H29" i="78"/>
  <c r="H66" i="78" s="1"/>
  <c r="H103" i="78" s="1"/>
  <c r="I8" i="78"/>
  <c r="H45" i="78"/>
  <c r="H82" i="78" s="1"/>
  <c r="H8" i="71"/>
  <c r="H9" i="71"/>
  <c r="H10" i="71"/>
  <c r="H11" i="71"/>
  <c r="H12" i="71"/>
  <c r="H13" i="71"/>
  <c r="H14" i="71"/>
  <c r="H15" i="71"/>
  <c r="H16" i="71"/>
  <c r="H17" i="71"/>
  <c r="H18" i="71"/>
  <c r="H19" i="71"/>
  <c r="H20" i="71"/>
  <c r="H21" i="71"/>
  <c r="H22" i="71"/>
  <c r="H23" i="71"/>
  <c r="H24" i="71"/>
  <c r="H25" i="71"/>
  <c r="H26" i="71"/>
  <c r="H27" i="71"/>
  <c r="H28" i="71"/>
  <c r="H29" i="71"/>
  <c r="H30" i="71"/>
  <c r="H31" i="71"/>
  <c r="H32" i="71"/>
  <c r="H9" i="78"/>
  <c r="H46" i="78" s="1"/>
  <c r="H83" i="78" s="1"/>
  <c r="H10" i="78"/>
  <c r="H47" i="78" s="1"/>
  <c r="H84" i="78" s="1"/>
  <c r="H11" i="78"/>
  <c r="H48" i="78" s="1"/>
  <c r="H85" i="78" s="1"/>
  <c r="H12" i="78"/>
  <c r="H49" i="78" s="1"/>
  <c r="H86" i="78" s="1"/>
  <c r="H13" i="78"/>
  <c r="H50" i="78" s="1"/>
  <c r="H87" i="78" s="1"/>
  <c r="H14" i="78"/>
  <c r="H51" i="78" s="1"/>
  <c r="H88" i="78" s="1"/>
  <c r="H15" i="78"/>
  <c r="H52" i="78" s="1"/>
  <c r="H89" i="78" s="1"/>
  <c r="H16" i="78"/>
  <c r="H53" i="78" s="1"/>
  <c r="H90" i="78" s="1"/>
  <c r="H17" i="78"/>
  <c r="H54" i="78" s="1"/>
  <c r="H91" i="78" s="1"/>
  <c r="H18" i="78"/>
  <c r="H55" i="78" s="1"/>
  <c r="H92" i="78" s="1"/>
  <c r="H19" i="78"/>
  <c r="H56" i="78" s="1"/>
  <c r="H93" i="78" s="1"/>
  <c r="H20" i="78"/>
  <c r="H57" i="78" s="1"/>
  <c r="H94" i="78" s="1"/>
  <c r="H21" i="78"/>
  <c r="H58" i="78" s="1"/>
  <c r="H95" i="78" s="1"/>
  <c r="H22" i="78"/>
  <c r="H59" i="78" s="1"/>
  <c r="H96" i="78" s="1"/>
  <c r="H23" i="78"/>
  <c r="H60" i="78" s="1"/>
  <c r="H97" i="78" s="1"/>
  <c r="H24" i="78"/>
  <c r="H61" i="78" s="1"/>
  <c r="H98" i="78" s="1"/>
  <c r="H25" i="78"/>
  <c r="H62" i="78" s="1"/>
  <c r="H99" i="78" s="1"/>
  <c r="H26" i="78"/>
  <c r="H63" i="78" s="1"/>
  <c r="H100" i="78" s="1"/>
  <c r="H27" i="78"/>
  <c r="H64" i="78" s="1"/>
  <c r="H101" i="78" s="1"/>
  <c r="H28" i="78"/>
  <c r="H65" i="78" s="1"/>
  <c r="H102" i="78" s="1"/>
  <c r="H30" i="78"/>
  <c r="H67" i="78" s="1"/>
  <c r="H104" i="78" s="1"/>
  <c r="H31" i="78"/>
  <c r="H68" i="78" s="1"/>
  <c r="H105" i="78" s="1"/>
  <c r="H32" i="78"/>
  <c r="H69" i="78" s="1"/>
  <c r="H106" i="78" s="1"/>
  <c r="H4" i="78"/>
  <c r="BV41" i="78" s="1"/>
  <c r="M5" i="76"/>
  <c r="M9" i="76"/>
  <c r="M15" i="76"/>
  <c r="F120" i="71"/>
  <c r="N83" i="75" s="1"/>
  <c r="F121" i="71"/>
  <c r="N84" i="75" s="1"/>
  <c r="F122" i="71"/>
  <c r="N85" i="75" s="1"/>
  <c r="F123" i="71"/>
  <c r="N86" i="75" s="1"/>
  <c r="F124" i="71"/>
  <c r="N87" i="75" s="1"/>
  <c r="F125" i="71"/>
  <c r="N88" i="75" s="1"/>
  <c r="F126" i="71"/>
  <c r="N89" i="75" s="1"/>
  <c r="F127" i="71"/>
  <c r="N90" i="75" s="1"/>
  <c r="F128" i="71"/>
  <c r="N91" i="75" s="1"/>
  <c r="F129" i="71"/>
  <c r="N92" i="75" s="1"/>
  <c r="F130" i="71"/>
  <c r="N93" i="75" s="1"/>
  <c r="F131" i="71"/>
  <c r="N94" i="75" s="1"/>
  <c r="F132" i="71"/>
  <c r="N95" i="75" s="1"/>
  <c r="F133" i="71"/>
  <c r="N96" i="75" s="1"/>
  <c r="F134" i="71"/>
  <c r="N97" i="75" s="1"/>
  <c r="F135" i="71"/>
  <c r="N98" i="75" s="1"/>
  <c r="F136" i="71"/>
  <c r="N99" i="75" s="1"/>
  <c r="F137" i="71"/>
  <c r="N100" i="75" s="1"/>
  <c r="F138" i="71"/>
  <c r="N101" i="75" s="1"/>
  <c r="F139" i="71"/>
  <c r="N102" i="75" s="1"/>
  <c r="F140" i="71"/>
  <c r="N103" i="75" s="1"/>
  <c r="F141" i="71"/>
  <c r="N104" i="75" s="1"/>
  <c r="F142" i="71"/>
  <c r="N105" i="75" s="1"/>
  <c r="F143" i="71"/>
  <c r="N106" i="75" s="1"/>
  <c r="F119" i="71"/>
  <c r="N82" i="75" s="1"/>
  <c r="F117" i="71"/>
  <c r="F83" i="71"/>
  <c r="F84" i="71"/>
  <c r="F85" i="71"/>
  <c r="F86" i="71"/>
  <c r="F87" i="71"/>
  <c r="F88" i="71"/>
  <c r="F89" i="71"/>
  <c r="F90" i="71"/>
  <c r="F91" i="71"/>
  <c r="F92" i="71"/>
  <c r="F93" i="71"/>
  <c r="F94" i="71"/>
  <c r="F95" i="71"/>
  <c r="F96" i="71"/>
  <c r="F97" i="71"/>
  <c r="F98" i="71"/>
  <c r="F99" i="71"/>
  <c r="F100" i="71"/>
  <c r="F101" i="71"/>
  <c r="F102" i="71"/>
  <c r="F103" i="71"/>
  <c r="F104" i="71"/>
  <c r="F105" i="71"/>
  <c r="F106" i="71"/>
  <c r="F82" i="71"/>
  <c r="F80" i="71"/>
  <c r="D207" i="49" l="1"/>
  <c r="D236" i="49"/>
  <c r="D294" i="49"/>
  <c r="D178" i="49"/>
  <c r="D265" i="49"/>
  <c r="AE35" i="78"/>
  <c r="AP82" i="78"/>
  <c r="AP35" i="78"/>
  <c r="I45" i="78"/>
  <c r="BA45" i="78"/>
  <c r="BA35" i="78"/>
  <c r="BL35" i="78"/>
  <c r="T82" i="78"/>
  <c r="BW82" i="78"/>
  <c r="BW35" i="78"/>
  <c r="CH82" i="78"/>
  <c r="CH35" i="78"/>
  <c r="CS45" i="78"/>
  <c r="CS35" i="78"/>
  <c r="F268" i="49"/>
  <c r="L107" i="49" a="1"/>
  <c r="F210" i="49"/>
  <c r="L85" i="49" a="1"/>
  <c r="L63" i="49" a="1"/>
  <c r="F239" i="49"/>
  <c r="F265" i="49" s="1"/>
  <c r="L96" i="49" a="1"/>
  <c r="F181" i="49"/>
  <c r="L74" i="49" a="1"/>
  <c r="AE56" i="78"/>
  <c r="AQ20" i="78"/>
  <c r="AQ57" i="78" s="1"/>
  <c r="AQ94" i="78" s="1"/>
  <c r="AQ28" i="78"/>
  <c r="AQ65" i="78" s="1"/>
  <c r="AQ102" i="78" s="1"/>
  <c r="BA66" i="78"/>
  <c r="AE101" i="78"/>
  <c r="BL96" i="78"/>
  <c r="H61" i="71"/>
  <c r="H98" i="71" s="1"/>
  <c r="P53" i="31"/>
  <c r="H49" i="71"/>
  <c r="H86" i="71" s="1"/>
  <c r="P41" i="31"/>
  <c r="H59" i="71"/>
  <c r="H96" i="71" s="1"/>
  <c r="P51" i="31"/>
  <c r="H47" i="71"/>
  <c r="H84" i="71" s="1"/>
  <c r="P39" i="31"/>
  <c r="H58" i="71"/>
  <c r="H95" i="71" s="1"/>
  <c r="P50" i="31"/>
  <c r="H46" i="71"/>
  <c r="H83" i="71" s="1"/>
  <c r="P38" i="31"/>
  <c r="H69" i="71"/>
  <c r="H106" i="71" s="1"/>
  <c r="P61" i="31"/>
  <c r="H57" i="71"/>
  <c r="H94" i="71" s="1"/>
  <c r="P49" i="31"/>
  <c r="H45" i="71"/>
  <c r="H82" i="71" s="1"/>
  <c r="P37" i="31"/>
  <c r="H48" i="71"/>
  <c r="H85" i="71" s="1"/>
  <c r="P40" i="31"/>
  <c r="H68" i="71"/>
  <c r="H105" i="71" s="1"/>
  <c r="P60" i="31"/>
  <c r="H56" i="71"/>
  <c r="H93" i="71" s="1"/>
  <c r="P48" i="31"/>
  <c r="H67" i="71"/>
  <c r="H104" i="71" s="1"/>
  <c r="P59" i="31"/>
  <c r="H55" i="71"/>
  <c r="H92" i="71" s="1"/>
  <c r="P47" i="31"/>
  <c r="H66" i="71"/>
  <c r="H103" i="71" s="1"/>
  <c r="P58" i="31"/>
  <c r="H54" i="71"/>
  <c r="H91" i="71" s="1"/>
  <c r="P46" i="31"/>
  <c r="H60" i="71"/>
  <c r="H97" i="71" s="1"/>
  <c r="P52" i="31"/>
  <c r="H65" i="71"/>
  <c r="H102" i="71" s="1"/>
  <c r="P57" i="31"/>
  <c r="H53" i="71"/>
  <c r="H90" i="71" s="1"/>
  <c r="P45" i="31"/>
  <c r="H64" i="71"/>
  <c r="H101" i="71" s="1"/>
  <c r="P56" i="31"/>
  <c r="H52" i="71"/>
  <c r="H89" i="71" s="1"/>
  <c r="P44" i="31"/>
  <c r="H63" i="71"/>
  <c r="H100" i="71" s="1"/>
  <c r="P55" i="31"/>
  <c r="H51" i="71"/>
  <c r="H88" i="71" s="1"/>
  <c r="P43" i="31"/>
  <c r="H62" i="71"/>
  <c r="H99" i="71" s="1"/>
  <c r="P54" i="31"/>
  <c r="H50" i="71"/>
  <c r="H87" i="71" s="1"/>
  <c r="P42" i="31"/>
  <c r="M26" i="76"/>
  <c r="CH84" i="78"/>
  <c r="CR45" i="78"/>
  <c r="CR82" i="78" s="1"/>
  <c r="BV78" i="78"/>
  <c r="AQ16" i="78"/>
  <c r="AQ53" i="78" s="1"/>
  <c r="AQ90" i="78" s="1"/>
  <c r="AF26" i="78"/>
  <c r="AF63" i="78" s="1"/>
  <c r="AF100" i="78" s="1"/>
  <c r="CI31" i="78"/>
  <c r="CI68" i="78" s="1"/>
  <c r="CI105" i="78" s="1"/>
  <c r="CT16" i="78"/>
  <c r="CT53" i="78" s="1"/>
  <c r="CT90" i="78" s="1"/>
  <c r="AF9" i="78"/>
  <c r="AF46" i="78" s="1"/>
  <c r="AF83" i="78" s="1"/>
  <c r="BX13" i="78"/>
  <c r="BX50" i="78" s="1"/>
  <c r="BX87" i="78" s="1"/>
  <c r="AZ78" i="78"/>
  <c r="CR63" i="78"/>
  <c r="CR100" i="78" s="1"/>
  <c r="CT24" i="78"/>
  <c r="CT61" i="78" s="1"/>
  <c r="CT98" i="78" s="1"/>
  <c r="AD41" i="78"/>
  <c r="CI26" i="78"/>
  <c r="CI63" i="78" s="1"/>
  <c r="CI100" i="78" s="1"/>
  <c r="CG41" i="78"/>
  <c r="CG78" i="78"/>
  <c r="BK41" i="78"/>
  <c r="CI21" i="78"/>
  <c r="CI58" i="78" s="1"/>
  <c r="CI95" i="78" s="1"/>
  <c r="BX10" i="78"/>
  <c r="BX47" i="78" s="1"/>
  <c r="BX84" i="78" s="1"/>
  <c r="AZ41" i="78"/>
  <c r="BK78" i="78"/>
  <c r="CG54" i="78"/>
  <c r="CG91" i="78" s="1"/>
  <c r="CR78" i="78"/>
  <c r="BB31" i="78"/>
  <c r="BB68" i="78" s="1"/>
  <c r="BB105" i="78" s="1"/>
  <c r="CR41" i="78"/>
  <c r="AD78" i="78"/>
  <c r="AO41" i="78"/>
  <c r="AO78" i="78"/>
  <c r="BX31" i="78"/>
  <c r="BX68" i="78" s="1"/>
  <c r="BX105" i="78" s="1"/>
  <c r="BX15" i="78"/>
  <c r="BX52" i="78" s="1"/>
  <c r="BX89" i="78" s="1"/>
  <c r="CS66" i="78"/>
  <c r="AP87" i="78"/>
  <c r="CT10" i="78"/>
  <c r="CT47" i="78" s="1"/>
  <c r="CT84" i="78" s="1"/>
  <c r="BA84" i="78"/>
  <c r="BA82" i="78"/>
  <c r="BA63" i="78"/>
  <c r="I82" i="78"/>
  <c r="BA102" i="78"/>
  <c r="CH59" i="78"/>
  <c r="CS49" i="78"/>
  <c r="AP45" i="78"/>
  <c r="CH49" i="78"/>
  <c r="CH92" i="78"/>
  <c r="BW57" i="78"/>
  <c r="BA90" i="78"/>
  <c r="BW83" i="78"/>
  <c r="BW100" i="78"/>
  <c r="CI10" i="78"/>
  <c r="CI47" i="78" s="1"/>
  <c r="CI84" i="78" s="1"/>
  <c r="BA55" i="78"/>
  <c r="T45" i="78"/>
  <c r="AE84" i="78"/>
  <c r="AQ25" i="78"/>
  <c r="AQ62" i="78" s="1"/>
  <c r="AQ99" i="78" s="1"/>
  <c r="BL102" i="78"/>
  <c r="CS105" i="78"/>
  <c r="U8" i="78"/>
  <c r="U45" i="78" s="1"/>
  <c r="U82" i="78" s="1"/>
  <c r="AF10" i="78"/>
  <c r="AF47" i="78" s="1"/>
  <c r="AF84" i="78" s="1"/>
  <c r="BB18" i="78"/>
  <c r="BB55" i="78" s="1"/>
  <c r="BB92" i="78" s="1"/>
  <c r="AP63" i="78"/>
  <c r="BB8" i="78"/>
  <c r="BB45" i="78" s="1"/>
  <c r="BB82" i="78" s="1"/>
  <c r="BL49" i="78"/>
  <c r="CI20" i="78"/>
  <c r="CI57" i="78" s="1"/>
  <c r="CI94" i="78" s="1"/>
  <c r="CS95" i="78"/>
  <c r="AQ26" i="78"/>
  <c r="AQ63" i="78" s="1"/>
  <c r="AQ100" i="78" s="1"/>
  <c r="BB9" i="78"/>
  <c r="BB46" i="78" s="1"/>
  <c r="BB83" i="78" s="1"/>
  <c r="BX19" i="78"/>
  <c r="BX56" i="78" s="1"/>
  <c r="BX93" i="78" s="1"/>
  <c r="CH65" i="78"/>
  <c r="AF18" i="78"/>
  <c r="AF55" i="78" s="1"/>
  <c r="AF92" i="78" s="1"/>
  <c r="CS90" i="78"/>
  <c r="F152" i="49"/>
  <c r="AE63" i="78"/>
  <c r="AE100" i="78"/>
  <c r="AP47" i="78"/>
  <c r="BA86" i="78"/>
  <c r="BL87" i="78"/>
  <c r="BL103" i="78"/>
  <c r="CS53" i="78"/>
  <c r="J8" i="78"/>
  <c r="J45" i="78" s="1"/>
  <c r="J82" i="78" s="1"/>
  <c r="AQ10" i="78"/>
  <c r="AQ47" i="78" s="1"/>
  <c r="AQ84" i="78" s="1"/>
  <c r="BM12" i="78"/>
  <c r="BM49" i="78" s="1"/>
  <c r="BM86" i="78" s="1"/>
  <c r="BW86" i="78"/>
  <c r="BX32" i="78"/>
  <c r="BX69" i="78" s="1"/>
  <c r="BX106" i="78" s="1"/>
  <c r="CI25" i="78"/>
  <c r="CI62" i="78" s="1"/>
  <c r="CI99" i="78" s="1"/>
  <c r="AE92" i="78"/>
  <c r="BB10" i="78"/>
  <c r="BB47" i="78" s="1"/>
  <c r="BB84" i="78" s="1"/>
  <c r="BA94" i="78"/>
  <c r="BW84" i="78"/>
  <c r="CI8" i="78"/>
  <c r="CI45" i="78" s="1"/>
  <c r="CI82" i="78" s="1"/>
  <c r="CT23" i="78"/>
  <c r="CT60" i="78" s="1"/>
  <c r="CT97" i="78" s="1"/>
  <c r="CS98" i="78"/>
  <c r="CS61" i="78"/>
  <c r="AQ18" i="78"/>
  <c r="AQ55" i="78" s="1"/>
  <c r="AQ92" i="78" s="1"/>
  <c r="AQ8" i="78"/>
  <c r="AQ45" i="78" s="1"/>
  <c r="AQ82" i="78" s="1"/>
  <c r="AQ13" i="78"/>
  <c r="AQ50" i="78" s="1"/>
  <c r="AQ87" i="78" s="1"/>
  <c r="AP103" i="78"/>
  <c r="BX16" i="78"/>
  <c r="BX53" i="78" s="1"/>
  <c r="BX90" i="78" s="1"/>
  <c r="BX28" i="78"/>
  <c r="BX65" i="78" s="1"/>
  <c r="BX102" i="78" s="1"/>
  <c r="CI9" i="78"/>
  <c r="CI46" i="78" s="1"/>
  <c r="CI83" i="78" s="1"/>
  <c r="CH105" i="78"/>
  <c r="CT18" i="78"/>
  <c r="CT55" i="78" s="1"/>
  <c r="CT92" i="78" s="1"/>
  <c r="CT31" i="78"/>
  <c r="CT68" i="78" s="1"/>
  <c r="CT105" i="78" s="1"/>
  <c r="AE48" i="78"/>
  <c r="AQ9" i="78"/>
  <c r="AQ46" i="78" s="1"/>
  <c r="AQ83" i="78" s="1"/>
  <c r="AP86" i="78"/>
  <c r="AP92" i="78"/>
  <c r="AQ23" i="78"/>
  <c r="AQ60" i="78" s="1"/>
  <c r="AQ97" i="78" s="1"/>
  <c r="AP60" i="78"/>
  <c r="BA50" i="78"/>
  <c r="BB32" i="78"/>
  <c r="BB69" i="78" s="1"/>
  <c r="BB106" i="78" s="1"/>
  <c r="BL83" i="78"/>
  <c r="BM20" i="78"/>
  <c r="BM57" i="78" s="1"/>
  <c r="BM94" i="78" s="1"/>
  <c r="BL99" i="78"/>
  <c r="BL51" i="78"/>
  <c r="BX12" i="78"/>
  <c r="BX49" i="78" s="1"/>
  <c r="BX86" i="78" s="1"/>
  <c r="BX17" i="78"/>
  <c r="BX54" i="78" s="1"/>
  <c r="BX91" i="78" s="1"/>
  <c r="BX26" i="78"/>
  <c r="BX63" i="78" s="1"/>
  <c r="BX100" i="78" s="1"/>
  <c r="CH88" i="78"/>
  <c r="CH104" i="78"/>
  <c r="CS89" i="78"/>
  <c r="BB24" i="78"/>
  <c r="BB61" i="78" s="1"/>
  <c r="BB98" i="78" s="1"/>
  <c r="BM17" i="78"/>
  <c r="BM54" i="78" s="1"/>
  <c r="BM91" i="78" s="1"/>
  <c r="BL54" i="78"/>
  <c r="BX23" i="78"/>
  <c r="BX60" i="78" s="1"/>
  <c r="BX97" i="78" s="1"/>
  <c r="BW60" i="78"/>
  <c r="BW68" i="78"/>
  <c r="CT17" i="78"/>
  <c r="CT54" i="78" s="1"/>
  <c r="CT91" i="78" s="1"/>
  <c r="AE104" i="78"/>
  <c r="AP105" i="78"/>
  <c r="BB25" i="78"/>
  <c r="BB62" i="78" s="1"/>
  <c r="BB99" i="78" s="1"/>
  <c r="BA68" i="78"/>
  <c r="BA95" i="78"/>
  <c r="BM22" i="78"/>
  <c r="BM59" i="78" s="1"/>
  <c r="BM96" i="78" s="1"/>
  <c r="BX9" i="78"/>
  <c r="BX46" i="78" s="1"/>
  <c r="BX83" i="78" s="1"/>
  <c r="BX18" i="78"/>
  <c r="BX55" i="78" s="1"/>
  <c r="BX92" i="78" s="1"/>
  <c r="BW102" i="78"/>
  <c r="BW89" i="78"/>
  <c r="BW105" i="78"/>
  <c r="CI27" i="78"/>
  <c r="CI64" i="78" s="1"/>
  <c r="CI101" i="78" s="1"/>
  <c r="CS60" i="78"/>
  <c r="CS82" i="78"/>
  <c r="BB16" i="78"/>
  <c r="BB53" i="78" s="1"/>
  <c r="BB90" i="78" s="1"/>
  <c r="AQ17" i="78"/>
  <c r="AQ54" i="78" s="1"/>
  <c r="AQ91" i="78" s="1"/>
  <c r="AP94" i="78"/>
  <c r="BB17" i="78"/>
  <c r="BB54" i="78" s="1"/>
  <c r="BB91" i="78" s="1"/>
  <c r="BB26" i="78"/>
  <c r="BB63" i="78" s="1"/>
  <c r="BB100" i="78" s="1"/>
  <c r="BA60" i="78"/>
  <c r="BM28" i="78"/>
  <c r="BM65" i="78" s="1"/>
  <c r="BM102" i="78" s="1"/>
  <c r="BL57" i="78"/>
  <c r="BX20" i="78"/>
  <c r="BX57" i="78" s="1"/>
  <c r="BX94" i="78" s="1"/>
  <c r="BX25" i="78"/>
  <c r="BX62" i="78" s="1"/>
  <c r="BX99" i="78" s="1"/>
  <c r="BW47" i="78"/>
  <c r="BW55" i="78"/>
  <c r="CI12" i="78"/>
  <c r="CI49" i="78" s="1"/>
  <c r="CI86" i="78" s="1"/>
  <c r="CI28" i="78"/>
  <c r="CI65" i="78" s="1"/>
  <c r="CI102" i="78" s="1"/>
  <c r="AE88" i="78"/>
  <c r="AQ31" i="78"/>
  <c r="AQ68" i="78" s="1"/>
  <c r="AQ105" i="78" s="1"/>
  <c r="CI18" i="78"/>
  <c r="CI55" i="78" s="1"/>
  <c r="CI92" i="78" s="1"/>
  <c r="CH63" i="78"/>
  <c r="AQ12" i="78"/>
  <c r="AQ49" i="78" s="1"/>
  <c r="AQ86" i="78" s="1"/>
  <c r="BA52" i="78"/>
  <c r="BM9" i="78"/>
  <c r="BM46" i="78" s="1"/>
  <c r="BM83" i="78" s="1"/>
  <c r="BM25" i="78"/>
  <c r="BM62" i="78" s="1"/>
  <c r="BM99" i="78" s="1"/>
  <c r="CI19" i="78"/>
  <c r="CI56" i="78" s="1"/>
  <c r="CI93" i="78" s="1"/>
  <c r="CT15" i="78"/>
  <c r="CT52" i="78" s="1"/>
  <c r="CT89" i="78" s="1"/>
  <c r="CT13" i="78"/>
  <c r="CT50" i="78" s="1"/>
  <c r="CT87" i="78" s="1"/>
  <c r="CT21" i="78"/>
  <c r="CT29" i="78"/>
  <c r="CT66" i="78" s="1"/>
  <c r="CT103" i="78" s="1"/>
  <c r="CS65" i="78"/>
  <c r="CT28" i="78"/>
  <c r="CT65" i="78" s="1"/>
  <c r="CT102" i="78" s="1"/>
  <c r="CT12" i="78"/>
  <c r="CT49" i="78" s="1"/>
  <c r="CT86" i="78" s="1"/>
  <c r="CS94" i="78"/>
  <c r="CT32" i="78"/>
  <c r="CT69" i="78" s="1"/>
  <c r="CT106" i="78" s="1"/>
  <c r="CS50" i="78"/>
  <c r="CT20" i="78"/>
  <c r="CT57" i="78" s="1"/>
  <c r="CT94" i="78" s="1"/>
  <c r="CI15" i="78"/>
  <c r="CI52" i="78" s="1"/>
  <c r="CI89" i="78" s="1"/>
  <c r="CI16" i="78"/>
  <c r="CI53" i="78" s="1"/>
  <c r="CI90" i="78" s="1"/>
  <c r="CI24" i="78"/>
  <c r="CI61" i="78" s="1"/>
  <c r="CI98" i="78" s="1"/>
  <c r="CH94" i="78"/>
  <c r="CH68" i="78"/>
  <c r="CH89" i="78"/>
  <c r="CH60" i="78"/>
  <c r="CI23" i="78"/>
  <c r="CI60" i="78" s="1"/>
  <c r="CI97" i="78" s="1"/>
  <c r="CI32" i="78"/>
  <c r="CI69" i="78" s="1"/>
  <c r="CI106" i="78" s="1"/>
  <c r="BW67" i="78"/>
  <c r="BW59" i="78"/>
  <c r="BW51" i="78"/>
  <c r="BM31" i="78"/>
  <c r="BM68" i="78" s="1"/>
  <c r="BM105" i="78" s="1"/>
  <c r="BM14" i="78"/>
  <c r="BM51" i="78" s="1"/>
  <c r="BM88" i="78" s="1"/>
  <c r="BM23" i="78"/>
  <c r="BM60" i="78" s="1"/>
  <c r="BM97" i="78" s="1"/>
  <c r="BL97" i="78"/>
  <c r="BL105" i="78"/>
  <c r="BM15" i="78"/>
  <c r="BM52" i="78" s="1"/>
  <c r="BM89" i="78" s="1"/>
  <c r="BL48" i="78"/>
  <c r="BL52" i="78"/>
  <c r="BA69" i="78"/>
  <c r="BB15" i="78"/>
  <c r="BB52" i="78" s="1"/>
  <c r="BB89" i="78" s="1"/>
  <c r="BB23" i="78"/>
  <c r="BB60" i="78" s="1"/>
  <c r="BB97" i="78" s="1"/>
  <c r="BA61" i="78"/>
  <c r="BB12" i="78"/>
  <c r="BB49" i="78" s="1"/>
  <c r="BB86" i="78" s="1"/>
  <c r="BB20" i="78"/>
  <c r="BB57" i="78" s="1"/>
  <c r="BB94" i="78" s="1"/>
  <c r="BB28" i="78"/>
  <c r="BB65" i="78" s="1"/>
  <c r="BB102" i="78" s="1"/>
  <c r="AQ32" i="78"/>
  <c r="AQ69" i="78" s="1"/>
  <c r="AQ106" i="78" s="1"/>
  <c r="AP90" i="78"/>
  <c r="AP58" i="78"/>
  <c r="AQ29" i="78"/>
  <c r="AQ66" i="78" s="1"/>
  <c r="AQ103" i="78" s="1"/>
  <c r="AP52" i="78"/>
  <c r="AP106" i="78"/>
  <c r="AQ24" i="78"/>
  <c r="AQ61" i="78" s="1"/>
  <c r="AQ98" i="78" s="1"/>
  <c r="AQ21" i="78"/>
  <c r="AQ58" i="78" s="1"/>
  <c r="AQ95" i="78" s="1"/>
  <c r="AP53" i="78"/>
  <c r="AP61" i="78"/>
  <c r="AQ15" i="78"/>
  <c r="AQ52" i="78" s="1"/>
  <c r="AQ89" i="78" s="1"/>
  <c r="AF30" i="78"/>
  <c r="AF67" i="78" s="1"/>
  <c r="AF104" i="78" s="1"/>
  <c r="AF15" i="78"/>
  <c r="AF52" i="78" s="1"/>
  <c r="AF89" i="78" s="1"/>
  <c r="AE52" i="78"/>
  <c r="AE60" i="78"/>
  <c r="AE68" i="78"/>
  <c r="AF23" i="78"/>
  <c r="AF60" i="78" s="1"/>
  <c r="AF97" i="78" s="1"/>
  <c r="AF31" i="78"/>
  <c r="AF68" i="78" s="1"/>
  <c r="AF105" i="78" s="1"/>
  <c r="AF12" i="78"/>
  <c r="AF49" i="78" s="1"/>
  <c r="AF86" i="78" s="1"/>
  <c r="AF20" i="78"/>
  <c r="AF57" i="78" s="1"/>
  <c r="AF94" i="78" s="1"/>
  <c r="AF28" i="78"/>
  <c r="AF65" i="78" s="1"/>
  <c r="AF102" i="78" s="1"/>
  <c r="AE96" i="78"/>
  <c r="AF14" i="78"/>
  <c r="AF51" i="78" s="1"/>
  <c r="AF88" i="78" s="1"/>
  <c r="AF22" i="78"/>
  <c r="AF59" i="78" s="1"/>
  <c r="AF96" i="78" s="1"/>
  <c r="CT19" i="78"/>
  <c r="CT56" i="78" s="1"/>
  <c r="CT93" i="78" s="1"/>
  <c r="CT14" i="78"/>
  <c r="CT51" i="78" s="1"/>
  <c r="CT88" i="78" s="1"/>
  <c r="CS85" i="78"/>
  <c r="CS93" i="78"/>
  <c r="CT9" i="78"/>
  <c r="CT46" i="78" s="1"/>
  <c r="CT83" i="78" s="1"/>
  <c r="CT25" i="78"/>
  <c r="CT62" i="78" s="1"/>
  <c r="CT99" i="78" s="1"/>
  <c r="CS96" i="78"/>
  <c r="CS104" i="78"/>
  <c r="CS51" i="78"/>
  <c r="CR54" i="78"/>
  <c r="CR91" i="78" s="1"/>
  <c r="CS46" i="78"/>
  <c r="CR49" i="78"/>
  <c r="CR86" i="78" s="1"/>
  <c r="CS54" i="78"/>
  <c r="CR57" i="78"/>
  <c r="CR94" i="78" s="1"/>
  <c r="CS62" i="78"/>
  <c r="CR65" i="78"/>
  <c r="CR102" i="78" s="1"/>
  <c r="CT11" i="78"/>
  <c r="CT48" i="78" s="1"/>
  <c r="CT85" i="78" s="1"/>
  <c r="CT27" i="78"/>
  <c r="CT64" i="78" s="1"/>
  <c r="CT101" i="78" s="1"/>
  <c r="CT22" i="78"/>
  <c r="CT59" i="78" s="1"/>
  <c r="CT96" i="78" s="1"/>
  <c r="CT30" i="78"/>
  <c r="CT67" i="78" s="1"/>
  <c r="CT104" i="78" s="1"/>
  <c r="CS101" i="78"/>
  <c r="CH95" i="78"/>
  <c r="CH90" i="78"/>
  <c r="CH98" i="78"/>
  <c r="CH106" i="78"/>
  <c r="CH85" i="78"/>
  <c r="CH93" i="78"/>
  <c r="CG45" i="78"/>
  <c r="CG82" i="78" s="1"/>
  <c r="CH50" i="78"/>
  <c r="CG53" i="78"/>
  <c r="CG90" i="78" s="1"/>
  <c r="CH58" i="78"/>
  <c r="CG61" i="78"/>
  <c r="CG98" i="78" s="1"/>
  <c r="CH66" i="78"/>
  <c r="CG69" i="78"/>
  <c r="CG106" i="78" s="1"/>
  <c r="CI13" i="78"/>
  <c r="CI50" i="78" s="1"/>
  <c r="CI87" i="78" s="1"/>
  <c r="CI29" i="78"/>
  <c r="CI66" i="78" s="1"/>
  <c r="CI103" i="78" s="1"/>
  <c r="CI11" i="78"/>
  <c r="CI48" i="78" s="1"/>
  <c r="CI85" i="78" s="1"/>
  <c r="CI22" i="78"/>
  <c r="CI59" i="78" s="1"/>
  <c r="CI96" i="78" s="1"/>
  <c r="CH45" i="78"/>
  <c r="CG56" i="78"/>
  <c r="CG93" i="78" s="1"/>
  <c r="CG64" i="78"/>
  <c r="CG101" i="78" s="1"/>
  <c r="CI14" i="78"/>
  <c r="CI51" i="78" s="1"/>
  <c r="CI88" i="78" s="1"/>
  <c r="CI30" i="78"/>
  <c r="CI67" i="78" s="1"/>
  <c r="CI104" i="78" s="1"/>
  <c r="CH101" i="78"/>
  <c r="BX21" i="78"/>
  <c r="BX58" i="78" s="1"/>
  <c r="BX95" i="78" s="1"/>
  <c r="BX29" i="78"/>
  <c r="BX66" i="78" s="1"/>
  <c r="BX103" i="78" s="1"/>
  <c r="BX8" i="78"/>
  <c r="BX45" i="78" s="1"/>
  <c r="BX82" i="78" s="1"/>
  <c r="BW87" i="78"/>
  <c r="BW103" i="78"/>
  <c r="BX30" i="78"/>
  <c r="BX67" i="78" s="1"/>
  <c r="BX104" i="78" s="1"/>
  <c r="BW93" i="78"/>
  <c r="BW50" i="78"/>
  <c r="BV53" i="78"/>
  <c r="BV90" i="78" s="1"/>
  <c r="BW58" i="78"/>
  <c r="BV61" i="78"/>
  <c r="BV98" i="78" s="1"/>
  <c r="BV69" i="78"/>
  <c r="BV106" i="78" s="1"/>
  <c r="BX11" i="78"/>
  <c r="BX48" i="78" s="1"/>
  <c r="BX85" i="78" s="1"/>
  <c r="BX27" i="78"/>
  <c r="BX64" i="78" s="1"/>
  <c r="BX101" i="78" s="1"/>
  <c r="BW90" i="78"/>
  <c r="BW98" i="78"/>
  <c r="BW106" i="78"/>
  <c r="BX14" i="78"/>
  <c r="BX51" i="78" s="1"/>
  <c r="BX88" i="78" s="1"/>
  <c r="BX22" i="78"/>
  <c r="BX59" i="78" s="1"/>
  <c r="BX96" i="78" s="1"/>
  <c r="BW45" i="78"/>
  <c r="BV56" i="78"/>
  <c r="BV93" i="78" s="1"/>
  <c r="BW85" i="78"/>
  <c r="BW101" i="78"/>
  <c r="BL61" i="78"/>
  <c r="BL98" i="78"/>
  <c r="BK46" i="78"/>
  <c r="BK83" i="78" s="1"/>
  <c r="BM18" i="78"/>
  <c r="BM55" i="78" s="1"/>
  <c r="BM92" i="78" s="1"/>
  <c r="BL92" i="78"/>
  <c r="BL56" i="78"/>
  <c r="BM10" i="78"/>
  <c r="BM47" i="78" s="1"/>
  <c r="BM84" i="78" s="1"/>
  <c r="BM13" i="78"/>
  <c r="BM50" i="78" s="1"/>
  <c r="BM87" i="78" s="1"/>
  <c r="BM16" i="78"/>
  <c r="BM53" i="78" s="1"/>
  <c r="BM90" i="78" s="1"/>
  <c r="BM19" i="78"/>
  <c r="BM56" i="78" s="1"/>
  <c r="BM93" i="78" s="1"/>
  <c r="BL69" i="78"/>
  <c r="BL106" i="78"/>
  <c r="BK62" i="78"/>
  <c r="BK99" i="78" s="1"/>
  <c r="BL84" i="78"/>
  <c r="BL100" i="78"/>
  <c r="BL45" i="78"/>
  <c r="BL82" i="78"/>
  <c r="BM26" i="78"/>
  <c r="BM63" i="78" s="1"/>
  <c r="BM100" i="78" s="1"/>
  <c r="BM29" i="78"/>
  <c r="BM66" i="78" s="1"/>
  <c r="BM103" i="78" s="1"/>
  <c r="BM32" i="78"/>
  <c r="BM69" i="78" s="1"/>
  <c r="BM106" i="78" s="1"/>
  <c r="BL67" i="78"/>
  <c r="BL95" i="78"/>
  <c r="BM21" i="78"/>
  <c r="BM58" i="78" s="1"/>
  <c r="BM95" i="78" s="1"/>
  <c r="BM24" i="78"/>
  <c r="BM61" i="78" s="1"/>
  <c r="BM98" i="78" s="1"/>
  <c r="BM27" i="78"/>
  <c r="BM64" i="78" s="1"/>
  <c r="BM101" i="78" s="1"/>
  <c r="BL64" i="78"/>
  <c r="BL53" i="78"/>
  <c r="BL90" i="78"/>
  <c r="BM8" i="78"/>
  <c r="BM45" i="78" s="1"/>
  <c r="BM82" i="78" s="1"/>
  <c r="BM11" i="78"/>
  <c r="BM48" i="78" s="1"/>
  <c r="BM85" i="78" s="1"/>
  <c r="BM30" i="78"/>
  <c r="BM67" i="78" s="1"/>
  <c r="BM104" i="78" s="1"/>
  <c r="BK54" i="78"/>
  <c r="BK91" i="78" s="1"/>
  <c r="BK59" i="78"/>
  <c r="BK96" i="78" s="1"/>
  <c r="BB11" i="78"/>
  <c r="BB48" i="78" s="1"/>
  <c r="BB85" i="78" s="1"/>
  <c r="BB19" i="78"/>
  <c r="BB56" i="78" s="1"/>
  <c r="BB93" i="78" s="1"/>
  <c r="AZ46" i="78"/>
  <c r="AZ83" i="78" s="1"/>
  <c r="BA51" i="78"/>
  <c r="AZ54" i="78"/>
  <c r="AZ91" i="78" s="1"/>
  <c r="BA59" i="78"/>
  <c r="AZ62" i="78"/>
  <c r="AZ99" i="78" s="1"/>
  <c r="BA67" i="78"/>
  <c r="BA105" i="78"/>
  <c r="BB13" i="78"/>
  <c r="BB50" i="78" s="1"/>
  <c r="BB87" i="78" s="1"/>
  <c r="BB21" i="78"/>
  <c r="BB58" i="78" s="1"/>
  <c r="BB95" i="78" s="1"/>
  <c r="BB29" i="78"/>
  <c r="BB66" i="78" s="1"/>
  <c r="BB103" i="78" s="1"/>
  <c r="BA46" i="78"/>
  <c r="AZ49" i="78"/>
  <c r="AZ86" i="78" s="1"/>
  <c r="BA54" i="78"/>
  <c r="AZ57" i="78"/>
  <c r="AZ94" i="78" s="1"/>
  <c r="BA62" i="78"/>
  <c r="AZ65" i="78"/>
  <c r="AZ102" i="78" s="1"/>
  <c r="BB14" i="78"/>
  <c r="BB51" i="78" s="1"/>
  <c r="BB88" i="78" s="1"/>
  <c r="BB22" i="78"/>
  <c r="BB59" i="78" s="1"/>
  <c r="BB96" i="78" s="1"/>
  <c r="BB30" i="78"/>
  <c r="BB67" i="78" s="1"/>
  <c r="BB104" i="78" s="1"/>
  <c r="BA85" i="78"/>
  <c r="BA93" i="78"/>
  <c r="BA101" i="78"/>
  <c r="BB27" i="78"/>
  <c r="BB64" i="78" s="1"/>
  <c r="BB101" i="78" s="1"/>
  <c r="AP101" i="78"/>
  <c r="AO46" i="78"/>
  <c r="AO83" i="78" s="1"/>
  <c r="AP51" i="78"/>
  <c r="AO54" i="78"/>
  <c r="AO91" i="78" s="1"/>
  <c r="AP59" i="78"/>
  <c r="AO62" i="78"/>
  <c r="AO99" i="78" s="1"/>
  <c r="AP67" i="78"/>
  <c r="AP46" i="78"/>
  <c r="AO49" i="78"/>
  <c r="AO86" i="78" s="1"/>
  <c r="AP54" i="78"/>
  <c r="AO57" i="78"/>
  <c r="AO94" i="78" s="1"/>
  <c r="AP62" i="78"/>
  <c r="AO65" i="78"/>
  <c r="AO102" i="78" s="1"/>
  <c r="AQ11" i="78"/>
  <c r="AQ48" i="78" s="1"/>
  <c r="AQ85" i="78" s="1"/>
  <c r="AQ14" i="78"/>
  <c r="AQ51" i="78" s="1"/>
  <c r="AQ88" i="78" s="1"/>
  <c r="AQ30" i="78"/>
  <c r="AQ67" i="78" s="1"/>
  <c r="AQ104" i="78" s="1"/>
  <c r="AQ19" i="78"/>
  <c r="AQ56" i="78" s="1"/>
  <c r="AQ93" i="78" s="1"/>
  <c r="AQ27" i="78"/>
  <c r="AQ64" i="78" s="1"/>
  <c r="AQ101" i="78" s="1"/>
  <c r="AQ22" i="78"/>
  <c r="AQ59" i="78" s="1"/>
  <c r="AQ96" i="78" s="1"/>
  <c r="AP85" i="78"/>
  <c r="AP93" i="78"/>
  <c r="AF13" i="78"/>
  <c r="AF50" i="78" s="1"/>
  <c r="AF87" i="78" s="1"/>
  <c r="AF21" i="78"/>
  <c r="AF58" i="78" s="1"/>
  <c r="AF95" i="78" s="1"/>
  <c r="AF29" i="78"/>
  <c r="AF66" i="78" s="1"/>
  <c r="AF103" i="78" s="1"/>
  <c r="AE46" i="78"/>
  <c r="AD49" i="78"/>
  <c r="AD86" i="78" s="1"/>
  <c r="AE54" i="78"/>
  <c r="AD57" i="78"/>
  <c r="AD94" i="78" s="1"/>
  <c r="AE62" i="78"/>
  <c r="AD65" i="78"/>
  <c r="AD102" i="78" s="1"/>
  <c r="AF8" i="78"/>
  <c r="AF45" i="78" s="1"/>
  <c r="AF82" i="78" s="1"/>
  <c r="AF16" i="78"/>
  <c r="AF53" i="78" s="1"/>
  <c r="AF90" i="78" s="1"/>
  <c r="AF24" i="78"/>
  <c r="AF61" i="78" s="1"/>
  <c r="AF98" i="78" s="1"/>
  <c r="AF32" i="78"/>
  <c r="AF69" i="78" s="1"/>
  <c r="AF106" i="78" s="1"/>
  <c r="AE49" i="78"/>
  <c r="AD52" i="78"/>
  <c r="AD89" i="78" s="1"/>
  <c r="AE57" i="78"/>
  <c r="AD60" i="78"/>
  <c r="AD97" i="78" s="1"/>
  <c r="AE65" i="78"/>
  <c r="AD68" i="78"/>
  <c r="AD105" i="78" s="1"/>
  <c r="AE87" i="78"/>
  <c r="AE95" i="78"/>
  <c r="AE103" i="78"/>
  <c r="AF11" i="78"/>
  <c r="AF48" i="78" s="1"/>
  <c r="AF85" i="78" s="1"/>
  <c r="AF19" i="78"/>
  <c r="AF56" i="78" s="1"/>
  <c r="AF93" i="78" s="1"/>
  <c r="AF27" i="78"/>
  <c r="AF64" i="78" s="1"/>
  <c r="AF101" i="78" s="1"/>
  <c r="AE82" i="78"/>
  <c r="AE90" i="78"/>
  <c r="AE98" i="78"/>
  <c r="AE106" i="78"/>
  <c r="AF17" i="78"/>
  <c r="AF54" i="78" s="1"/>
  <c r="AF91" i="78" s="1"/>
  <c r="AF25" i="78"/>
  <c r="AF62" i="78" s="1"/>
  <c r="AF99" i="78" s="1"/>
  <c r="AE45" i="78"/>
  <c r="AE83" i="78"/>
  <c r="F269" i="49"/>
  <c r="F211" i="49"/>
  <c r="F182" i="49"/>
  <c r="F153" i="49"/>
  <c r="F207" i="49" l="1"/>
  <c r="F178" i="49"/>
  <c r="F236" i="49"/>
  <c r="F294" i="49"/>
  <c r="L64" i="49"/>
  <c r="L63" i="49"/>
  <c r="L67" i="49"/>
  <c r="L70" i="49"/>
  <c r="L71" i="49"/>
  <c r="L69" i="49"/>
  <c r="L68" i="49"/>
  <c r="L66" i="49"/>
  <c r="L65" i="49"/>
  <c r="N63" i="49" a="1"/>
  <c r="L74" i="49"/>
  <c r="L82" i="49"/>
  <c r="L81" i="49"/>
  <c r="L76" i="49"/>
  <c r="L80" i="49"/>
  <c r="L79" i="49"/>
  <c r="L78" i="49"/>
  <c r="L75" i="49"/>
  <c r="L77" i="49"/>
  <c r="L85" i="49"/>
  <c r="L93" i="49"/>
  <c r="L91" i="49"/>
  <c r="L92" i="49"/>
  <c r="L90" i="49"/>
  <c r="L86" i="49"/>
  <c r="L89" i="49"/>
  <c r="L88" i="49"/>
  <c r="L87" i="49"/>
  <c r="N74" i="49" a="1"/>
  <c r="N85" i="49" a="1"/>
  <c r="L96" i="49"/>
  <c r="L102" i="49"/>
  <c r="L103" i="49"/>
  <c r="L101" i="49"/>
  <c r="L100" i="49"/>
  <c r="L99" i="49"/>
  <c r="L98" i="49"/>
  <c r="L97" i="49"/>
  <c r="L104" i="49"/>
  <c r="L108" i="49"/>
  <c r="L115" i="49"/>
  <c r="L111" i="49"/>
  <c r="L107" i="49"/>
  <c r="L114" i="49"/>
  <c r="L110" i="49"/>
  <c r="L113" i="49"/>
  <c r="L109" i="49"/>
  <c r="L112" i="49"/>
  <c r="N96" i="49" a="1"/>
  <c r="N107" i="49" a="1"/>
  <c r="M22" i="76"/>
  <c r="CT58" i="78"/>
  <c r="CT95" i="78" s="1"/>
  <c r="H4" i="71"/>
  <c r="M2" i="21"/>
  <c r="G127" i="49"/>
  <c r="A122" i="49"/>
  <c r="G147" i="49"/>
  <c r="D147" i="49"/>
  <c r="F147" i="49" s="1"/>
  <c r="G146" i="49"/>
  <c r="D146" i="49"/>
  <c r="F146" i="49" s="1"/>
  <c r="G145" i="49"/>
  <c r="D145" i="49"/>
  <c r="F145" i="49" s="1"/>
  <c r="G144" i="49"/>
  <c r="D144" i="49"/>
  <c r="F144" i="49" s="1"/>
  <c r="G143" i="49"/>
  <c r="D143" i="49"/>
  <c r="F143" i="49" s="1"/>
  <c r="G142" i="49"/>
  <c r="D142" i="49"/>
  <c r="F142" i="49" s="1"/>
  <c r="G141" i="49"/>
  <c r="D141" i="49"/>
  <c r="F141" i="49" s="1"/>
  <c r="G140" i="49"/>
  <c r="D140" i="49"/>
  <c r="F140" i="49" s="1"/>
  <c r="G139" i="49"/>
  <c r="D139" i="49"/>
  <c r="F139" i="49" s="1"/>
  <c r="G138" i="49"/>
  <c r="D138" i="49"/>
  <c r="F138" i="49" s="1"/>
  <c r="G137" i="49"/>
  <c r="D137" i="49"/>
  <c r="F137" i="49" s="1"/>
  <c r="G136" i="49"/>
  <c r="D136" i="49"/>
  <c r="F136" i="49" s="1"/>
  <c r="G135" i="49"/>
  <c r="D135" i="49"/>
  <c r="F135" i="49" s="1"/>
  <c r="G134" i="49"/>
  <c r="D134" i="49"/>
  <c r="F134" i="49" s="1"/>
  <c r="G133" i="49"/>
  <c r="D133" i="49"/>
  <c r="F133" i="49" s="1"/>
  <c r="G132" i="49"/>
  <c r="D132" i="49"/>
  <c r="F132" i="49" s="1"/>
  <c r="G131" i="49"/>
  <c r="D131" i="49"/>
  <c r="F131" i="49" s="1"/>
  <c r="G130" i="49"/>
  <c r="D130" i="49"/>
  <c r="F130" i="49" s="1"/>
  <c r="G129" i="49"/>
  <c r="D129" i="49"/>
  <c r="F129" i="49" s="1"/>
  <c r="G128" i="49"/>
  <c r="D128" i="49"/>
  <c r="F128" i="49" s="1"/>
  <c r="D127" i="49"/>
  <c r="F127" i="49" s="1"/>
  <c r="G126" i="49"/>
  <c r="D126" i="49"/>
  <c r="F126" i="49" s="1"/>
  <c r="G125" i="49"/>
  <c r="D125" i="49"/>
  <c r="F125" i="49" s="1"/>
  <c r="G124" i="49"/>
  <c r="D124" i="49"/>
  <c r="F124" i="49" s="1"/>
  <c r="G123" i="49"/>
  <c r="D123" i="49"/>
  <c r="I7" i="49"/>
  <c r="D149" i="49" l="1"/>
  <c r="N86" i="49"/>
  <c r="N85" i="49"/>
  <c r="N88" i="49"/>
  <c r="N92" i="49"/>
  <c r="N93" i="49"/>
  <c r="N90" i="49"/>
  <c r="N89" i="49"/>
  <c r="N91" i="49"/>
  <c r="N87" i="49"/>
  <c r="N74" i="49"/>
  <c r="N75" i="49"/>
  <c r="N76" i="49"/>
  <c r="N81" i="49"/>
  <c r="N77" i="49"/>
  <c r="N82" i="49"/>
  <c r="N79" i="49"/>
  <c r="N78" i="49"/>
  <c r="N80" i="49"/>
  <c r="N108" i="49"/>
  <c r="N107" i="49"/>
  <c r="N111" i="49"/>
  <c r="N114" i="49"/>
  <c r="N115" i="49"/>
  <c r="N109" i="49"/>
  <c r="N112" i="49"/>
  <c r="N110" i="49"/>
  <c r="N113" i="49"/>
  <c r="N96" i="49"/>
  <c r="N103" i="49"/>
  <c r="N102" i="49"/>
  <c r="N99" i="49"/>
  <c r="N97" i="49"/>
  <c r="N98" i="49"/>
  <c r="N104" i="49"/>
  <c r="N101" i="49"/>
  <c r="N100" i="49"/>
  <c r="F123" i="49"/>
  <c r="F149" i="49" s="1"/>
  <c r="L52" i="49" a="1"/>
  <c r="N63" i="49"/>
  <c r="N70" i="49"/>
  <c r="N68" i="49"/>
  <c r="N67" i="49"/>
  <c r="N66" i="49"/>
  <c r="N65" i="49"/>
  <c r="N64" i="49"/>
  <c r="N69" i="49"/>
  <c r="N71" i="49"/>
  <c r="S78" i="71"/>
  <c r="AD78" i="71"/>
  <c r="AD41" i="71"/>
  <c r="S41" i="71"/>
  <c r="M49" i="76"/>
  <c r="M82" i="76" s="1"/>
  <c r="N52" i="49" l="1" a="1"/>
  <c r="L53" i="49"/>
  <c r="L56" i="49"/>
  <c r="L55" i="49"/>
  <c r="L54" i="49"/>
  <c r="L58" i="49"/>
  <c r="L60" i="49"/>
  <c r="L59" i="49"/>
  <c r="L57" i="49"/>
  <c r="L52" i="49"/>
  <c r="M54" i="76"/>
  <c r="M59" i="76"/>
  <c r="M64" i="76"/>
  <c r="M74" i="76"/>
  <c r="M85" i="76"/>
  <c r="M90" i="76"/>
  <c r="M96" i="76"/>
  <c r="M53" i="76"/>
  <c r="M58" i="76"/>
  <c r="M63" i="76"/>
  <c r="M67" i="76"/>
  <c r="M77" i="76"/>
  <c r="M57" i="76"/>
  <c r="M66" i="76"/>
  <c r="M71" i="76"/>
  <c r="M76" i="76"/>
  <c r="M81" i="76"/>
  <c r="M93" i="76"/>
  <c r="M86" i="76"/>
  <c r="M60" i="76"/>
  <c r="M65" i="76"/>
  <c r="M70" i="76"/>
  <c r="M75" i="76"/>
  <c r="M80" i="76"/>
  <c r="M94" i="76"/>
  <c r="M89" i="76"/>
  <c r="M92" i="76"/>
  <c r="M62" i="76"/>
  <c r="M52" i="76"/>
  <c r="M56" i="76"/>
  <c r="M79" i="76"/>
  <c r="M88" i="76"/>
  <c r="M84" i="76"/>
  <c r="M73" i="76"/>
  <c r="M69" i="76"/>
  <c r="I13" i="49"/>
  <c r="I24" i="49" s="1"/>
  <c r="I35" i="49" s="1"/>
  <c r="I46" i="49" s="1"/>
  <c r="I57" i="49" s="1"/>
  <c r="I68" i="49" s="1"/>
  <c r="I79" i="49" s="1"/>
  <c r="I90" i="49" s="1"/>
  <c r="I101" i="49" s="1"/>
  <c r="I112" i="49" s="1"/>
  <c r="I14" i="49"/>
  <c r="I25" i="49" s="1"/>
  <c r="I36" i="49" s="1"/>
  <c r="I47" i="49" s="1"/>
  <c r="I58" i="49" s="1"/>
  <c r="I69" i="49" s="1"/>
  <c r="I80" i="49" s="1"/>
  <c r="I91" i="49" s="1"/>
  <c r="I102" i="49" s="1"/>
  <c r="I113" i="49" s="1"/>
  <c r="I15" i="49"/>
  <c r="I26" i="49" s="1"/>
  <c r="I37" i="49" s="1"/>
  <c r="I48" i="49" s="1"/>
  <c r="I59" i="49" s="1"/>
  <c r="I70" i="49" s="1"/>
  <c r="I81" i="49" s="1"/>
  <c r="I92" i="49" s="1"/>
  <c r="I103" i="49" s="1"/>
  <c r="I114" i="49" s="1"/>
  <c r="I16" i="49"/>
  <c r="I27" i="49" s="1"/>
  <c r="I38" i="49" s="1"/>
  <c r="I49" i="49" s="1"/>
  <c r="I60" i="49" s="1"/>
  <c r="I71" i="49" s="1"/>
  <c r="I82" i="49" s="1"/>
  <c r="I93" i="49" s="1"/>
  <c r="I104" i="49" s="1"/>
  <c r="I115" i="49" s="1"/>
  <c r="I9" i="49"/>
  <c r="I10" i="49"/>
  <c r="I11" i="49"/>
  <c r="I12" i="49"/>
  <c r="I8" i="49"/>
  <c r="B82" i="78"/>
  <c r="A8" i="49"/>
  <c r="A9" i="49"/>
  <c r="A10" i="49"/>
  <c r="A11" i="49"/>
  <c r="A12" i="49"/>
  <c r="A13" i="49"/>
  <c r="A14" i="49"/>
  <c r="A15" i="49"/>
  <c r="A16" i="49"/>
  <c r="A17" i="49"/>
  <c r="A18" i="49"/>
  <c r="A19" i="49"/>
  <c r="A20" i="49"/>
  <c r="A21" i="49"/>
  <c r="A22" i="49"/>
  <c r="A23" i="49"/>
  <c r="A24" i="49"/>
  <c r="A25" i="49"/>
  <c r="A26" i="49"/>
  <c r="A27" i="49"/>
  <c r="A28" i="49"/>
  <c r="A29" i="49"/>
  <c r="A30" i="49"/>
  <c r="A31" i="49"/>
  <c r="A7" i="49"/>
  <c r="CO143" i="78"/>
  <c r="CN143" i="78"/>
  <c r="CM143" i="78"/>
  <c r="CL143" i="78"/>
  <c r="CO142" i="78"/>
  <c r="CN142" i="78"/>
  <c r="CM142" i="78"/>
  <c r="CL142" i="78"/>
  <c r="CO141" i="78"/>
  <c r="CN141" i="78"/>
  <c r="CM141" i="78"/>
  <c r="CL141" i="78"/>
  <c r="CO140" i="78"/>
  <c r="CN140" i="78"/>
  <c r="CM140" i="78"/>
  <c r="CL140" i="78"/>
  <c r="CO139" i="78"/>
  <c r="CN139" i="78"/>
  <c r="CM139" i="78"/>
  <c r="CL139" i="78"/>
  <c r="CO138" i="78"/>
  <c r="CN138" i="78"/>
  <c r="CM138" i="78"/>
  <c r="CL138" i="78"/>
  <c r="CO137" i="78"/>
  <c r="CN137" i="78"/>
  <c r="CM137" i="78"/>
  <c r="CL137" i="78"/>
  <c r="CO136" i="78"/>
  <c r="CN136" i="78"/>
  <c r="CM136" i="78"/>
  <c r="CL136" i="78"/>
  <c r="CO135" i="78"/>
  <c r="CN135" i="78"/>
  <c r="CM135" i="78"/>
  <c r="CL135" i="78"/>
  <c r="CO134" i="78"/>
  <c r="CN134" i="78"/>
  <c r="CM134" i="78"/>
  <c r="CL134" i="78"/>
  <c r="CO133" i="78"/>
  <c r="CN133" i="78"/>
  <c r="CM133" i="78"/>
  <c r="CL133" i="78"/>
  <c r="CO132" i="78"/>
  <c r="CN132" i="78"/>
  <c r="CM132" i="78"/>
  <c r="CL132" i="78"/>
  <c r="CO131" i="78"/>
  <c r="CN131" i="78"/>
  <c r="CM131" i="78"/>
  <c r="CL131" i="78"/>
  <c r="CO130" i="78"/>
  <c r="CN130" i="78"/>
  <c r="CM130" i="78"/>
  <c r="CL130" i="78"/>
  <c r="CO129" i="78"/>
  <c r="CN129" i="78"/>
  <c r="CM129" i="78"/>
  <c r="CL129" i="78"/>
  <c r="CO128" i="78"/>
  <c r="CN128" i="78"/>
  <c r="CM128" i="78"/>
  <c r="CL128" i="78"/>
  <c r="CO127" i="78"/>
  <c r="CN127" i="78"/>
  <c r="CM127" i="78"/>
  <c r="CL127" i="78"/>
  <c r="CO126" i="78"/>
  <c r="CN126" i="78"/>
  <c r="CM126" i="78"/>
  <c r="CL126" i="78"/>
  <c r="CO125" i="78"/>
  <c r="CN125" i="78"/>
  <c r="CM125" i="78"/>
  <c r="CL125" i="78"/>
  <c r="CO124" i="78"/>
  <c r="CN124" i="78"/>
  <c r="CM124" i="78"/>
  <c r="CL124" i="78"/>
  <c r="CO123" i="78"/>
  <c r="CN123" i="78"/>
  <c r="CM123" i="78"/>
  <c r="CL123" i="78"/>
  <c r="CO122" i="78"/>
  <c r="CN122" i="78"/>
  <c r="CM122" i="78"/>
  <c r="CL122" i="78"/>
  <c r="CO121" i="78"/>
  <c r="CN121" i="78"/>
  <c r="CM121" i="78"/>
  <c r="CL121" i="78"/>
  <c r="CO120" i="78"/>
  <c r="CN120" i="78"/>
  <c r="CM120" i="78"/>
  <c r="CL120" i="78"/>
  <c r="CO119" i="78"/>
  <c r="CN119" i="78"/>
  <c r="CM119" i="78"/>
  <c r="CL119" i="78"/>
  <c r="CP67" i="78"/>
  <c r="CO63" i="78"/>
  <c r="CN47" i="78"/>
  <c r="CM72" i="78"/>
  <c r="CL48" i="78"/>
  <c r="CD143" i="78"/>
  <c r="CC143" i="78"/>
  <c r="CB143" i="78"/>
  <c r="CA143" i="78"/>
  <c r="CD142" i="78"/>
  <c r="CC142" i="78"/>
  <c r="CB142" i="78"/>
  <c r="CA142" i="78"/>
  <c r="CD141" i="78"/>
  <c r="CC141" i="78"/>
  <c r="CB141" i="78"/>
  <c r="CA141" i="78"/>
  <c r="CD140" i="78"/>
  <c r="CC140" i="78"/>
  <c r="CB140" i="78"/>
  <c r="CA140" i="78"/>
  <c r="CD139" i="78"/>
  <c r="CC139" i="78"/>
  <c r="CB139" i="78"/>
  <c r="CA139" i="78"/>
  <c r="CD138" i="78"/>
  <c r="CC138" i="78"/>
  <c r="CB138" i="78"/>
  <c r="CA138" i="78"/>
  <c r="CD137" i="78"/>
  <c r="CC137" i="78"/>
  <c r="CB137" i="78"/>
  <c r="CA137" i="78"/>
  <c r="CD136" i="78"/>
  <c r="CC136" i="78"/>
  <c r="CB136" i="78"/>
  <c r="CA136" i="78"/>
  <c r="CD135" i="78"/>
  <c r="CC135" i="78"/>
  <c r="CB135" i="78"/>
  <c r="CA135" i="78"/>
  <c r="CD134" i="78"/>
  <c r="CC134" i="78"/>
  <c r="CB134" i="78"/>
  <c r="CA134" i="78"/>
  <c r="CD133" i="78"/>
  <c r="CC133" i="78"/>
  <c r="CB133" i="78"/>
  <c r="CA133" i="78"/>
  <c r="CD132" i="78"/>
  <c r="CC132" i="78"/>
  <c r="CB132" i="78"/>
  <c r="CA132" i="78"/>
  <c r="CD131" i="78"/>
  <c r="CC131" i="78"/>
  <c r="CB131" i="78"/>
  <c r="CA131" i="78"/>
  <c r="CD130" i="78"/>
  <c r="CC130" i="78"/>
  <c r="CB130" i="78"/>
  <c r="CA130" i="78"/>
  <c r="CD129" i="78"/>
  <c r="CC129" i="78"/>
  <c r="CB129" i="78"/>
  <c r="CA129" i="78"/>
  <c r="CD128" i="78"/>
  <c r="CC128" i="78"/>
  <c r="CB128" i="78"/>
  <c r="CA128" i="78"/>
  <c r="CD127" i="78"/>
  <c r="CC127" i="78"/>
  <c r="CB127" i="78"/>
  <c r="CA127" i="78"/>
  <c r="CD126" i="78"/>
  <c r="CC126" i="78"/>
  <c r="CB126" i="78"/>
  <c r="CA126" i="78"/>
  <c r="CD125" i="78"/>
  <c r="CC125" i="78"/>
  <c r="CB125" i="78"/>
  <c r="CA125" i="78"/>
  <c r="CD124" i="78"/>
  <c r="CC124" i="78"/>
  <c r="CB124" i="78"/>
  <c r="CA124" i="78"/>
  <c r="CD123" i="78"/>
  <c r="CC123" i="78"/>
  <c r="CB123" i="78"/>
  <c r="CA123" i="78"/>
  <c r="CD122" i="78"/>
  <c r="CC122" i="78"/>
  <c r="CB122" i="78"/>
  <c r="CA122" i="78"/>
  <c r="CD121" i="78"/>
  <c r="CC121" i="78"/>
  <c r="CB121" i="78"/>
  <c r="CA121" i="78"/>
  <c r="CD120" i="78"/>
  <c r="CC120" i="78"/>
  <c r="CB120" i="78"/>
  <c r="CA120" i="78"/>
  <c r="CD119" i="78"/>
  <c r="CC119" i="78"/>
  <c r="CB119" i="78"/>
  <c r="CA119" i="78"/>
  <c r="CE68" i="78"/>
  <c r="CD69" i="78"/>
  <c r="CC51" i="78"/>
  <c r="CB62" i="78"/>
  <c r="CA47" i="78"/>
  <c r="BS143" i="78"/>
  <c r="BR143" i="78"/>
  <c r="BQ143" i="78"/>
  <c r="BP143" i="78"/>
  <c r="BS142" i="78"/>
  <c r="BR142" i="78"/>
  <c r="BQ142" i="78"/>
  <c r="BP142" i="78"/>
  <c r="BS141" i="78"/>
  <c r="BR141" i="78"/>
  <c r="BQ141" i="78"/>
  <c r="BP141" i="78"/>
  <c r="BS140" i="78"/>
  <c r="BR140" i="78"/>
  <c r="BQ140" i="78"/>
  <c r="BP140" i="78"/>
  <c r="BS139" i="78"/>
  <c r="BR139" i="78"/>
  <c r="BQ139" i="78"/>
  <c r="BP139" i="78"/>
  <c r="BS138" i="78"/>
  <c r="BR138" i="78"/>
  <c r="BQ138" i="78"/>
  <c r="BP138" i="78"/>
  <c r="BS137" i="78"/>
  <c r="BR137" i="78"/>
  <c r="BQ137" i="78"/>
  <c r="BP137" i="78"/>
  <c r="BS136" i="78"/>
  <c r="BR136" i="78"/>
  <c r="BQ136" i="78"/>
  <c r="BP136" i="78"/>
  <c r="BS135" i="78"/>
  <c r="BR135" i="78"/>
  <c r="BQ135" i="78"/>
  <c r="BP135" i="78"/>
  <c r="BS134" i="78"/>
  <c r="BR134" i="78"/>
  <c r="BQ134" i="78"/>
  <c r="BP134" i="78"/>
  <c r="BS133" i="78"/>
  <c r="BR133" i="78"/>
  <c r="BQ133" i="78"/>
  <c r="BP133" i="78"/>
  <c r="BS132" i="78"/>
  <c r="BR132" i="78"/>
  <c r="BQ132" i="78"/>
  <c r="BP132" i="78"/>
  <c r="BS131" i="78"/>
  <c r="BR131" i="78"/>
  <c r="BQ131" i="78"/>
  <c r="BP131" i="78"/>
  <c r="BS130" i="78"/>
  <c r="BR130" i="78"/>
  <c r="BQ130" i="78"/>
  <c r="BP130" i="78"/>
  <c r="BS129" i="78"/>
  <c r="BR129" i="78"/>
  <c r="BQ129" i="78"/>
  <c r="BP129" i="78"/>
  <c r="BS128" i="78"/>
  <c r="BR128" i="78"/>
  <c r="BQ128" i="78"/>
  <c r="BP128" i="78"/>
  <c r="BS127" i="78"/>
  <c r="BR127" i="78"/>
  <c r="BQ127" i="78"/>
  <c r="BP127" i="78"/>
  <c r="BS126" i="78"/>
  <c r="BR126" i="78"/>
  <c r="BQ126" i="78"/>
  <c r="BP126" i="78"/>
  <c r="BS125" i="78"/>
  <c r="BR125" i="78"/>
  <c r="BQ125" i="78"/>
  <c r="BP125" i="78"/>
  <c r="BS124" i="78"/>
  <c r="BR124" i="78"/>
  <c r="BQ124" i="78"/>
  <c r="BP124" i="78"/>
  <c r="BS123" i="78"/>
  <c r="BR123" i="78"/>
  <c r="BQ123" i="78"/>
  <c r="BP123" i="78"/>
  <c r="BS122" i="78"/>
  <c r="BR122" i="78"/>
  <c r="BQ122" i="78"/>
  <c r="BP122" i="78"/>
  <c r="BS121" i="78"/>
  <c r="BR121" i="78"/>
  <c r="BQ121" i="78"/>
  <c r="BP121" i="78"/>
  <c r="BS120" i="78"/>
  <c r="BR120" i="78"/>
  <c r="BQ120" i="78"/>
  <c r="BP120" i="78"/>
  <c r="BS119" i="78"/>
  <c r="BR119" i="78"/>
  <c r="BQ119" i="78"/>
  <c r="BP119" i="78"/>
  <c r="BT67" i="78"/>
  <c r="BS69" i="78"/>
  <c r="BR69" i="78"/>
  <c r="BQ72" i="78"/>
  <c r="BP48" i="78"/>
  <c r="BH143" i="78"/>
  <c r="BG143" i="78"/>
  <c r="BF143" i="78"/>
  <c r="BE143" i="78"/>
  <c r="BH142" i="78"/>
  <c r="BG142" i="78"/>
  <c r="BF142" i="78"/>
  <c r="BE142" i="78"/>
  <c r="BH141" i="78"/>
  <c r="BG141" i="78"/>
  <c r="BF141" i="78"/>
  <c r="BE141" i="78"/>
  <c r="BH140" i="78"/>
  <c r="BG140" i="78"/>
  <c r="BF140" i="78"/>
  <c r="BE140" i="78"/>
  <c r="BH139" i="78"/>
  <c r="BG139" i="78"/>
  <c r="BF139" i="78"/>
  <c r="BE139" i="78"/>
  <c r="BH138" i="78"/>
  <c r="BG138" i="78"/>
  <c r="BF138" i="78"/>
  <c r="BE138" i="78"/>
  <c r="BH137" i="78"/>
  <c r="BG137" i="78"/>
  <c r="BF137" i="78"/>
  <c r="BE137" i="78"/>
  <c r="BH136" i="78"/>
  <c r="BG136" i="78"/>
  <c r="BF136" i="78"/>
  <c r="BE136" i="78"/>
  <c r="BH135" i="78"/>
  <c r="BG135" i="78"/>
  <c r="BF135" i="78"/>
  <c r="BE135" i="78"/>
  <c r="BH134" i="78"/>
  <c r="BG134" i="78"/>
  <c r="BF134" i="78"/>
  <c r="BE134" i="78"/>
  <c r="BH133" i="78"/>
  <c r="BG133" i="78"/>
  <c r="BF133" i="78"/>
  <c r="BE133" i="78"/>
  <c r="BH132" i="78"/>
  <c r="BG132" i="78"/>
  <c r="BF132" i="78"/>
  <c r="BE132" i="78"/>
  <c r="BH131" i="78"/>
  <c r="BG131" i="78"/>
  <c r="BF131" i="78"/>
  <c r="BE131" i="78"/>
  <c r="BH130" i="78"/>
  <c r="BG130" i="78"/>
  <c r="BF130" i="78"/>
  <c r="BE130" i="78"/>
  <c r="BH129" i="78"/>
  <c r="BG129" i="78"/>
  <c r="BF129" i="78"/>
  <c r="BE129" i="78"/>
  <c r="BH128" i="78"/>
  <c r="BG128" i="78"/>
  <c r="BF128" i="78"/>
  <c r="BE128" i="78"/>
  <c r="BH127" i="78"/>
  <c r="BG127" i="78"/>
  <c r="BF127" i="78"/>
  <c r="BE127" i="78"/>
  <c r="BH126" i="78"/>
  <c r="BG126" i="78"/>
  <c r="BF126" i="78"/>
  <c r="BE126" i="78"/>
  <c r="BH125" i="78"/>
  <c r="BG125" i="78"/>
  <c r="BF125" i="78"/>
  <c r="BE125" i="78"/>
  <c r="BH124" i="78"/>
  <c r="BG124" i="78"/>
  <c r="BF124" i="78"/>
  <c r="BE124" i="78"/>
  <c r="BH123" i="78"/>
  <c r="BG123" i="78"/>
  <c r="BF123" i="78"/>
  <c r="BE123" i="78"/>
  <c r="BH122" i="78"/>
  <c r="BG122" i="78"/>
  <c r="BF122" i="78"/>
  <c r="BE122" i="78"/>
  <c r="BH121" i="78"/>
  <c r="BG121" i="78"/>
  <c r="BF121" i="78"/>
  <c r="BE121" i="78"/>
  <c r="BH120" i="78"/>
  <c r="BG120" i="78"/>
  <c r="BF120" i="78"/>
  <c r="BE120" i="78"/>
  <c r="BH119" i="78"/>
  <c r="BG119" i="78"/>
  <c r="BF119" i="78"/>
  <c r="BE119" i="78"/>
  <c r="BI67" i="78"/>
  <c r="BH68" i="78"/>
  <c r="BG63" i="78"/>
  <c r="BF69" i="78"/>
  <c r="BE63" i="78"/>
  <c r="AW143" i="78"/>
  <c r="AV143" i="78"/>
  <c r="AU143" i="78"/>
  <c r="AT143" i="78"/>
  <c r="AW142" i="78"/>
  <c r="AV142" i="78"/>
  <c r="AU142" i="78"/>
  <c r="AT142" i="78"/>
  <c r="AW141" i="78"/>
  <c r="AV141" i="78"/>
  <c r="AU141" i="78"/>
  <c r="AT141" i="78"/>
  <c r="AW140" i="78"/>
  <c r="AV140" i="78"/>
  <c r="AU140" i="78"/>
  <c r="AT140" i="78"/>
  <c r="AW139" i="78"/>
  <c r="AV139" i="78"/>
  <c r="AU139" i="78"/>
  <c r="AT139" i="78"/>
  <c r="AW138" i="78"/>
  <c r="AV138" i="78"/>
  <c r="AU138" i="78"/>
  <c r="AT138" i="78"/>
  <c r="AW137" i="78"/>
  <c r="AV137" i="78"/>
  <c r="AU137" i="78"/>
  <c r="AT137" i="78"/>
  <c r="AW136" i="78"/>
  <c r="AV136" i="78"/>
  <c r="AU136" i="78"/>
  <c r="AT136" i="78"/>
  <c r="AW135" i="78"/>
  <c r="AV135" i="78"/>
  <c r="AU135" i="78"/>
  <c r="AT135" i="78"/>
  <c r="AW134" i="78"/>
  <c r="AV134" i="78"/>
  <c r="AU134" i="78"/>
  <c r="AT134" i="78"/>
  <c r="AW133" i="78"/>
  <c r="AV133" i="78"/>
  <c r="AU133" i="78"/>
  <c r="AT133" i="78"/>
  <c r="AW132" i="78"/>
  <c r="AV132" i="78"/>
  <c r="AU132" i="78"/>
  <c r="AT132" i="78"/>
  <c r="AW131" i="78"/>
  <c r="AV131" i="78"/>
  <c r="AU131" i="78"/>
  <c r="AT131" i="78"/>
  <c r="AW130" i="78"/>
  <c r="AV130" i="78"/>
  <c r="AU130" i="78"/>
  <c r="AT130" i="78"/>
  <c r="AW129" i="78"/>
  <c r="AV129" i="78"/>
  <c r="AU129" i="78"/>
  <c r="AT129" i="78"/>
  <c r="AW128" i="78"/>
  <c r="AV128" i="78"/>
  <c r="AU128" i="78"/>
  <c r="AT128" i="78"/>
  <c r="AW127" i="78"/>
  <c r="AV127" i="78"/>
  <c r="AU127" i="78"/>
  <c r="AT127" i="78"/>
  <c r="AW126" i="78"/>
  <c r="AV126" i="78"/>
  <c r="AU126" i="78"/>
  <c r="AT126" i="78"/>
  <c r="AW125" i="78"/>
  <c r="AV125" i="78"/>
  <c r="AU125" i="78"/>
  <c r="AT125" i="78"/>
  <c r="AW124" i="78"/>
  <c r="AV124" i="78"/>
  <c r="AU124" i="78"/>
  <c r="AT124" i="78"/>
  <c r="AW123" i="78"/>
  <c r="AV123" i="78"/>
  <c r="AU123" i="78"/>
  <c r="AT123" i="78"/>
  <c r="AW122" i="78"/>
  <c r="AV122" i="78"/>
  <c r="AU122" i="78"/>
  <c r="AT122" i="78"/>
  <c r="AW121" i="78"/>
  <c r="AV121" i="78"/>
  <c r="AU121" i="78"/>
  <c r="AT121" i="78"/>
  <c r="AW120" i="78"/>
  <c r="AV120" i="78"/>
  <c r="AU120" i="78"/>
  <c r="AT120" i="78"/>
  <c r="AW119" i="78"/>
  <c r="AV119" i="78"/>
  <c r="AU119" i="78"/>
  <c r="AT119" i="78"/>
  <c r="AW63" i="78"/>
  <c r="AV45" i="78"/>
  <c r="AU72" i="78"/>
  <c r="AT62" i="78"/>
  <c r="AL143" i="78"/>
  <c r="AK143" i="78"/>
  <c r="AJ143" i="78"/>
  <c r="AI143" i="78"/>
  <c r="AL142" i="78"/>
  <c r="AK142" i="78"/>
  <c r="AJ142" i="78"/>
  <c r="AI142" i="78"/>
  <c r="AL141" i="78"/>
  <c r="AK141" i="78"/>
  <c r="AJ141" i="78"/>
  <c r="AI141" i="78"/>
  <c r="AL140" i="78"/>
  <c r="AK140" i="78"/>
  <c r="AJ140" i="78"/>
  <c r="AI140" i="78"/>
  <c r="AL139" i="78"/>
  <c r="AK139" i="78"/>
  <c r="AJ139" i="78"/>
  <c r="AI139" i="78"/>
  <c r="AL138" i="78"/>
  <c r="AK138" i="78"/>
  <c r="AJ138" i="78"/>
  <c r="AI138" i="78"/>
  <c r="AL137" i="78"/>
  <c r="AK137" i="78"/>
  <c r="AJ137" i="78"/>
  <c r="AI137" i="78"/>
  <c r="AL136" i="78"/>
  <c r="AK136" i="78"/>
  <c r="AJ136" i="78"/>
  <c r="AI136" i="78"/>
  <c r="AL135" i="78"/>
  <c r="AK135" i="78"/>
  <c r="AJ135" i="78"/>
  <c r="AI135" i="78"/>
  <c r="AL134" i="78"/>
  <c r="AK134" i="78"/>
  <c r="AJ134" i="78"/>
  <c r="AI134" i="78"/>
  <c r="AL133" i="78"/>
  <c r="AK133" i="78"/>
  <c r="AJ133" i="78"/>
  <c r="AI133" i="78"/>
  <c r="AL132" i="78"/>
  <c r="AK132" i="78"/>
  <c r="AJ132" i="78"/>
  <c r="AI132" i="78"/>
  <c r="AL131" i="78"/>
  <c r="AK131" i="78"/>
  <c r="AJ131" i="78"/>
  <c r="AI131" i="78"/>
  <c r="AL130" i="78"/>
  <c r="AK130" i="78"/>
  <c r="AJ130" i="78"/>
  <c r="AI130" i="78"/>
  <c r="AL129" i="78"/>
  <c r="AK129" i="78"/>
  <c r="AJ129" i="78"/>
  <c r="AI129" i="78"/>
  <c r="AL128" i="78"/>
  <c r="AK128" i="78"/>
  <c r="AJ128" i="78"/>
  <c r="AI128" i="78"/>
  <c r="AL127" i="78"/>
  <c r="AK127" i="78"/>
  <c r="AJ127" i="78"/>
  <c r="AI127" i="78"/>
  <c r="AL126" i="78"/>
  <c r="AK126" i="78"/>
  <c r="AJ126" i="78"/>
  <c r="AI126" i="78"/>
  <c r="AL125" i="78"/>
  <c r="AK125" i="78"/>
  <c r="AJ125" i="78"/>
  <c r="AI125" i="78"/>
  <c r="AL124" i="78"/>
  <c r="AK124" i="78"/>
  <c r="AJ124" i="78"/>
  <c r="AI124" i="78"/>
  <c r="AL123" i="78"/>
  <c r="AK123" i="78"/>
  <c r="AJ123" i="78"/>
  <c r="AI123" i="78"/>
  <c r="AL122" i="78"/>
  <c r="AK122" i="78"/>
  <c r="AJ122" i="78"/>
  <c r="AI122" i="78"/>
  <c r="AL121" i="78"/>
  <c r="AK121" i="78"/>
  <c r="AJ121" i="78"/>
  <c r="AI121" i="78"/>
  <c r="AL120" i="78"/>
  <c r="AK120" i="78"/>
  <c r="AJ120" i="78"/>
  <c r="AI120" i="78"/>
  <c r="AL119" i="78"/>
  <c r="AK119" i="78"/>
  <c r="AJ119" i="78"/>
  <c r="AI119" i="78"/>
  <c r="AM59" i="78"/>
  <c r="AL72" i="78"/>
  <c r="AK56" i="78"/>
  <c r="AJ52" i="78"/>
  <c r="AI66" i="78"/>
  <c r="N53" i="49" l="1"/>
  <c r="N55" i="49"/>
  <c r="N56" i="49"/>
  <c r="N54" i="49"/>
  <c r="N57" i="49"/>
  <c r="N60" i="49"/>
  <c r="N59" i="49"/>
  <c r="N58" i="49"/>
  <c r="N52" i="49"/>
  <c r="BR45" i="78"/>
  <c r="CP68" i="78"/>
  <c r="CP54" i="78"/>
  <c r="CP45" i="78"/>
  <c r="CP51" i="78"/>
  <c r="BT51" i="78"/>
  <c r="CB48" i="78"/>
  <c r="CD57" i="78"/>
  <c r="AW67" i="78"/>
  <c r="CP72" i="78"/>
  <c r="BR54" i="78"/>
  <c r="BT61" i="78"/>
  <c r="CD65" i="78"/>
  <c r="CP59" i="78"/>
  <c r="CP62" i="78"/>
  <c r="AM65" i="78"/>
  <c r="CB46" i="78"/>
  <c r="CD52" i="78"/>
  <c r="CO47" i="78"/>
  <c r="BI45" i="78"/>
  <c r="BT54" i="78"/>
  <c r="BS61" i="78"/>
  <c r="AU50" i="78"/>
  <c r="AW64" i="78"/>
  <c r="BS52" i="78"/>
  <c r="BS62" i="78"/>
  <c r="CD49" i="78"/>
  <c r="CO60" i="78"/>
  <c r="AW50" i="78"/>
  <c r="BT52" i="78"/>
  <c r="BT69" i="78"/>
  <c r="CB56" i="78"/>
  <c r="CO55" i="78"/>
  <c r="CP60" i="78"/>
  <c r="BT45" i="78"/>
  <c r="CN64" i="78"/>
  <c r="AM53" i="78"/>
  <c r="BR63" i="78"/>
  <c r="BT72" i="78"/>
  <c r="CN45" i="78"/>
  <c r="CE51" i="78"/>
  <c r="CE60" i="78"/>
  <c r="AI48" i="78"/>
  <c r="BH48" i="78"/>
  <c r="BH54" i="78"/>
  <c r="BI64" i="78"/>
  <c r="CE48" i="78"/>
  <c r="AJ48" i="78"/>
  <c r="AU47" i="78"/>
  <c r="AW57" i="78"/>
  <c r="AW68" i="78"/>
  <c r="BI54" i="78"/>
  <c r="BI59" i="78"/>
  <c r="CE45" i="78"/>
  <c r="CA66" i="78"/>
  <c r="BI55" i="78"/>
  <c r="AW65" i="78"/>
  <c r="BH46" i="78"/>
  <c r="BI51" i="78"/>
  <c r="BE67" i="78"/>
  <c r="CA50" i="78"/>
  <c r="CB54" i="78"/>
  <c r="CB63" i="78"/>
  <c r="CA68" i="78"/>
  <c r="CP53" i="78"/>
  <c r="CN56" i="78"/>
  <c r="AW52" i="78"/>
  <c r="CA63" i="78"/>
  <c r="CM56" i="78"/>
  <c r="AJ57" i="78"/>
  <c r="AW49" i="78"/>
  <c r="AW60" i="78"/>
  <c r="BI46" i="78"/>
  <c r="BI56" i="78"/>
  <c r="BT53" i="78"/>
  <c r="BT62" i="78"/>
  <c r="BS68" i="78"/>
  <c r="CB47" i="78"/>
  <c r="CE54" i="78"/>
  <c r="AV47" i="78"/>
  <c r="AM62" i="78"/>
  <c r="AW72" i="78"/>
  <c r="AI69" i="78"/>
  <c r="AM52" i="78"/>
  <c r="AM72" i="78"/>
  <c r="AW45" i="78"/>
  <c r="BT59" i="78"/>
  <c r="BT68" i="78"/>
  <c r="CD60" i="78"/>
  <c r="CM54" i="78"/>
  <c r="CO62" i="78"/>
  <c r="AK65" i="78"/>
  <c r="BF59" i="78"/>
  <c r="AL50" i="78"/>
  <c r="AK49" i="78"/>
  <c r="AI65" i="78"/>
  <c r="AU45" i="78"/>
  <c r="AU54" i="78"/>
  <c r="AU56" i="78"/>
  <c r="AU62" i="78"/>
  <c r="BF50" i="78"/>
  <c r="BF58" i="78"/>
  <c r="BF62" i="78"/>
  <c r="BF64" i="78"/>
  <c r="CE146" i="78"/>
  <c r="CG35" i="78"/>
  <c r="CI35" i="78" s="1"/>
  <c r="CI72" i="78" s="1"/>
  <c r="CI109" i="78" s="1"/>
  <c r="CE53" i="78"/>
  <c r="CE59" i="78"/>
  <c r="CE62" i="78"/>
  <c r="CM47" i="78"/>
  <c r="CM49" i="78"/>
  <c r="CL64" i="78"/>
  <c r="CN72" i="78"/>
  <c r="AM49" i="78"/>
  <c r="AL56" i="78"/>
  <c r="AL62" i="78"/>
  <c r="AJ65" i="78"/>
  <c r="AL68" i="78"/>
  <c r="AT47" i="78"/>
  <c r="AT52" i="78"/>
  <c r="AW54" i="78"/>
  <c r="AW56" i="78"/>
  <c r="AT60" i="78"/>
  <c r="AW62" i="78"/>
  <c r="BE146" i="78"/>
  <c r="BF48" i="78"/>
  <c r="BG50" i="78"/>
  <c r="BH62" i="78"/>
  <c r="BH64" i="78"/>
  <c r="BF67" i="78"/>
  <c r="BS45" i="78"/>
  <c r="BS47" i="78"/>
  <c r="BS54" i="78"/>
  <c r="BS63" i="78"/>
  <c r="BS72" i="78"/>
  <c r="CE56" i="78"/>
  <c r="CE65" i="78"/>
  <c r="CB68" i="78"/>
  <c r="CM62" i="78"/>
  <c r="CM64" i="78"/>
  <c r="CO72" i="78"/>
  <c r="AK53" i="78"/>
  <c r="AP109" i="78"/>
  <c r="AP72" i="78"/>
  <c r="BF54" i="78"/>
  <c r="AT55" i="78"/>
  <c r="CM46" i="78"/>
  <c r="AO35" i="78"/>
  <c r="AQ35" i="78" s="1"/>
  <c r="AQ72" i="78" s="1"/>
  <c r="AQ109" i="78" s="1"/>
  <c r="AM146" i="78"/>
  <c r="AL63" i="78"/>
  <c r="BA109" i="78"/>
  <c r="BA72" i="78"/>
  <c r="AU53" i="78"/>
  <c r="AU69" i="78"/>
  <c r="BQ46" i="78"/>
  <c r="BP49" i="78"/>
  <c r="BQ55" i="78"/>
  <c r="BR64" i="78"/>
  <c r="CA69" i="78"/>
  <c r="CN63" i="78"/>
  <c r="CS109" i="78"/>
  <c r="CS72" i="78"/>
  <c r="CM48" i="78"/>
  <c r="CN69" i="78"/>
  <c r="AM63" i="78"/>
  <c r="AU46" i="78"/>
  <c r="AU48" i="78"/>
  <c r="AT51" i="78"/>
  <c r="AW53" i="78"/>
  <c r="AV55" i="78"/>
  <c r="AW58" i="78"/>
  <c r="AW61" i="78"/>
  <c r="AW66" i="78"/>
  <c r="AW69" i="78"/>
  <c r="BI62" i="78"/>
  <c r="BI146" i="78"/>
  <c r="BK35" i="78"/>
  <c r="BM35" i="78" s="1"/>
  <c r="BM72" i="78" s="1"/>
  <c r="BM109" i="78" s="1"/>
  <c r="BH49" i="78"/>
  <c r="BF57" i="78"/>
  <c r="BF60" i="78"/>
  <c r="BH63" i="78"/>
  <c r="BF72" i="78"/>
  <c r="BR46" i="78"/>
  <c r="BQ49" i="78"/>
  <c r="BR55" i="78"/>
  <c r="BS60" i="78"/>
  <c r="CE46" i="78"/>
  <c r="CA55" i="78"/>
  <c r="CE61" i="78"/>
  <c r="CB64" i="78"/>
  <c r="CB67" i="78"/>
  <c r="CE69" i="78"/>
  <c r="CO46" i="78"/>
  <c r="CN48" i="78"/>
  <c r="CO52" i="78"/>
  <c r="CL55" i="78"/>
  <c r="CN61" i="78"/>
  <c r="CL63" i="78"/>
  <c r="CO69" i="78"/>
  <c r="AT65" i="78"/>
  <c r="AL60" i="78"/>
  <c r="BG69" i="78"/>
  <c r="BL72" i="78"/>
  <c r="BL109" i="78"/>
  <c r="AK57" i="78"/>
  <c r="AU63" i="78"/>
  <c r="BF49" i="78"/>
  <c r="BF65" i="78"/>
  <c r="AL48" i="78"/>
  <c r="AM57" i="78"/>
  <c r="AL66" i="78"/>
  <c r="AX53" i="78"/>
  <c r="AX146" i="78"/>
  <c r="AZ35" i="78"/>
  <c r="BB35" i="78" s="1"/>
  <c r="BB72" i="78" s="1"/>
  <c r="BB109" i="78" s="1"/>
  <c r="AV46" i="78"/>
  <c r="AW48" i="78"/>
  <c r="AU51" i="78"/>
  <c r="AT64" i="78"/>
  <c r="AT72" i="78"/>
  <c r="BH47" i="78"/>
  <c r="BF52" i="78"/>
  <c r="BG55" i="78"/>
  <c r="BH57" i="78"/>
  <c r="BI63" i="78"/>
  <c r="BF66" i="78"/>
  <c r="BH72" i="78"/>
  <c r="BV35" i="78"/>
  <c r="BX35" i="78" s="1"/>
  <c r="BX72" i="78" s="1"/>
  <c r="BX109" i="78" s="1"/>
  <c r="BT146" i="78"/>
  <c r="BS46" i="78"/>
  <c r="BS55" i="78"/>
  <c r="BT60" i="78"/>
  <c r="BP63" i="78"/>
  <c r="CC69" i="78"/>
  <c r="CH109" i="78"/>
  <c r="CH72" i="78"/>
  <c r="CE49" i="78"/>
  <c r="CE52" i="78"/>
  <c r="CB55" i="78"/>
  <c r="CA58" i="78"/>
  <c r="CE64" i="78"/>
  <c r="CE67" i="78"/>
  <c r="CP146" i="78"/>
  <c r="CR35" i="78"/>
  <c r="CT35" i="78" s="1"/>
  <c r="CP46" i="78"/>
  <c r="CP52" i="78"/>
  <c r="CM55" i="78"/>
  <c r="CL58" i="78"/>
  <c r="CO61" i="78"/>
  <c r="CM63" i="78"/>
  <c r="CL66" i="78"/>
  <c r="CP69" i="78"/>
  <c r="BF46" i="78"/>
  <c r="BF56" i="78"/>
  <c r="AT63" i="78"/>
  <c r="BF51" i="78"/>
  <c r="BQ64" i="78"/>
  <c r="AK48" i="78"/>
  <c r="AK69" i="78"/>
  <c r="AT46" i="78"/>
  <c r="AU55" i="78"/>
  <c r="AU61" i="78"/>
  <c r="BW72" i="78"/>
  <c r="BW109" i="78"/>
  <c r="CE57" i="78"/>
  <c r="CN46" i="78"/>
  <c r="CM65" i="78"/>
  <c r="AK51" i="78"/>
  <c r="AI61" i="78"/>
  <c r="AM69" i="78"/>
  <c r="AM45" i="78"/>
  <c r="AM51" i="78"/>
  <c r="AI56" i="78"/>
  <c r="AK61" i="78"/>
  <c r="AJ49" i="78"/>
  <c r="AJ56" i="78"/>
  <c r="AL58" i="78"/>
  <c r="AM61" i="78"/>
  <c r="AM67" i="78"/>
  <c r="AW46" i="78"/>
  <c r="AW51" i="78"/>
  <c r="AT54" i="78"/>
  <c r="AT56" i="78"/>
  <c r="AW59" i="78"/>
  <c r="AU64" i="78"/>
  <c r="AU67" i="78"/>
  <c r="BG45" i="78"/>
  <c r="BI47" i="78"/>
  <c r="BE50" i="78"/>
  <c r="BH52" i="78"/>
  <c r="BH55" i="78"/>
  <c r="BI72" i="78"/>
  <c r="BT46" i="78"/>
  <c r="BQ54" i="78"/>
  <c r="BQ63" i="78"/>
  <c r="BP66" i="78"/>
  <c r="CE72" i="78"/>
  <c r="CL49" i="78"/>
  <c r="CN55" i="78"/>
  <c r="CP61" i="78"/>
  <c r="CL57" i="78"/>
  <c r="CM69" i="78"/>
  <c r="CM61" i="78"/>
  <c r="CM53" i="78"/>
  <c r="CM45" i="78"/>
  <c r="CM58" i="78"/>
  <c r="CM50" i="78"/>
  <c r="CM68" i="78"/>
  <c r="CM60" i="78"/>
  <c r="CM52" i="78"/>
  <c r="CL146" i="78"/>
  <c r="CM67" i="78"/>
  <c r="CM59" i="78"/>
  <c r="CM51" i="78"/>
  <c r="CM66" i="78"/>
  <c r="CO45" i="78"/>
  <c r="CN54" i="78"/>
  <c r="CM57" i="78"/>
  <c r="CO68" i="78"/>
  <c r="CL72" i="78"/>
  <c r="CL62" i="78"/>
  <c r="CL54" i="78"/>
  <c r="CL46" i="78"/>
  <c r="CL59" i="78"/>
  <c r="CL51" i="78"/>
  <c r="CL69" i="78"/>
  <c r="CL61" i="78"/>
  <c r="CL53" i="78"/>
  <c r="CL45" i="78"/>
  <c r="CL68" i="78"/>
  <c r="CL60" i="78"/>
  <c r="CL52" i="78"/>
  <c r="CL67" i="78"/>
  <c r="CN68" i="78"/>
  <c r="CN60" i="78"/>
  <c r="CN52" i="78"/>
  <c r="CN57" i="78"/>
  <c r="CN49" i="78"/>
  <c r="CN67" i="78"/>
  <c r="CN59" i="78"/>
  <c r="CN51" i="78"/>
  <c r="CN66" i="78"/>
  <c r="CN58" i="78"/>
  <c r="CN50" i="78"/>
  <c r="CM146" i="78"/>
  <c r="CN65" i="78"/>
  <c r="CN53" i="78"/>
  <c r="CO54" i="78"/>
  <c r="CL65" i="78"/>
  <c r="CO67" i="78"/>
  <c r="CO59" i="78"/>
  <c r="CO51" i="78"/>
  <c r="CO56" i="78"/>
  <c r="CO48" i="78"/>
  <c r="CO66" i="78"/>
  <c r="CO58" i="78"/>
  <c r="CO50" i="78"/>
  <c r="CN146" i="78"/>
  <c r="CO65" i="78"/>
  <c r="CO57" i="78"/>
  <c r="CO49" i="78"/>
  <c r="CO64" i="78"/>
  <c r="CL47" i="78"/>
  <c r="CL50" i="78"/>
  <c r="CO53" i="78"/>
  <c r="CL56" i="78"/>
  <c r="CN62" i="78"/>
  <c r="CP48" i="78"/>
  <c r="CP56" i="78"/>
  <c r="CP64" i="78"/>
  <c r="CP49" i="78"/>
  <c r="CP57" i="78"/>
  <c r="CP65" i="78"/>
  <c r="CO146" i="78"/>
  <c r="CP47" i="78"/>
  <c r="CP55" i="78"/>
  <c r="CP63" i="78"/>
  <c r="CP50" i="78"/>
  <c r="CP58" i="78"/>
  <c r="CP66" i="78"/>
  <c r="CC59" i="78"/>
  <c r="CC72" i="78"/>
  <c r="CA72" i="78"/>
  <c r="CA62" i="78"/>
  <c r="CA54" i="78"/>
  <c r="CA46" i="78"/>
  <c r="CA67" i="78"/>
  <c r="CA59" i="78"/>
  <c r="CA51" i="78"/>
  <c r="CA49" i="78"/>
  <c r="CC50" i="78"/>
  <c r="CA57" i="78"/>
  <c r="CC58" i="78"/>
  <c r="CA65" i="78"/>
  <c r="CC66" i="78"/>
  <c r="CB69" i="78"/>
  <c r="CB61" i="78"/>
  <c r="CB53" i="78"/>
  <c r="CB45" i="78"/>
  <c r="CB66" i="78"/>
  <c r="CB58" i="78"/>
  <c r="CB50" i="78"/>
  <c r="CA146" i="78"/>
  <c r="CA48" i="78"/>
  <c r="CB49" i="78"/>
  <c r="CD50" i="78"/>
  <c r="CA56" i="78"/>
  <c r="CB57" i="78"/>
  <c r="CD58" i="78"/>
  <c r="CA64" i="78"/>
  <c r="CB65" i="78"/>
  <c r="CD66" i="78"/>
  <c r="CC68" i="78"/>
  <c r="CC60" i="78"/>
  <c r="CC52" i="78"/>
  <c r="CB146" i="78"/>
  <c r="CC65" i="78"/>
  <c r="CC57" i="78"/>
  <c r="CC49" i="78"/>
  <c r="CD67" i="78"/>
  <c r="CD59" i="78"/>
  <c r="CD51" i="78"/>
  <c r="CD146" i="78"/>
  <c r="CD64" i="78"/>
  <c r="CD56" i="78"/>
  <c r="CD48" i="78"/>
  <c r="CD72" i="78"/>
  <c r="CC48" i="78"/>
  <c r="CC56" i="78"/>
  <c r="CC64" i="78"/>
  <c r="CA45" i="78"/>
  <c r="CC46" i="78"/>
  <c r="CC47" i="78"/>
  <c r="CA53" i="78"/>
  <c r="CC54" i="78"/>
  <c r="CA61" i="78"/>
  <c r="CC62" i="78"/>
  <c r="CC63" i="78"/>
  <c r="CD68" i="78"/>
  <c r="CC45" i="78"/>
  <c r="CD46" i="78"/>
  <c r="CD47" i="78"/>
  <c r="CA52" i="78"/>
  <c r="CC53" i="78"/>
  <c r="CD54" i="78"/>
  <c r="CD55" i="78"/>
  <c r="CA60" i="78"/>
  <c r="CC61" i="78"/>
  <c r="CD62" i="78"/>
  <c r="CD63" i="78"/>
  <c r="CC55" i="78"/>
  <c r="CD45" i="78"/>
  <c r="CB51" i="78"/>
  <c r="CB52" i="78"/>
  <c r="CD53" i="78"/>
  <c r="CB59" i="78"/>
  <c r="CB60" i="78"/>
  <c r="CD61" i="78"/>
  <c r="CC67" i="78"/>
  <c r="CB72" i="78"/>
  <c r="CC146" i="78"/>
  <c r="CE47" i="78"/>
  <c r="CE55" i="78"/>
  <c r="CE63" i="78"/>
  <c r="CE50" i="78"/>
  <c r="CE58" i="78"/>
  <c r="CE66" i="78"/>
  <c r="BP57" i="78"/>
  <c r="BR68" i="78"/>
  <c r="BR60" i="78"/>
  <c r="BR52" i="78"/>
  <c r="BR67" i="78"/>
  <c r="BR59" i="78"/>
  <c r="BR51" i="78"/>
  <c r="BR49" i="78"/>
  <c r="BR66" i="78"/>
  <c r="BR58" i="78"/>
  <c r="BR50" i="78"/>
  <c r="BQ146" i="78"/>
  <c r="BR65" i="78"/>
  <c r="BR57" i="78"/>
  <c r="BQ48" i="78"/>
  <c r="BR53" i="78"/>
  <c r="BQ62" i="78"/>
  <c r="BP65" i="78"/>
  <c r="BS67" i="78"/>
  <c r="BS59" i="78"/>
  <c r="BS51" i="78"/>
  <c r="BS66" i="78"/>
  <c r="BS58" i="78"/>
  <c r="BS50" i="78"/>
  <c r="BS56" i="78"/>
  <c r="BS48" i="78"/>
  <c r="BR146" i="78"/>
  <c r="BS65" i="78"/>
  <c r="BS57" i="78"/>
  <c r="BS49" i="78"/>
  <c r="BS64" i="78"/>
  <c r="BP47" i="78"/>
  <c r="BR48" i="78"/>
  <c r="BP50" i="78"/>
  <c r="BS53" i="78"/>
  <c r="BP56" i="78"/>
  <c r="BR62" i="78"/>
  <c r="BQ65" i="78"/>
  <c r="BQ69" i="78"/>
  <c r="BQ61" i="78"/>
  <c r="BQ53" i="78"/>
  <c r="BQ45" i="78"/>
  <c r="BQ68" i="78"/>
  <c r="BQ60" i="78"/>
  <c r="BQ52" i="78"/>
  <c r="BQ50" i="78"/>
  <c r="BQ67" i="78"/>
  <c r="BQ59" i="78"/>
  <c r="BQ51" i="78"/>
  <c r="BQ66" i="78"/>
  <c r="BQ58" i="78"/>
  <c r="BP146" i="78"/>
  <c r="BQ57" i="78"/>
  <c r="BQ47" i="78"/>
  <c r="BQ56" i="78"/>
  <c r="BR61" i="78"/>
  <c r="BR72" i="78"/>
  <c r="BP72" i="78"/>
  <c r="BP62" i="78"/>
  <c r="BP54" i="78"/>
  <c r="BP46" i="78"/>
  <c r="BP69" i="78"/>
  <c r="BP61" i="78"/>
  <c r="BP53" i="78"/>
  <c r="BP45" i="78"/>
  <c r="BP51" i="78"/>
  <c r="BP68" i="78"/>
  <c r="BP60" i="78"/>
  <c r="BP52" i="78"/>
  <c r="BP67" i="78"/>
  <c r="BP59" i="78"/>
  <c r="BR47" i="78"/>
  <c r="BP55" i="78"/>
  <c r="BR56" i="78"/>
  <c r="BP58" i="78"/>
  <c r="BP64" i="78"/>
  <c r="BT55" i="78"/>
  <c r="BT63" i="78"/>
  <c r="BT48" i="78"/>
  <c r="BT56" i="78"/>
  <c r="BT64" i="78"/>
  <c r="BT47" i="78"/>
  <c r="BT49" i="78"/>
  <c r="BT57" i="78"/>
  <c r="BT65" i="78"/>
  <c r="BS146" i="78"/>
  <c r="BT50" i="78"/>
  <c r="BT58" i="78"/>
  <c r="BT66" i="78"/>
  <c r="BE58" i="78"/>
  <c r="BE47" i="78"/>
  <c r="BE51" i="78"/>
  <c r="BG56" i="78"/>
  <c r="BG65" i="78"/>
  <c r="BE68" i="78"/>
  <c r="BG47" i="78"/>
  <c r="BI48" i="78"/>
  <c r="BE55" i="78"/>
  <c r="BH56" i="78"/>
  <c r="BE59" i="78"/>
  <c r="BH60" i="78"/>
  <c r="BG64" i="78"/>
  <c r="BH65" i="78"/>
  <c r="BE66" i="78"/>
  <c r="BG53" i="78"/>
  <c r="BH67" i="78"/>
  <c r="BH59" i="78"/>
  <c r="BH51" i="78"/>
  <c r="BH66" i="78"/>
  <c r="BH58" i="78"/>
  <c r="BH50" i="78"/>
  <c r="BG146" i="78"/>
  <c r="BH69" i="78"/>
  <c r="BH61" i="78"/>
  <c r="BH53" i="78"/>
  <c r="BH45" i="78"/>
  <c r="BG49" i="78"/>
  <c r="BE52" i="78"/>
  <c r="BI53" i="78"/>
  <c r="BG61" i="78"/>
  <c r="BE65" i="78"/>
  <c r="BG66" i="78"/>
  <c r="BE72" i="78"/>
  <c r="BE62" i="78"/>
  <c r="BE54" i="78"/>
  <c r="BE46" i="78"/>
  <c r="BE69" i="78"/>
  <c r="BE61" i="78"/>
  <c r="BE53" i="78"/>
  <c r="BE45" i="78"/>
  <c r="BE64" i="78"/>
  <c r="BE56" i="78"/>
  <c r="BE48" i="78"/>
  <c r="BE49" i="78"/>
  <c r="BG68" i="78"/>
  <c r="BG60" i="78"/>
  <c r="BG52" i="78"/>
  <c r="BG67" i="78"/>
  <c r="BG59" i="78"/>
  <c r="BG51" i="78"/>
  <c r="BG72" i="78"/>
  <c r="BG62" i="78"/>
  <c r="BG54" i="78"/>
  <c r="BG46" i="78"/>
  <c r="BE57" i="78"/>
  <c r="BG58" i="78"/>
  <c r="BI66" i="78"/>
  <c r="BI58" i="78"/>
  <c r="BI50" i="78"/>
  <c r="BH146" i="78"/>
  <c r="BI65" i="78"/>
  <c r="BI57" i="78"/>
  <c r="BI49" i="78"/>
  <c r="BI68" i="78"/>
  <c r="BI60" i="78"/>
  <c r="BI52" i="78"/>
  <c r="BG48" i="78"/>
  <c r="BG57" i="78"/>
  <c r="BE60" i="78"/>
  <c r="BI61" i="78"/>
  <c r="BI69" i="78"/>
  <c r="BF146" i="78"/>
  <c r="BF47" i="78"/>
  <c r="BF55" i="78"/>
  <c r="BF63" i="78"/>
  <c r="BF68" i="78"/>
  <c r="BF45" i="78"/>
  <c r="BF53" i="78"/>
  <c r="BF61" i="78"/>
  <c r="AX66" i="78"/>
  <c r="AX67" i="78"/>
  <c r="AV67" i="78"/>
  <c r="AV59" i="78"/>
  <c r="AV51" i="78"/>
  <c r="AV146" i="78"/>
  <c r="AV64" i="78"/>
  <c r="AV56" i="78"/>
  <c r="AV48" i="78"/>
  <c r="AX50" i="78"/>
  <c r="AX51" i="78"/>
  <c r="AV57" i="78"/>
  <c r="AX60" i="78"/>
  <c r="AV66" i="78"/>
  <c r="AX58" i="78"/>
  <c r="AX59" i="78"/>
  <c r="AV65" i="78"/>
  <c r="AX68" i="78"/>
  <c r="AX48" i="78"/>
  <c r="AV54" i="78"/>
  <c r="AV63" i="78"/>
  <c r="AV72" i="78"/>
  <c r="AV52" i="78"/>
  <c r="AV62" i="78"/>
  <c r="AT69" i="78"/>
  <c r="AT61" i="78"/>
  <c r="AT53" i="78"/>
  <c r="AT45" i="78"/>
  <c r="AT66" i="78"/>
  <c r="AT58" i="78"/>
  <c r="AT50" i="78"/>
  <c r="AT49" i="78"/>
  <c r="AV50" i="78"/>
  <c r="AU58" i="78"/>
  <c r="AT59" i="78"/>
  <c r="AV60" i="78"/>
  <c r="AT68" i="78"/>
  <c r="AV69" i="78"/>
  <c r="AW146" i="78"/>
  <c r="AX65" i="78"/>
  <c r="AX57" i="78"/>
  <c r="AX49" i="78"/>
  <c r="AX72" i="78"/>
  <c r="AX62" i="78"/>
  <c r="AX54" i="78"/>
  <c r="AX46" i="78"/>
  <c r="AX69" i="78"/>
  <c r="AX47" i="78"/>
  <c r="AX56" i="78"/>
  <c r="AV53" i="78"/>
  <c r="AX55" i="78"/>
  <c r="AX64" i="78"/>
  <c r="AX45" i="78"/>
  <c r="AV61" i="78"/>
  <c r="AX63" i="78"/>
  <c r="AU68" i="78"/>
  <c r="AU60" i="78"/>
  <c r="AU52" i="78"/>
  <c r="AT146" i="78"/>
  <c r="AU65" i="78"/>
  <c r="AU57" i="78"/>
  <c r="AU49" i="78"/>
  <c r="AT48" i="78"/>
  <c r="AV49" i="78"/>
  <c r="AX52" i="78"/>
  <c r="AT57" i="78"/>
  <c r="AV58" i="78"/>
  <c r="AU59" i="78"/>
  <c r="AX61" i="78"/>
  <c r="AU66" i="78"/>
  <c r="AT67" i="78"/>
  <c r="AV68" i="78"/>
  <c r="AU146" i="78"/>
  <c r="AW47" i="78"/>
  <c r="AW55" i="78"/>
  <c r="AJ46" i="78"/>
  <c r="AJ55" i="78"/>
  <c r="AJ60" i="78"/>
  <c r="AJ64" i="78"/>
  <c r="AI45" i="78"/>
  <c r="AK47" i="78"/>
  <c r="AI53" i="78"/>
  <c r="AK55" i="78"/>
  <c r="AL67" i="78"/>
  <c r="AL59" i="78"/>
  <c r="AL51" i="78"/>
  <c r="AK146" i="78"/>
  <c r="AL65" i="78"/>
  <c r="AL57" i="78"/>
  <c r="AL49" i="78"/>
  <c r="AL69" i="78"/>
  <c r="AL61" i="78"/>
  <c r="AK45" i="78"/>
  <c r="AL46" i="78"/>
  <c r="AL47" i="78"/>
  <c r="AL54" i="78"/>
  <c r="AL55" i="78"/>
  <c r="AI59" i="78"/>
  <c r="AI63" i="78"/>
  <c r="AL64" i="78"/>
  <c r="AI67" i="78"/>
  <c r="AI47" i="78"/>
  <c r="AJ69" i="78"/>
  <c r="AJ61" i="78"/>
  <c r="AJ53" i="78"/>
  <c r="AJ45" i="78"/>
  <c r="AJ67" i="78"/>
  <c r="AJ59" i="78"/>
  <c r="AJ51" i="78"/>
  <c r="AJ63" i="78"/>
  <c r="AJ47" i="78"/>
  <c r="AJ54" i="78"/>
  <c r="AJ68" i="78"/>
  <c r="AK68" i="78"/>
  <c r="AK60" i="78"/>
  <c r="AK52" i="78"/>
  <c r="AK66" i="78"/>
  <c r="AK58" i="78"/>
  <c r="AK50" i="78"/>
  <c r="AJ146" i="78"/>
  <c r="AK72" i="78"/>
  <c r="AK62" i="78"/>
  <c r="AK46" i="78"/>
  <c r="AK54" i="78"/>
  <c r="AK64" i="78"/>
  <c r="AM66" i="78"/>
  <c r="AM58" i="78"/>
  <c r="AM50" i="78"/>
  <c r="AL146" i="78"/>
  <c r="AM64" i="78"/>
  <c r="AM56" i="78"/>
  <c r="AM48" i="78"/>
  <c r="AM68" i="78"/>
  <c r="AM60" i="78"/>
  <c r="AL45" i="78"/>
  <c r="AM46" i="78"/>
  <c r="AM47" i="78"/>
  <c r="AI51" i="78"/>
  <c r="AL52" i="78"/>
  <c r="AL53" i="78"/>
  <c r="AM54" i="78"/>
  <c r="AM55" i="78"/>
  <c r="AK59" i="78"/>
  <c r="AK63" i="78"/>
  <c r="AK67" i="78"/>
  <c r="AJ62" i="78"/>
  <c r="AJ72" i="78"/>
  <c r="AI72" i="78"/>
  <c r="AI62" i="78"/>
  <c r="AI54" i="78"/>
  <c r="AI46" i="78"/>
  <c r="AI68" i="78"/>
  <c r="AI60" i="78"/>
  <c r="AI52" i="78"/>
  <c r="AI64" i="78"/>
  <c r="AI55" i="78"/>
  <c r="AI50" i="78"/>
  <c r="AI58" i="78"/>
  <c r="AI49" i="78"/>
  <c r="AJ50" i="78"/>
  <c r="AI57" i="78"/>
  <c r="AJ58" i="78"/>
  <c r="AJ66" i="78"/>
  <c r="AI146" i="78"/>
  <c r="CG72" i="78" l="1"/>
  <c r="CG109" i="78" s="1"/>
  <c r="BV72" i="78"/>
  <c r="BV109" i="78" s="1"/>
  <c r="AO72" i="78"/>
  <c r="AO109" i="78" s="1"/>
  <c r="AZ72" i="78"/>
  <c r="AZ109" i="78" s="1"/>
  <c r="BK72" i="78"/>
  <c r="BK109" i="78" s="1"/>
  <c r="CR72" i="78"/>
  <c r="CR109" i="78" s="1"/>
  <c r="CT72" i="78"/>
  <c r="CT109" i="78" s="1"/>
  <c r="D99" i="52"/>
  <c r="B94" i="52"/>
  <c r="C94" i="52"/>
  <c r="D94" i="52"/>
  <c r="B95" i="52"/>
  <c r="C95" i="52"/>
  <c r="D95" i="52"/>
  <c r="B96" i="52"/>
  <c r="C96" i="52"/>
  <c r="D96" i="52"/>
  <c r="B97" i="52"/>
  <c r="C97" i="52"/>
  <c r="D97" i="52"/>
  <c r="B98" i="52"/>
  <c r="C98" i="52"/>
  <c r="D98" i="52"/>
  <c r="B99" i="52"/>
  <c r="C99" i="52"/>
  <c r="B100" i="52"/>
  <c r="C100" i="52"/>
  <c r="D100" i="52"/>
  <c r="B101" i="52"/>
  <c r="C101" i="52"/>
  <c r="D101" i="52"/>
  <c r="C93" i="52"/>
  <c r="D93" i="52"/>
  <c r="B93" i="52"/>
  <c r="AN92" i="52"/>
  <c r="AM92" i="52"/>
  <c r="AL92" i="52"/>
  <c r="AJ92" i="52"/>
  <c r="AI92" i="52"/>
  <c r="AH92" i="52"/>
  <c r="AF92" i="52"/>
  <c r="AE92" i="52"/>
  <c r="AD92" i="52"/>
  <c r="D76" i="52"/>
  <c r="D83" i="52"/>
  <c r="C83" i="52"/>
  <c r="B83" i="52"/>
  <c r="D82" i="52"/>
  <c r="C82" i="52"/>
  <c r="B82" i="52"/>
  <c r="D81" i="52"/>
  <c r="C81" i="52"/>
  <c r="B81" i="52"/>
  <c r="D80" i="52"/>
  <c r="C80" i="52"/>
  <c r="B80" i="52"/>
  <c r="D79" i="52"/>
  <c r="C79" i="52"/>
  <c r="B79" i="52"/>
  <c r="D78" i="52"/>
  <c r="C78" i="52"/>
  <c r="B78" i="52"/>
  <c r="D77" i="52"/>
  <c r="C77" i="52"/>
  <c r="B77" i="52"/>
  <c r="C76" i="52"/>
  <c r="B76" i="52"/>
  <c r="D75" i="52"/>
  <c r="C75" i="52"/>
  <c r="B75" i="52"/>
  <c r="D71" i="52"/>
  <c r="C71" i="52"/>
  <c r="B71" i="52"/>
  <c r="D70" i="52"/>
  <c r="C70" i="52"/>
  <c r="B70" i="52"/>
  <c r="D69" i="52"/>
  <c r="C69" i="52"/>
  <c r="B69" i="52"/>
  <c r="D68" i="52"/>
  <c r="C68" i="52"/>
  <c r="B68" i="52"/>
  <c r="D67" i="52"/>
  <c r="C67" i="52"/>
  <c r="B67" i="52"/>
  <c r="D66" i="52"/>
  <c r="C66" i="52"/>
  <c r="B66" i="52"/>
  <c r="D65" i="52"/>
  <c r="C65" i="52"/>
  <c r="B65" i="52"/>
  <c r="D64" i="52"/>
  <c r="C64" i="52"/>
  <c r="B64" i="52"/>
  <c r="D63" i="52"/>
  <c r="C63" i="52"/>
  <c r="B63" i="52"/>
  <c r="B52" i="52"/>
  <c r="C52" i="52"/>
  <c r="D52" i="52"/>
  <c r="B53" i="52"/>
  <c r="C53" i="52"/>
  <c r="D53" i="52"/>
  <c r="B54" i="52"/>
  <c r="C54" i="52"/>
  <c r="D54" i="52"/>
  <c r="B55" i="52"/>
  <c r="C55" i="52"/>
  <c r="D55" i="52"/>
  <c r="B56" i="52"/>
  <c r="C56" i="52"/>
  <c r="D56" i="52"/>
  <c r="B57" i="52"/>
  <c r="C57" i="52"/>
  <c r="D57" i="52"/>
  <c r="B58" i="52"/>
  <c r="C58" i="52"/>
  <c r="D58" i="52"/>
  <c r="B59" i="52"/>
  <c r="C59" i="52"/>
  <c r="D59" i="52"/>
  <c r="C51" i="52"/>
  <c r="D51" i="52"/>
  <c r="B51" i="52"/>
  <c r="AN74" i="52"/>
  <c r="AM74" i="52"/>
  <c r="AL74" i="52"/>
  <c r="AN62" i="52"/>
  <c r="AM62" i="52"/>
  <c r="AL62" i="52"/>
  <c r="AN50" i="52"/>
  <c r="AM50" i="52"/>
  <c r="AL50" i="52"/>
  <c r="AJ74" i="52"/>
  <c r="AI74" i="52"/>
  <c r="AH74" i="52"/>
  <c r="AJ62" i="52"/>
  <c r="AI62" i="52"/>
  <c r="AH62" i="52"/>
  <c r="AJ50" i="52"/>
  <c r="AI50" i="52"/>
  <c r="AH50" i="52"/>
  <c r="AF74" i="52"/>
  <c r="AE74" i="52"/>
  <c r="AD74" i="52"/>
  <c r="AF62" i="52"/>
  <c r="AE62" i="52"/>
  <c r="AD62" i="52"/>
  <c r="AF50" i="52"/>
  <c r="AE50" i="52"/>
  <c r="AD50" i="52"/>
  <c r="AD9" i="52"/>
  <c r="D41" i="52"/>
  <c r="C41" i="52"/>
  <c r="B41" i="52"/>
  <c r="D40" i="52"/>
  <c r="C40" i="52"/>
  <c r="B40" i="52"/>
  <c r="D39" i="52"/>
  <c r="C39" i="52"/>
  <c r="B39" i="52"/>
  <c r="D38" i="52"/>
  <c r="C38" i="52"/>
  <c r="B38" i="52"/>
  <c r="D37" i="52"/>
  <c r="C37" i="52"/>
  <c r="B37" i="52"/>
  <c r="D36" i="52"/>
  <c r="C36" i="52"/>
  <c r="B36" i="52"/>
  <c r="D35" i="52"/>
  <c r="C35" i="52"/>
  <c r="B35" i="52"/>
  <c r="D34" i="52"/>
  <c r="C34" i="52"/>
  <c r="B34" i="52"/>
  <c r="D33" i="52"/>
  <c r="C33" i="52"/>
  <c r="B33" i="52"/>
  <c r="B22" i="52"/>
  <c r="C22" i="52"/>
  <c r="D22" i="52"/>
  <c r="B23" i="52"/>
  <c r="C23" i="52"/>
  <c r="D23" i="52"/>
  <c r="B24" i="52"/>
  <c r="C24" i="52"/>
  <c r="D24" i="52"/>
  <c r="B25" i="52"/>
  <c r="C25" i="52"/>
  <c r="D25" i="52"/>
  <c r="B26" i="52"/>
  <c r="C26" i="52"/>
  <c r="D26" i="52"/>
  <c r="B27" i="52"/>
  <c r="C27" i="52"/>
  <c r="D27" i="52"/>
  <c r="B28" i="52"/>
  <c r="C28" i="52"/>
  <c r="D28" i="52"/>
  <c r="B29" i="52"/>
  <c r="C29" i="52"/>
  <c r="D29" i="52"/>
  <c r="C21" i="52"/>
  <c r="D21" i="52"/>
  <c r="AL4" i="52"/>
  <c r="AM88" i="52" s="1"/>
  <c r="AH4" i="52"/>
  <c r="AH46" i="52" s="1"/>
  <c r="AD4" i="52"/>
  <c r="AD88" i="52" s="1"/>
  <c r="AN32" i="52"/>
  <c r="AM32" i="52"/>
  <c r="AL32" i="52"/>
  <c r="AN20" i="52"/>
  <c r="AM20" i="52"/>
  <c r="AL20" i="52"/>
  <c r="AN17" i="52"/>
  <c r="AM17" i="52"/>
  <c r="AL17" i="52"/>
  <c r="AN16" i="52"/>
  <c r="AM16" i="52"/>
  <c r="AL16" i="52"/>
  <c r="AN15" i="52"/>
  <c r="AM15" i="52"/>
  <c r="AL15" i="52"/>
  <c r="AN14" i="52"/>
  <c r="AM14" i="52"/>
  <c r="AL14" i="52"/>
  <c r="AN13" i="52"/>
  <c r="AM13" i="52"/>
  <c r="AL13" i="52"/>
  <c r="AN12" i="52"/>
  <c r="AM12" i="52"/>
  <c r="AL12" i="52"/>
  <c r="AN11" i="52"/>
  <c r="AM11" i="52"/>
  <c r="AL11" i="52"/>
  <c r="AN10" i="52"/>
  <c r="AM10" i="52"/>
  <c r="AL10" i="52"/>
  <c r="AN9" i="52"/>
  <c r="AM9" i="52"/>
  <c r="AL9" i="52"/>
  <c r="AJ32" i="52"/>
  <c r="AI32" i="52"/>
  <c r="AH32" i="52"/>
  <c r="AJ20" i="52"/>
  <c r="AI20" i="52"/>
  <c r="AH20" i="52"/>
  <c r="AJ17" i="52"/>
  <c r="AI17" i="52"/>
  <c r="AH17" i="52"/>
  <c r="AJ16" i="52"/>
  <c r="AI16" i="52"/>
  <c r="AH16" i="52"/>
  <c r="AJ15" i="52"/>
  <c r="AI15" i="52"/>
  <c r="AH15" i="52"/>
  <c r="AJ14" i="52"/>
  <c r="AI14" i="52"/>
  <c r="AH14" i="52"/>
  <c r="AJ13" i="52"/>
  <c r="AI13" i="52"/>
  <c r="AH13" i="52"/>
  <c r="AJ12" i="52"/>
  <c r="AI12" i="52"/>
  <c r="AH12" i="52"/>
  <c r="AJ11" i="52"/>
  <c r="AI11" i="52"/>
  <c r="AH11" i="52"/>
  <c r="AJ10" i="52"/>
  <c r="AI10" i="52"/>
  <c r="AH10" i="52"/>
  <c r="AJ9" i="52"/>
  <c r="AI9" i="52"/>
  <c r="AH9" i="52"/>
  <c r="AF32" i="52"/>
  <c r="AE32" i="52"/>
  <c r="AD32" i="52"/>
  <c r="AF20" i="52"/>
  <c r="AE20" i="52"/>
  <c r="AD20" i="52"/>
  <c r="AF17" i="52"/>
  <c r="AE17" i="52"/>
  <c r="AD17" i="52"/>
  <c r="AF16" i="52"/>
  <c r="AE16" i="52"/>
  <c r="AD16" i="52"/>
  <c r="AF15" i="52"/>
  <c r="AE15" i="52"/>
  <c r="AD15" i="52"/>
  <c r="AF14" i="52"/>
  <c r="AE14" i="52"/>
  <c r="AD14" i="52"/>
  <c r="AF13" i="52"/>
  <c r="AE13" i="52"/>
  <c r="AD13" i="52"/>
  <c r="AF12" i="52"/>
  <c r="AE12" i="52"/>
  <c r="AD12" i="52"/>
  <c r="AF11" i="52"/>
  <c r="AE11" i="52"/>
  <c r="AD11" i="52"/>
  <c r="AF10" i="52"/>
  <c r="AE10" i="52"/>
  <c r="AD10" i="52"/>
  <c r="AF9" i="52"/>
  <c r="AE9" i="52"/>
  <c r="Z4" i="52"/>
  <c r="Z88" i="52" s="1"/>
  <c r="V4" i="52"/>
  <c r="V46" i="52" s="1"/>
  <c r="R4" i="52"/>
  <c r="R88" i="52" s="1"/>
  <c r="N5" i="52"/>
  <c r="Z5" i="52" s="1"/>
  <c r="AL5" i="52" s="1"/>
  <c r="N4" i="52"/>
  <c r="J4" i="52"/>
  <c r="F4" i="52"/>
  <c r="A35" i="78"/>
  <c r="A9" i="78"/>
  <c r="A10" i="78"/>
  <c r="A11" i="78"/>
  <c r="A12" i="78"/>
  <c r="A13" i="78"/>
  <c r="A14" i="78"/>
  <c r="A15" i="78"/>
  <c r="A16" i="78"/>
  <c r="A17" i="78"/>
  <c r="A18" i="78"/>
  <c r="A19" i="78"/>
  <c r="A20" i="78"/>
  <c r="A21" i="78"/>
  <c r="A22" i="78"/>
  <c r="A23" i="78"/>
  <c r="A24" i="78"/>
  <c r="A25" i="78"/>
  <c r="A26" i="78"/>
  <c r="A27" i="78"/>
  <c r="A28" i="78"/>
  <c r="A29" i="78"/>
  <c r="A30" i="78"/>
  <c r="A31" i="78"/>
  <c r="A32" i="78"/>
  <c r="A8" i="78"/>
  <c r="AB92" i="52"/>
  <c r="AA92" i="52"/>
  <c r="Z92" i="52"/>
  <c r="X92" i="52"/>
  <c r="W92" i="52"/>
  <c r="V92" i="52"/>
  <c r="T92" i="52"/>
  <c r="S92" i="52"/>
  <c r="R92" i="52"/>
  <c r="AB12" i="52"/>
  <c r="AB74" i="52"/>
  <c r="AA74" i="52"/>
  <c r="Z74" i="52"/>
  <c r="AB62" i="52"/>
  <c r="AA62" i="52"/>
  <c r="Z62" i="52"/>
  <c r="AB50" i="52"/>
  <c r="AA50" i="52"/>
  <c r="Z50" i="52"/>
  <c r="X74" i="52"/>
  <c r="W74" i="52"/>
  <c r="V74" i="52"/>
  <c r="X62" i="52"/>
  <c r="W62" i="52"/>
  <c r="V62" i="52"/>
  <c r="X50" i="52"/>
  <c r="W50" i="52"/>
  <c r="V50" i="52"/>
  <c r="T74" i="52"/>
  <c r="S74" i="52"/>
  <c r="R74" i="52"/>
  <c r="T62" i="52"/>
  <c r="S62" i="52"/>
  <c r="R62" i="52"/>
  <c r="T50" i="52"/>
  <c r="S50" i="52"/>
  <c r="R50" i="52"/>
  <c r="R14" i="52"/>
  <c r="AB32" i="52"/>
  <c r="AA32" i="52"/>
  <c r="Z32" i="52"/>
  <c r="AB20" i="52"/>
  <c r="AA20" i="52"/>
  <c r="Z20" i="52"/>
  <c r="AB17" i="52"/>
  <c r="AA17" i="52"/>
  <c r="Z17" i="52"/>
  <c r="AB16" i="52"/>
  <c r="AA16" i="52"/>
  <c r="Z16" i="52"/>
  <c r="AB15" i="52"/>
  <c r="AA15" i="52"/>
  <c r="Z15" i="52"/>
  <c r="AB14" i="52"/>
  <c r="AA14" i="52"/>
  <c r="Z14" i="52"/>
  <c r="AB13" i="52"/>
  <c r="AA13" i="52"/>
  <c r="Z13" i="52"/>
  <c r="AA12" i="52"/>
  <c r="Z12" i="52"/>
  <c r="AB11" i="52"/>
  <c r="AA11" i="52"/>
  <c r="Z11" i="52"/>
  <c r="AB10" i="52"/>
  <c r="AA10" i="52"/>
  <c r="Z10" i="52"/>
  <c r="AB9" i="52"/>
  <c r="AA9" i="52"/>
  <c r="Z9" i="52"/>
  <c r="X32" i="52"/>
  <c r="W32" i="52"/>
  <c r="V32" i="52"/>
  <c r="X20" i="52"/>
  <c r="W20" i="52"/>
  <c r="V20" i="52"/>
  <c r="X17" i="52"/>
  <c r="W17" i="52"/>
  <c r="V17" i="52"/>
  <c r="X16" i="52"/>
  <c r="W16" i="52"/>
  <c r="V16" i="52"/>
  <c r="X15" i="52"/>
  <c r="W15" i="52"/>
  <c r="V15" i="52"/>
  <c r="X14" i="52"/>
  <c r="W14" i="52"/>
  <c r="V14" i="52"/>
  <c r="X13" i="52"/>
  <c r="W13" i="52"/>
  <c r="V13" i="52"/>
  <c r="X12" i="52"/>
  <c r="W12" i="52"/>
  <c r="V12" i="52"/>
  <c r="X11" i="52"/>
  <c r="W11" i="52"/>
  <c r="V11" i="52"/>
  <c r="X10" i="52"/>
  <c r="W10" i="52"/>
  <c r="V10" i="52"/>
  <c r="X9" i="52"/>
  <c r="W9" i="52"/>
  <c r="V9" i="52"/>
  <c r="T32" i="52"/>
  <c r="S32" i="52"/>
  <c r="R32" i="52"/>
  <c r="T20" i="52"/>
  <c r="S20" i="52"/>
  <c r="R20" i="52"/>
  <c r="T17" i="52"/>
  <c r="S17" i="52"/>
  <c r="R17" i="52"/>
  <c r="T16" i="52"/>
  <c r="S16" i="52"/>
  <c r="R16" i="52"/>
  <c r="T15" i="52"/>
  <c r="S15" i="52"/>
  <c r="R15" i="52"/>
  <c r="T14" i="52"/>
  <c r="S14" i="52"/>
  <c r="T13" i="52"/>
  <c r="S13" i="52"/>
  <c r="R13" i="52"/>
  <c r="T12" i="52"/>
  <c r="S12" i="52"/>
  <c r="R12" i="52"/>
  <c r="T11" i="52"/>
  <c r="S11" i="52"/>
  <c r="R11" i="52"/>
  <c r="T10" i="52"/>
  <c r="S10" i="52"/>
  <c r="R10" i="52"/>
  <c r="T9" i="52"/>
  <c r="S9" i="52"/>
  <c r="R9" i="52"/>
  <c r="AL46" i="52" l="1"/>
  <c r="AD46" i="52"/>
  <c r="R46" i="52"/>
  <c r="Z46" i="52"/>
  <c r="AH88" i="52"/>
  <c r="B92" i="52"/>
  <c r="AA8" i="52"/>
  <c r="AN8" i="52"/>
  <c r="AJ8" i="52"/>
  <c r="AE8" i="52"/>
  <c r="B11" i="52"/>
  <c r="B50" i="52"/>
  <c r="AL8" i="52"/>
  <c r="AM8" i="52"/>
  <c r="AH8" i="52"/>
  <c r="AI8" i="52"/>
  <c r="AD8" i="52"/>
  <c r="AF8" i="52"/>
  <c r="B9" i="52"/>
  <c r="D11" i="52"/>
  <c r="V88" i="52"/>
  <c r="T8" i="52"/>
  <c r="AB8" i="52"/>
  <c r="Z8" i="52"/>
  <c r="V8" i="52"/>
  <c r="W8" i="52"/>
  <c r="X8" i="52"/>
  <c r="R8" i="52"/>
  <c r="S8" i="52"/>
  <c r="A13" i="44"/>
  <c r="A27" i="44" s="1"/>
  <c r="A41" i="44" s="1"/>
  <c r="A55" i="44" s="1"/>
  <c r="A12" i="44"/>
  <c r="A26" i="44" s="1"/>
  <c r="A40" i="44" s="1"/>
  <c r="A54" i="44" s="1"/>
  <c r="A8" i="44"/>
  <c r="A22" i="44" s="1"/>
  <c r="A36" i="44" s="1"/>
  <c r="A50" i="44" s="1"/>
  <c r="A9" i="44"/>
  <c r="A23" i="44" s="1"/>
  <c r="A37" i="44" s="1"/>
  <c r="A51" i="44" s="1"/>
  <c r="A10" i="44"/>
  <c r="A24" i="44" s="1"/>
  <c r="A38" i="44" s="1"/>
  <c r="A52" i="44" s="1"/>
  <c r="A11" i="44"/>
  <c r="A25" i="44" s="1"/>
  <c r="A39" i="44" s="1"/>
  <c r="A53" i="44" s="1"/>
  <c r="O15" i="76"/>
  <c r="P15" i="76"/>
  <c r="Q15" i="76"/>
  <c r="R15" i="76"/>
  <c r="S15" i="76"/>
  <c r="T15" i="76"/>
  <c r="U15" i="76"/>
  <c r="V15" i="76"/>
  <c r="W15" i="76"/>
  <c r="X15" i="76"/>
  <c r="Y15" i="76"/>
  <c r="Z15" i="76"/>
  <c r="AA15" i="76"/>
  <c r="AB15" i="76"/>
  <c r="AC15" i="76"/>
  <c r="AD15" i="76"/>
  <c r="N15" i="76"/>
  <c r="N9" i="76"/>
  <c r="O5" i="76"/>
  <c r="P5" i="76"/>
  <c r="Q5" i="76"/>
  <c r="R5" i="76"/>
  <c r="S5" i="76"/>
  <c r="T5" i="76"/>
  <c r="U5" i="76"/>
  <c r="V5" i="76"/>
  <c r="W5" i="76"/>
  <c r="X5" i="76"/>
  <c r="Y5" i="76"/>
  <c r="Z5" i="76"/>
  <c r="AA5" i="76"/>
  <c r="AB5" i="76"/>
  <c r="AC5" i="76"/>
  <c r="AD5" i="76"/>
  <c r="N5" i="76"/>
  <c r="B35" i="18" l="1"/>
  <c r="C35" i="18"/>
  <c r="D35" i="18"/>
  <c r="E35" i="18"/>
  <c r="F35" i="18"/>
  <c r="C36" i="18"/>
  <c r="D36" i="18"/>
  <c r="E36" i="18"/>
  <c r="F36" i="18"/>
  <c r="B29" i="18"/>
  <c r="C29" i="18"/>
  <c r="D29" i="18"/>
  <c r="E29" i="18"/>
  <c r="F29" i="18"/>
  <c r="B30" i="18"/>
  <c r="C30" i="18"/>
  <c r="D30" i="18"/>
  <c r="E30" i="18"/>
  <c r="F30" i="18"/>
  <c r="B31" i="18"/>
  <c r="C31" i="18"/>
  <c r="D31" i="18"/>
  <c r="E31" i="18"/>
  <c r="F31" i="18"/>
  <c r="B32" i="18"/>
  <c r="C32" i="18"/>
  <c r="D32" i="18"/>
  <c r="E32" i="18"/>
  <c r="F32" i="18"/>
  <c r="B18" i="18"/>
  <c r="C18" i="18"/>
  <c r="D18" i="18"/>
  <c r="E18" i="18"/>
  <c r="F18" i="18"/>
  <c r="B19" i="18"/>
  <c r="C19" i="18"/>
  <c r="D19" i="18"/>
  <c r="E19" i="18"/>
  <c r="F19" i="18"/>
  <c r="B20" i="18"/>
  <c r="C20" i="18"/>
  <c r="D20" i="18"/>
  <c r="E20" i="18"/>
  <c r="F20" i="18"/>
  <c r="B21" i="18"/>
  <c r="C21" i="18"/>
  <c r="D21" i="18"/>
  <c r="E21" i="18"/>
  <c r="F21" i="18"/>
  <c r="B22" i="18"/>
  <c r="C22" i="18"/>
  <c r="D22" i="18"/>
  <c r="E22" i="18"/>
  <c r="F22" i="18"/>
  <c r="B12" i="18"/>
  <c r="C12" i="18"/>
  <c r="D12" i="18"/>
  <c r="E12" i="18"/>
  <c r="F12" i="18"/>
  <c r="B13" i="18"/>
  <c r="C13" i="18"/>
  <c r="D13" i="18"/>
  <c r="E13" i="18"/>
  <c r="F13" i="18"/>
  <c r="B14" i="18"/>
  <c r="C14" i="18"/>
  <c r="D14" i="18"/>
  <c r="E14" i="18"/>
  <c r="F14" i="18"/>
  <c r="B15" i="18"/>
  <c r="C15" i="18"/>
  <c r="D15" i="18"/>
  <c r="E15" i="18"/>
  <c r="F15" i="18"/>
  <c r="B9" i="18"/>
  <c r="C9" i="18"/>
  <c r="D9" i="18"/>
  <c r="E9" i="18"/>
  <c r="F9" i="18"/>
  <c r="C8" i="18"/>
  <c r="D8" i="18"/>
  <c r="E8" i="18"/>
  <c r="F8" i="18"/>
  <c r="B8" i="18"/>
  <c r="F180" i="71"/>
  <c r="B180" i="71"/>
  <c r="B80" i="16"/>
  <c r="B106" i="71"/>
  <c r="A35" i="71"/>
  <c r="A180" i="71" s="1"/>
  <c r="A9" i="71"/>
  <c r="A10" i="71"/>
  <c r="A11" i="71"/>
  <c r="A12" i="71"/>
  <c r="A13" i="71"/>
  <c r="A158" i="71" s="1"/>
  <c r="A14" i="71"/>
  <c r="A15" i="71"/>
  <c r="A160" i="71" s="1"/>
  <c r="A16" i="71"/>
  <c r="A17" i="71"/>
  <c r="A18" i="71"/>
  <c r="A19" i="71"/>
  <c r="A164" i="71" s="1"/>
  <c r="A20" i="71"/>
  <c r="A21" i="71"/>
  <c r="A22" i="71"/>
  <c r="A167" i="71" s="1"/>
  <c r="A23" i="71"/>
  <c r="A24" i="71"/>
  <c r="A25" i="71"/>
  <c r="A26" i="71"/>
  <c r="A27" i="71"/>
  <c r="A28" i="71"/>
  <c r="A29" i="71"/>
  <c r="A30" i="71"/>
  <c r="A31" i="71"/>
  <c r="A32" i="71"/>
  <c r="A8" i="18"/>
  <c r="L53" i="76" s="1"/>
  <c r="A28" i="12"/>
  <c r="A21" i="12"/>
  <c r="A48" i="12" s="1"/>
  <c r="A22" i="12"/>
  <c r="A49" i="12" s="1"/>
  <c r="A23" i="12"/>
  <c r="A50" i="12" s="1"/>
  <c r="A24" i="12"/>
  <c r="A51" i="12" s="1"/>
  <c r="A25" i="12"/>
  <c r="A52" i="12" s="1"/>
  <c r="A26" i="12"/>
  <c r="A53" i="12" s="1"/>
  <c r="A6" i="12"/>
  <c r="A7" i="12"/>
  <c r="A8" i="12"/>
  <c r="A9" i="12"/>
  <c r="A10" i="12"/>
  <c r="A11" i="12"/>
  <c r="A11" i="15" s="1"/>
  <c r="A93" i="15" s="1"/>
  <c r="A12" i="12"/>
  <c r="A13" i="12"/>
  <c r="A21" i="15" s="1"/>
  <c r="A103" i="15" s="1"/>
  <c r="A14" i="12"/>
  <c r="A22" i="15" s="1"/>
  <c r="A104" i="15" s="1"/>
  <c r="A15" i="12"/>
  <c r="A23" i="15" s="1"/>
  <c r="A105" i="15" s="1"/>
  <c r="A16" i="12"/>
  <c r="A26" i="15" s="1"/>
  <c r="A108" i="15" s="1"/>
  <c r="A17" i="12"/>
  <c r="A27" i="15" s="1"/>
  <c r="A109" i="15" s="1"/>
  <c r="A18" i="12"/>
  <c r="A28" i="15" s="1"/>
  <c r="A110" i="15" s="1"/>
  <c r="A19" i="12"/>
  <c r="A29" i="15" s="1"/>
  <c r="A111" i="15" s="1"/>
  <c r="A20" i="12"/>
  <c r="A47" i="12" s="1"/>
  <c r="A5" i="12"/>
  <c r="A35" i="18" l="1"/>
  <c r="A170" i="71"/>
  <c r="A21" i="18"/>
  <c r="A162" i="71"/>
  <c r="A9" i="18"/>
  <c r="L54" i="76" s="1"/>
  <c r="A154" i="71"/>
  <c r="A177" i="71"/>
  <c r="A32" i="18"/>
  <c r="A169" i="71"/>
  <c r="A20" i="18"/>
  <c r="A161" i="71"/>
  <c r="A176" i="71"/>
  <c r="A31" i="18"/>
  <c r="A168" i="71"/>
  <c r="A15" i="18"/>
  <c r="A175" i="71"/>
  <c r="A18" i="18"/>
  <c r="A159" i="71"/>
  <c r="A19" i="18"/>
  <c r="A30" i="18"/>
  <c r="A174" i="71"/>
  <c r="A29" i="18"/>
  <c r="A166" i="71"/>
  <c r="A173" i="71"/>
  <c r="A26" i="18"/>
  <c r="A165" i="71"/>
  <c r="A14" i="18"/>
  <c r="A157" i="71"/>
  <c r="A172" i="71"/>
  <c r="A13" i="18"/>
  <c r="A156" i="71"/>
  <c r="A36" i="18"/>
  <c r="A171" i="71"/>
  <c r="A22" i="18"/>
  <c r="A163" i="71"/>
  <c r="A12" i="18"/>
  <c r="A155" i="71"/>
  <c r="L22" i="18"/>
  <c r="X4" i="106"/>
  <c r="J9" i="18"/>
  <c r="H8" i="16"/>
  <c r="N153" i="75" s="1"/>
  <c r="Z4" i="106"/>
  <c r="Y4" i="106"/>
  <c r="AB4" i="106"/>
  <c r="AC4" i="106"/>
  <c r="AA4" i="106"/>
  <c r="A72" i="15"/>
  <c r="L18" i="19" s="1"/>
  <c r="L27" i="21"/>
  <c r="A60" i="18"/>
  <c r="L50" i="75"/>
  <c r="L6" i="76"/>
  <c r="A54" i="15"/>
  <c r="L36" i="19" s="1"/>
  <c r="L9" i="21"/>
  <c r="A36" i="15"/>
  <c r="A118" i="15" s="1"/>
  <c r="A38" i="15"/>
  <c r="A120" i="15" s="1"/>
  <c r="A37" i="15"/>
  <c r="A119" i="15" s="1"/>
  <c r="A32" i="15"/>
  <c r="A114" i="15" s="1"/>
  <c r="A111" i="12"/>
  <c r="A33" i="15"/>
  <c r="A115" i="15" s="1"/>
  <c r="A31" i="15"/>
  <c r="A113" i="15" s="1"/>
  <c r="A30" i="15"/>
  <c r="A112" i="15" s="1"/>
  <c r="L30" i="18"/>
  <c r="L41" i="18"/>
  <c r="L9" i="18"/>
  <c r="L19" i="18"/>
  <c r="L13" i="18"/>
  <c r="L32" i="18"/>
  <c r="L48" i="18"/>
  <c r="L49" i="18"/>
  <c r="L12" i="18"/>
  <c r="L31" i="18"/>
  <c r="K8" i="18"/>
  <c r="L8" i="18"/>
  <c r="L15" i="18"/>
  <c r="L18" i="18"/>
  <c r="L36" i="18"/>
  <c r="L45" i="18"/>
  <c r="L21" i="18"/>
  <c r="L29" i="18"/>
  <c r="L40" i="18"/>
  <c r="L14" i="18"/>
  <c r="L35" i="18"/>
  <c r="L44" i="18"/>
  <c r="F64" i="16"/>
  <c r="N3" i="107" s="1"/>
  <c r="L20" i="18"/>
  <c r="I8" i="18"/>
  <c r="I9" i="18"/>
  <c r="K9" i="18"/>
  <c r="H8" i="18"/>
  <c r="J8" i="18"/>
  <c r="H9" i="18"/>
  <c r="B86" i="16"/>
  <c r="A106" i="12"/>
  <c r="A107" i="12"/>
  <c r="A108" i="12"/>
  <c r="A109" i="12"/>
  <c r="A110" i="12"/>
  <c r="A83" i="12"/>
  <c r="A79" i="12"/>
  <c r="A80" i="12"/>
  <c r="A81" i="12"/>
  <c r="A82" i="12"/>
  <c r="A84" i="12"/>
  <c r="F37" i="15"/>
  <c r="F23" i="15"/>
  <c r="F29" i="15"/>
  <c r="F28" i="15"/>
  <c r="F32" i="15"/>
  <c r="F27" i="15"/>
  <c r="F26" i="15"/>
  <c r="F36" i="15"/>
  <c r="F22" i="15"/>
  <c r="F30" i="15"/>
  <c r="F11" i="15"/>
  <c r="F33" i="15"/>
  <c r="F38" i="15"/>
  <c r="F31" i="15"/>
  <c r="F21" i="15"/>
  <c r="E29" i="15"/>
  <c r="E32" i="15"/>
  <c r="E38" i="15"/>
  <c r="E26" i="15"/>
  <c r="E36" i="15"/>
  <c r="E30" i="15"/>
  <c r="E11" i="15"/>
  <c r="E33" i="15"/>
  <c r="E28" i="15"/>
  <c r="E27" i="15"/>
  <c r="E37" i="15"/>
  <c r="E23" i="15"/>
  <c r="E22" i="15"/>
  <c r="E31" i="15"/>
  <c r="E21" i="15"/>
  <c r="D30" i="15"/>
  <c r="D28" i="15"/>
  <c r="D37" i="15"/>
  <c r="D23" i="15"/>
  <c r="D11" i="15"/>
  <c r="D32" i="15"/>
  <c r="D26" i="15"/>
  <c r="D36" i="15"/>
  <c r="D22" i="15"/>
  <c r="D29" i="15"/>
  <c r="D27" i="15"/>
  <c r="D38" i="15"/>
  <c r="D31" i="15"/>
  <c r="D21" i="15"/>
  <c r="C30" i="15"/>
  <c r="C29" i="15"/>
  <c r="C11" i="15"/>
  <c r="C33" i="15"/>
  <c r="C28" i="15"/>
  <c r="C32" i="15"/>
  <c r="C27" i="15"/>
  <c r="C38" i="15"/>
  <c r="C26" i="15"/>
  <c r="C37" i="15"/>
  <c r="C23" i="15"/>
  <c r="C36" i="15"/>
  <c r="C22" i="15"/>
  <c r="C31" i="15"/>
  <c r="C21" i="15"/>
  <c r="B37" i="15"/>
  <c r="B23" i="15"/>
  <c r="B36" i="15"/>
  <c r="B22" i="15"/>
  <c r="B31" i="15"/>
  <c r="B21" i="15"/>
  <c r="B30" i="15"/>
  <c r="B29" i="15"/>
  <c r="B11" i="15"/>
  <c r="B33" i="15"/>
  <c r="B28" i="15"/>
  <c r="B32" i="15"/>
  <c r="B27" i="15"/>
  <c r="B38" i="15"/>
  <c r="B26" i="15"/>
  <c r="F45" i="11"/>
  <c r="F46" i="11"/>
  <c r="L7" i="76" l="1"/>
  <c r="A61" i="18"/>
  <c r="L49" i="75"/>
  <c r="L28" i="76"/>
  <c r="L75" i="76"/>
  <c r="L29" i="76"/>
  <c r="L76" i="76"/>
  <c r="L47" i="76"/>
  <c r="L94" i="76"/>
  <c r="L34" i="76"/>
  <c r="L81" i="76"/>
  <c r="L24" i="76"/>
  <c r="L71" i="76"/>
  <c r="L17" i="76"/>
  <c r="L64" i="76"/>
  <c r="L46" i="76"/>
  <c r="L93" i="76"/>
  <c r="L20" i="76"/>
  <c r="L67" i="76"/>
  <c r="L11" i="76"/>
  <c r="L58" i="76"/>
  <c r="L39" i="76"/>
  <c r="L86" i="76"/>
  <c r="L16" i="76"/>
  <c r="L63" i="76"/>
  <c r="L12" i="76"/>
  <c r="L59" i="76"/>
  <c r="L18" i="76"/>
  <c r="L65" i="76"/>
  <c r="L19" i="76"/>
  <c r="L66" i="76"/>
  <c r="L42" i="76"/>
  <c r="L89" i="76"/>
  <c r="L10" i="76"/>
  <c r="L57" i="76"/>
  <c r="L38" i="76"/>
  <c r="L85" i="76"/>
  <c r="L27" i="76"/>
  <c r="L74" i="76"/>
  <c r="L43" i="76"/>
  <c r="L90" i="76"/>
  <c r="L13" i="76"/>
  <c r="L60" i="76"/>
  <c r="L30" i="76"/>
  <c r="L77" i="76"/>
  <c r="L33" i="76"/>
  <c r="L80" i="76"/>
  <c r="H26" i="16"/>
  <c r="X8" i="106"/>
  <c r="Z11" i="106"/>
  <c r="X5" i="106"/>
  <c r="X6" i="106"/>
  <c r="Z9" i="106"/>
  <c r="Z8" i="106"/>
  <c r="Z6" i="106"/>
  <c r="X11" i="106"/>
  <c r="Z5" i="106"/>
  <c r="AA11" i="106"/>
  <c r="AC11" i="106"/>
  <c r="AB5" i="106"/>
  <c r="Y5" i="106"/>
  <c r="AB7" i="106"/>
  <c r="Y7" i="106"/>
  <c r="X12" i="106"/>
  <c r="AB8" i="106"/>
  <c r="Y8" i="106"/>
  <c r="AC12" i="106"/>
  <c r="AA12" i="106"/>
  <c r="Y9" i="106"/>
  <c r="AB9" i="106"/>
  <c r="AC5" i="106"/>
  <c r="AA5" i="106"/>
  <c r="AB10" i="106"/>
  <c r="Y10" i="106"/>
  <c r="AA6" i="106"/>
  <c r="AC6" i="106"/>
  <c r="AB6" i="106"/>
  <c r="Y6" i="106"/>
  <c r="X7" i="106"/>
  <c r="AB11" i="106"/>
  <c r="Y11" i="106"/>
  <c r="AC7" i="106"/>
  <c r="AA7" i="106"/>
  <c r="Y12" i="106"/>
  <c r="AB12" i="106"/>
  <c r="AA8" i="106"/>
  <c r="AC8" i="106"/>
  <c r="X9" i="106"/>
  <c r="Z7" i="106"/>
  <c r="AA9" i="106"/>
  <c r="AC9" i="106"/>
  <c r="Z12" i="106"/>
  <c r="X10" i="106"/>
  <c r="Z10" i="106"/>
  <c r="AA10" i="106"/>
  <c r="AC10" i="106"/>
  <c r="A73" i="15"/>
  <c r="L17" i="19" s="1"/>
  <c r="L28" i="21"/>
  <c r="L29" i="21"/>
  <c r="A74" i="15"/>
  <c r="L16" i="19" s="1"/>
  <c r="L31" i="21"/>
  <c r="A76" i="15"/>
  <c r="L14" i="19" s="1"/>
  <c r="L30" i="21"/>
  <c r="A75" i="15"/>
  <c r="L15" i="19" s="1"/>
  <c r="H11" i="15"/>
  <c r="H31" i="15"/>
  <c r="K31" i="15"/>
  <c r="L22" i="15"/>
  <c r="F47" i="11"/>
  <c r="L38" i="15"/>
  <c r="I11" i="15"/>
  <c r="K33" i="15"/>
  <c r="L28" i="15"/>
  <c r="J30" i="15"/>
  <c r="J29" i="15"/>
  <c r="K11" i="15"/>
  <c r="L11" i="15"/>
  <c r="F69" i="16"/>
  <c r="N8" i="107" s="1"/>
  <c r="H13" i="16"/>
  <c r="H30" i="15"/>
  <c r="I31" i="15"/>
  <c r="I32" i="15"/>
  <c r="K30" i="15"/>
  <c r="L30" i="15"/>
  <c r="L29" i="15"/>
  <c r="H32" i="15"/>
  <c r="H14" i="16"/>
  <c r="F70" i="16"/>
  <c r="N9" i="107" s="1"/>
  <c r="F48" i="11"/>
  <c r="L21" i="15"/>
  <c r="H15" i="16"/>
  <c r="F71" i="16"/>
  <c r="N10" i="107" s="1"/>
  <c r="K32" i="15"/>
  <c r="L32" i="15"/>
  <c r="F49" i="11"/>
  <c r="C111" i="12"/>
  <c r="D33" i="15"/>
  <c r="J33" i="15" s="1"/>
  <c r="F50" i="11"/>
  <c r="I29" i="15"/>
  <c r="I30" i="15"/>
  <c r="L36" i="15"/>
  <c r="L23" i="15"/>
  <c r="K29" i="15"/>
  <c r="H9" i="16"/>
  <c r="F65" i="16"/>
  <c r="N4" i="107" s="1"/>
  <c r="L26" i="15"/>
  <c r="L37" i="15"/>
  <c r="D82" i="16"/>
  <c r="H10" i="16"/>
  <c r="F66" i="16"/>
  <c r="N5" i="107" s="1"/>
  <c r="L31" i="15"/>
  <c r="J11" i="15"/>
  <c r="H16" i="16"/>
  <c r="F72" i="16"/>
  <c r="N11" i="107" s="1"/>
  <c r="J31" i="15"/>
  <c r="J32" i="15"/>
  <c r="L27" i="15"/>
  <c r="H33" i="15"/>
  <c r="H11" i="16"/>
  <c r="F67" i="16"/>
  <c r="N6" i="107" s="1"/>
  <c r="H29" i="15"/>
  <c r="F68" i="16"/>
  <c r="N7" i="107" s="1"/>
  <c r="H12" i="16"/>
  <c r="B18" i="16"/>
  <c r="B51" i="18" s="1"/>
  <c r="D108" i="12"/>
  <c r="B111" i="12"/>
  <c r="C109" i="12"/>
  <c r="D107" i="12"/>
  <c r="B106" i="12"/>
  <c r="E109" i="12"/>
  <c r="C108" i="12"/>
  <c r="E108" i="12"/>
  <c r="E107" i="12"/>
  <c r="B109" i="12"/>
  <c r="D106" i="12"/>
  <c r="D111" i="12"/>
  <c r="D110" i="12"/>
  <c r="B108" i="12"/>
  <c r="E106" i="12"/>
  <c r="D109" i="12"/>
  <c r="B107" i="12"/>
  <c r="C107" i="12"/>
  <c r="E111" i="12"/>
  <c r="E110" i="12"/>
  <c r="B110" i="12"/>
  <c r="C106" i="12"/>
  <c r="C110" i="12"/>
  <c r="B35" i="12"/>
  <c r="E28" i="12"/>
  <c r="E32" i="12" s="1"/>
  <c r="F28" i="12"/>
  <c r="C28" i="12"/>
  <c r="D28" i="12"/>
  <c r="D32" i="12" l="1"/>
  <c r="F86" i="12"/>
  <c r="F32" i="12"/>
  <c r="F113" i="12"/>
  <c r="X18" i="106"/>
  <c r="H31" i="16"/>
  <c r="N158" i="75"/>
  <c r="H28" i="16"/>
  <c r="N155" i="75"/>
  <c r="H32" i="16"/>
  <c r="N159" i="75"/>
  <c r="H30" i="16"/>
  <c r="N157" i="75"/>
  <c r="H33" i="16"/>
  <c r="N160" i="75"/>
  <c r="H29" i="16"/>
  <c r="N156" i="75"/>
  <c r="P7" i="31"/>
  <c r="N161" i="75"/>
  <c r="H27" i="16"/>
  <c r="N154" i="75"/>
  <c r="X19" i="106"/>
  <c r="H18" i="16"/>
  <c r="N163" i="75" s="1"/>
  <c r="L33" i="15"/>
  <c r="H34" i="16"/>
  <c r="I33" i="15"/>
  <c r="H61" i="18"/>
  <c r="H60" i="18"/>
  <c r="C32" i="12"/>
  <c r="B113" i="12"/>
  <c r="E39" i="12"/>
  <c r="E49" i="12"/>
  <c r="E34" i="12"/>
  <c r="E48" i="12"/>
  <c r="F48" i="12"/>
  <c r="C39" i="12"/>
  <c r="D40" i="12"/>
  <c r="C44" i="12"/>
  <c r="B40" i="12"/>
  <c r="B34" i="12"/>
  <c r="B33" i="12"/>
  <c r="E37" i="12"/>
  <c r="B38" i="12"/>
  <c r="F34" i="12"/>
  <c r="B51" i="12"/>
  <c r="B43" i="12"/>
  <c r="B37" i="12"/>
  <c r="F44" i="12"/>
  <c r="F50" i="12"/>
  <c r="C50" i="12"/>
  <c r="E44" i="12"/>
  <c r="C43" i="12"/>
  <c r="E46" i="12"/>
  <c r="F40" i="12"/>
  <c r="C42" i="12"/>
  <c r="D47" i="12"/>
  <c r="B42" i="12"/>
  <c r="F36" i="12"/>
  <c r="E43" i="12"/>
  <c r="F45" i="12"/>
  <c r="E38" i="12"/>
  <c r="F41" i="12"/>
  <c r="B47" i="12"/>
  <c r="E36" i="12"/>
  <c r="E50" i="12"/>
  <c r="F38" i="12"/>
  <c r="E33" i="12"/>
  <c r="F39" i="12"/>
  <c r="B44" i="12"/>
  <c r="D33" i="12"/>
  <c r="B49" i="12"/>
  <c r="F47" i="12"/>
  <c r="E53" i="12"/>
  <c r="C38" i="12"/>
  <c r="C40" i="12"/>
  <c r="D43" i="12"/>
  <c r="B46" i="12"/>
  <c r="E42" i="12"/>
  <c r="D41" i="12"/>
  <c r="C33" i="12"/>
  <c r="C34" i="12"/>
  <c r="D36" i="12"/>
  <c r="D37" i="12"/>
  <c r="C46" i="12"/>
  <c r="D53" i="12"/>
  <c r="D49" i="12"/>
  <c r="D38" i="12"/>
  <c r="D52" i="12"/>
  <c r="F35" i="12"/>
  <c r="C51" i="12"/>
  <c r="E45" i="12"/>
  <c r="B53" i="12"/>
  <c r="D34" i="12"/>
  <c r="E35" i="12"/>
  <c r="E47" i="12"/>
  <c r="B39" i="12"/>
  <c r="C47" i="12"/>
  <c r="F42" i="12"/>
  <c r="C35" i="12"/>
  <c r="C37" i="12"/>
  <c r="F52" i="12"/>
  <c r="F33" i="12"/>
  <c r="C53" i="12"/>
  <c r="D48" i="12"/>
  <c r="F37" i="12"/>
  <c r="C41" i="12"/>
  <c r="E40" i="12"/>
  <c r="F49" i="12"/>
  <c r="D44" i="12"/>
  <c r="D45" i="12"/>
  <c r="E41" i="12"/>
  <c r="B36" i="12"/>
  <c r="C36" i="12"/>
  <c r="F51" i="12"/>
  <c r="C48" i="12"/>
  <c r="B50" i="12"/>
  <c r="D35" i="12"/>
  <c r="D42" i="12"/>
  <c r="D46" i="12"/>
  <c r="F43" i="12"/>
  <c r="F46" i="12"/>
  <c r="C52" i="12"/>
  <c r="E52" i="12"/>
  <c r="B41" i="12"/>
  <c r="D50" i="12"/>
  <c r="B48" i="12"/>
  <c r="C45" i="12"/>
  <c r="D51" i="12"/>
  <c r="D39" i="12"/>
  <c r="F53" i="12"/>
  <c r="C49" i="12"/>
  <c r="E51" i="12"/>
  <c r="B45" i="12"/>
  <c r="B52" i="12"/>
  <c r="Y18" i="106" l="1"/>
  <c r="A27" i="5"/>
  <c r="A28" i="5"/>
  <c r="A29" i="5"/>
  <c r="A30" i="5"/>
  <c r="A31" i="5"/>
  <c r="A26" i="5"/>
  <c r="B25" i="5" a="1"/>
  <c r="D25" i="5" s="1"/>
  <c r="A24" i="5"/>
  <c r="Y19" i="106" l="1"/>
  <c r="Z18" i="106"/>
  <c r="H25" i="5"/>
  <c r="G25" i="5"/>
  <c r="F25" i="5"/>
  <c r="E25" i="5"/>
  <c r="C25" i="5"/>
  <c r="J25" i="5"/>
  <c r="B25" i="5"/>
  <c r="I25" i="5"/>
  <c r="A4" i="5" l="1"/>
  <c r="A5" i="5"/>
  <c r="A6" i="5"/>
  <c r="A7" i="5"/>
  <c r="A8" i="5"/>
  <c r="A3" i="5"/>
  <c r="K9" i="80" l="1"/>
  <c r="K10" i="80"/>
  <c r="K11" i="80"/>
  <c r="K14" i="80"/>
  <c r="L14" i="80" s="1"/>
  <c r="K15" i="80"/>
  <c r="K16" i="80"/>
  <c r="K17" i="80"/>
  <c r="K18" i="80"/>
  <c r="K19" i="80"/>
  <c r="K20" i="80"/>
  <c r="K21" i="80"/>
  <c r="K22" i="80"/>
  <c r="K23" i="80"/>
  <c r="K24" i="80"/>
  <c r="K25" i="80"/>
  <c r="K26" i="80"/>
  <c r="K27" i="80"/>
  <c r="K28" i="80"/>
  <c r="K29" i="80"/>
  <c r="K30" i="80"/>
  <c r="K31" i="80"/>
  <c r="K32" i="80"/>
  <c r="Y140" i="78" l="1"/>
  <c r="Y143" i="78"/>
  <c r="Y142" i="78"/>
  <c r="Y141" i="78"/>
  <c r="Y139" i="78"/>
  <c r="Y138" i="78"/>
  <c r="Y137" i="78"/>
  <c r="Y136" i="78"/>
  <c r="Y135" i="78"/>
  <c r="Y134" i="78"/>
  <c r="Y133" i="78"/>
  <c r="Y132" i="78"/>
  <c r="Y131" i="78"/>
  <c r="Y130" i="78"/>
  <c r="Y129" i="78"/>
  <c r="Y128" i="78"/>
  <c r="Y127" i="78"/>
  <c r="Y126" i="78"/>
  <c r="Y125" i="78"/>
  <c r="Y124" i="78"/>
  <c r="Y123" i="78"/>
  <c r="Y122" i="78"/>
  <c r="Y121" i="78"/>
  <c r="Y120" i="78"/>
  <c r="Y119" i="78"/>
  <c r="N143" i="78"/>
  <c r="N142" i="78"/>
  <c r="N141" i="78"/>
  <c r="N140" i="78"/>
  <c r="N139" i="78"/>
  <c r="N138" i="78"/>
  <c r="N137" i="78"/>
  <c r="N136" i="78"/>
  <c r="N135" i="78"/>
  <c r="N134" i="78"/>
  <c r="N133" i="78"/>
  <c r="N132" i="78"/>
  <c r="N131" i="78"/>
  <c r="N130" i="78"/>
  <c r="N129" i="78"/>
  <c r="N128" i="78"/>
  <c r="N127" i="78"/>
  <c r="N126" i="78"/>
  <c r="N125" i="78"/>
  <c r="N124" i="78"/>
  <c r="N123" i="78"/>
  <c r="N122" i="78"/>
  <c r="N121" i="78"/>
  <c r="N120" i="78"/>
  <c r="N119" i="78"/>
  <c r="C120" i="78"/>
  <c r="C121" i="78"/>
  <c r="C122" i="78"/>
  <c r="C123" i="78"/>
  <c r="C124" i="78"/>
  <c r="C125" i="78"/>
  <c r="C126" i="78"/>
  <c r="C127" i="78"/>
  <c r="C128" i="78"/>
  <c r="C129" i="78"/>
  <c r="C130" i="78"/>
  <c r="C131" i="78"/>
  <c r="C132" i="78"/>
  <c r="C133" i="78"/>
  <c r="C134" i="78"/>
  <c r="C135" i="78"/>
  <c r="C136" i="78"/>
  <c r="C137" i="78"/>
  <c r="C138" i="78"/>
  <c r="C139" i="78"/>
  <c r="C140" i="78"/>
  <c r="C141" i="78"/>
  <c r="C142" i="78"/>
  <c r="C143" i="78"/>
  <c r="C119" i="78"/>
  <c r="C117" i="78"/>
  <c r="F83" i="78"/>
  <c r="F84" i="78"/>
  <c r="F85" i="78"/>
  <c r="F86" i="78"/>
  <c r="F87" i="78"/>
  <c r="F88" i="78"/>
  <c r="F89" i="78"/>
  <c r="F90" i="78"/>
  <c r="F91" i="78"/>
  <c r="F92" i="78"/>
  <c r="F93" i="78"/>
  <c r="F94" i="78"/>
  <c r="F95" i="78"/>
  <c r="F96" i="78"/>
  <c r="F97" i="78"/>
  <c r="F98" i="78"/>
  <c r="F99" i="78"/>
  <c r="F100" i="78"/>
  <c r="F101" i="78"/>
  <c r="F102" i="78"/>
  <c r="F103" i="78"/>
  <c r="F104" i="78"/>
  <c r="F105" i="78"/>
  <c r="F106" i="78"/>
  <c r="F82" i="78"/>
  <c r="F80" i="78"/>
  <c r="C83" i="78"/>
  <c r="C84" i="78"/>
  <c r="C85" i="78"/>
  <c r="C86" i="78"/>
  <c r="C87" i="78"/>
  <c r="C88" i="78"/>
  <c r="C89" i="78"/>
  <c r="C90" i="78"/>
  <c r="C91" i="78"/>
  <c r="C92" i="78"/>
  <c r="C93" i="78"/>
  <c r="C94" i="78"/>
  <c r="C95" i="78"/>
  <c r="C96" i="78"/>
  <c r="C97" i="78"/>
  <c r="C98" i="78"/>
  <c r="C99" i="78"/>
  <c r="C100" i="78"/>
  <c r="C101" i="78"/>
  <c r="C102" i="78"/>
  <c r="C103" i="78"/>
  <c r="C104" i="78"/>
  <c r="C105" i="78"/>
  <c r="C106" i="78"/>
  <c r="C82" i="78"/>
  <c r="C80" i="78"/>
  <c r="C120" i="71" l="1"/>
  <c r="C121" i="71"/>
  <c r="C122" i="71"/>
  <c r="C123" i="71"/>
  <c r="C124" i="71"/>
  <c r="C125" i="71"/>
  <c r="C126" i="71"/>
  <c r="C127" i="71"/>
  <c r="C128" i="71"/>
  <c r="C129" i="71"/>
  <c r="C130" i="71"/>
  <c r="C131" i="71"/>
  <c r="C132" i="71"/>
  <c r="C133" i="71"/>
  <c r="C134" i="71"/>
  <c r="C135" i="71"/>
  <c r="C136" i="71"/>
  <c r="C137" i="71"/>
  <c r="C138" i="71"/>
  <c r="C139" i="71"/>
  <c r="C140" i="71"/>
  <c r="C141" i="71"/>
  <c r="C142" i="71"/>
  <c r="C143" i="71"/>
  <c r="C119" i="71"/>
  <c r="C117" i="71"/>
  <c r="C83" i="71"/>
  <c r="C84" i="71"/>
  <c r="C85" i="71"/>
  <c r="C86" i="71"/>
  <c r="C87" i="71"/>
  <c r="C88" i="71"/>
  <c r="C89" i="71"/>
  <c r="C90" i="71"/>
  <c r="C91" i="71"/>
  <c r="C92" i="71"/>
  <c r="C93" i="71"/>
  <c r="C94" i="71"/>
  <c r="C95" i="71"/>
  <c r="C96" i="71"/>
  <c r="C97" i="71"/>
  <c r="C98" i="71"/>
  <c r="C99" i="71"/>
  <c r="C100" i="71"/>
  <c r="C101" i="71"/>
  <c r="C102" i="71"/>
  <c r="C103" i="71"/>
  <c r="C104" i="71"/>
  <c r="C105" i="71"/>
  <c r="C106" i="71"/>
  <c r="C82" i="71"/>
  <c r="C80" i="71"/>
  <c r="I17" i="15"/>
  <c r="C4" i="13" l="1"/>
  <c r="G40" i="49" l="1"/>
  <c r="D40" i="49"/>
  <c r="F40" i="49" l="1"/>
  <c r="F9" i="52" l="1"/>
  <c r="K10" i="79" l="1"/>
  <c r="K11" i="79"/>
  <c r="K12" i="79"/>
  <c r="K13" i="79"/>
  <c r="K14" i="79"/>
  <c r="K15" i="79"/>
  <c r="K16" i="79"/>
  <c r="K17" i="79"/>
  <c r="K18" i="79"/>
  <c r="K19" i="79"/>
  <c r="K20" i="79"/>
  <c r="K21" i="79"/>
  <c r="K22" i="79"/>
  <c r="K23" i="79"/>
  <c r="K24" i="79"/>
  <c r="K25" i="79"/>
  <c r="K26" i="79"/>
  <c r="K27" i="79"/>
  <c r="K28" i="79"/>
  <c r="K29" i="79"/>
  <c r="X29" i="79" s="1"/>
  <c r="K30" i="79"/>
  <c r="K31" i="79"/>
  <c r="K32" i="79"/>
  <c r="K35" i="79" l="1"/>
  <c r="AE16" i="79"/>
  <c r="AF16" i="79"/>
  <c r="Z16" i="79"/>
  <c r="Y16" i="79"/>
  <c r="AG16" i="79"/>
  <c r="AA16" i="79"/>
  <c r="AB16" i="79"/>
  <c r="AC16" i="79"/>
  <c r="AD16" i="79"/>
  <c r="AF15" i="79"/>
  <c r="AB15" i="79"/>
  <c r="Y15" i="79"/>
  <c r="AG15" i="79"/>
  <c r="AC15" i="79"/>
  <c r="Z15" i="79"/>
  <c r="AA15" i="79"/>
  <c r="AD15" i="79"/>
  <c r="AE15" i="79"/>
  <c r="Y14" i="79"/>
  <c r="AG14" i="79"/>
  <c r="AB14" i="79"/>
  <c r="Z14" i="79"/>
  <c r="AC14" i="79"/>
  <c r="AA14" i="79"/>
  <c r="AE14" i="79"/>
  <c r="AF14" i="79"/>
  <c r="AD14" i="79"/>
  <c r="AE24" i="79"/>
  <c r="Z24" i="79"/>
  <c r="AA24" i="79"/>
  <c r="AB24" i="79"/>
  <c r="AF24" i="79"/>
  <c r="Y24" i="79"/>
  <c r="AG24" i="79"/>
  <c r="AC24" i="79"/>
  <c r="AD24" i="79"/>
  <c r="AF23" i="79"/>
  <c r="Y23" i="79"/>
  <c r="AG23" i="79"/>
  <c r="AB23" i="79"/>
  <c r="Z23" i="79"/>
  <c r="AA23" i="79"/>
  <c r="AC23" i="79"/>
  <c r="AD23" i="79"/>
  <c r="AE23" i="79"/>
  <c r="Z29" i="79"/>
  <c r="AC29" i="79"/>
  <c r="AA29" i="79"/>
  <c r="AD29" i="79"/>
  <c r="AB29" i="79"/>
  <c r="AF29" i="79"/>
  <c r="Y29" i="79"/>
  <c r="AG29" i="79"/>
  <c r="AE29" i="79"/>
  <c r="AA12" i="79"/>
  <c r="AB12" i="79"/>
  <c r="AD12" i="79"/>
  <c r="AC12" i="79"/>
  <c r="AE12" i="79"/>
  <c r="AF12" i="79"/>
  <c r="Y12" i="79"/>
  <c r="AG12" i="79"/>
  <c r="Z12" i="79"/>
  <c r="AB19" i="79"/>
  <c r="AF19" i="79"/>
  <c r="AC19" i="79"/>
  <c r="AE19" i="79"/>
  <c r="Y19" i="79"/>
  <c r="AD19" i="79"/>
  <c r="AG19" i="79"/>
  <c r="Z19" i="79"/>
  <c r="AA19" i="79"/>
  <c r="AB11" i="79"/>
  <c r="AC11" i="79"/>
  <c r="AF11" i="79"/>
  <c r="AG11" i="79"/>
  <c r="AD11" i="79"/>
  <c r="AE11" i="79"/>
  <c r="Z11" i="79"/>
  <c r="AA11" i="79"/>
  <c r="Y11" i="79"/>
  <c r="AE32" i="79"/>
  <c r="Z32" i="79"/>
  <c r="AF32" i="79"/>
  <c r="AA32" i="79"/>
  <c r="AB32" i="79"/>
  <c r="Y32" i="79"/>
  <c r="AG32" i="79"/>
  <c r="AC32" i="79"/>
  <c r="AD32" i="79"/>
  <c r="AF31" i="79"/>
  <c r="Y31" i="79"/>
  <c r="AG31" i="79"/>
  <c r="Z31" i="79"/>
  <c r="AA31" i="79"/>
  <c r="AB31" i="79"/>
  <c r="AC31" i="79"/>
  <c r="AD31" i="79"/>
  <c r="AE31" i="79"/>
  <c r="Y30" i="79"/>
  <c r="AG30" i="79"/>
  <c r="AC30" i="79"/>
  <c r="AD30" i="79"/>
  <c r="Z30" i="79"/>
  <c r="AB30" i="79"/>
  <c r="AA30" i="79"/>
  <c r="AE30" i="79"/>
  <c r="AF30" i="79"/>
  <c r="Z13" i="79"/>
  <c r="AD13" i="79"/>
  <c r="AE13" i="79"/>
  <c r="AA13" i="79"/>
  <c r="AB13" i="79"/>
  <c r="AC13" i="79"/>
  <c r="AF13" i="79"/>
  <c r="Y13" i="79"/>
  <c r="AG13" i="79"/>
  <c r="AA28" i="79"/>
  <c r="AE28" i="79"/>
  <c r="AB28" i="79"/>
  <c r="AF28" i="79"/>
  <c r="AC28" i="79"/>
  <c r="AD28" i="79"/>
  <c r="Y28" i="79"/>
  <c r="AG28" i="79"/>
  <c r="Z28" i="79"/>
  <c r="AB27" i="79"/>
  <c r="Y27" i="79"/>
  <c r="AC27" i="79"/>
  <c r="AE27" i="79"/>
  <c r="AD27" i="79"/>
  <c r="AF27" i="79"/>
  <c r="AG27" i="79"/>
  <c r="Z27" i="79"/>
  <c r="AA27" i="79"/>
  <c r="AC26" i="79"/>
  <c r="AF26" i="79"/>
  <c r="AG26" i="79"/>
  <c r="AD26" i="79"/>
  <c r="Y26" i="79"/>
  <c r="Z26" i="79"/>
  <c r="AE26" i="79"/>
  <c r="AA26" i="79"/>
  <c r="AB26" i="79"/>
  <c r="AC18" i="79"/>
  <c r="AF18" i="79"/>
  <c r="Y18" i="79"/>
  <c r="AD18" i="79"/>
  <c r="AE18" i="79"/>
  <c r="AG18" i="79"/>
  <c r="AA18" i="79"/>
  <c r="AB18" i="79"/>
  <c r="Z18" i="79"/>
  <c r="AC10" i="79"/>
  <c r="AF10" i="79"/>
  <c r="AG10" i="79"/>
  <c r="Z10" i="79"/>
  <c r="AD10" i="79"/>
  <c r="AE10" i="79"/>
  <c r="Y10" i="79"/>
  <c r="AA10" i="79"/>
  <c r="AB10" i="79"/>
  <c r="Y22" i="79"/>
  <c r="AG22" i="79"/>
  <c r="AC22" i="79"/>
  <c r="Z22" i="79"/>
  <c r="AB22" i="79"/>
  <c r="AD22" i="79"/>
  <c r="AA22" i="79"/>
  <c r="AE22" i="79"/>
  <c r="AF22" i="79"/>
  <c r="Z21" i="79"/>
  <c r="AC21" i="79"/>
  <c r="AA21" i="79"/>
  <c r="AB21" i="79"/>
  <c r="AD21" i="79"/>
  <c r="AF21" i="79"/>
  <c r="Y21" i="79"/>
  <c r="AG21" i="79"/>
  <c r="AE21" i="79"/>
  <c r="AA20" i="79"/>
  <c r="AF20" i="79"/>
  <c r="AB20" i="79"/>
  <c r="AE20" i="79"/>
  <c r="AC20" i="79"/>
  <c r="AD20" i="79"/>
  <c r="Y20" i="79"/>
  <c r="AG20" i="79"/>
  <c r="Z20" i="79"/>
  <c r="AD25" i="79"/>
  <c r="AE25" i="79"/>
  <c r="Y25" i="79"/>
  <c r="AF25" i="79"/>
  <c r="AG25" i="79"/>
  <c r="Z25" i="79"/>
  <c r="AB25" i="79"/>
  <c r="AC25" i="79"/>
  <c r="AA25" i="79"/>
  <c r="AD17" i="79"/>
  <c r="Y17" i="79"/>
  <c r="AA17" i="79"/>
  <c r="AE17" i="79"/>
  <c r="Z17" i="79"/>
  <c r="AF17" i="79"/>
  <c r="AG17" i="79"/>
  <c r="AB17" i="79"/>
  <c r="AC17" i="79"/>
  <c r="AD9" i="79"/>
  <c r="AE9" i="79"/>
  <c r="Z9" i="79"/>
  <c r="AF9" i="79"/>
  <c r="Y9" i="79"/>
  <c r="AG9" i="79"/>
  <c r="AA9" i="79"/>
  <c r="AB9" i="79"/>
  <c r="AC9" i="79"/>
  <c r="I9" i="71"/>
  <c r="I20" i="71"/>
  <c r="X35" i="79" l="1"/>
  <c r="V33" i="79"/>
  <c r="I46" i="71"/>
  <c r="I83" i="71"/>
  <c r="J9" i="71"/>
  <c r="Q38" i="31" s="1"/>
  <c r="I8" i="71"/>
  <c r="I94" i="71"/>
  <c r="I57" i="71"/>
  <c r="T9" i="78"/>
  <c r="T10" i="78"/>
  <c r="T11" i="78"/>
  <c r="T12" i="78"/>
  <c r="T13" i="78"/>
  <c r="T14" i="78"/>
  <c r="T15" i="78"/>
  <c r="T16" i="78"/>
  <c r="T17" i="78"/>
  <c r="T18" i="78"/>
  <c r="T19" i="78"/>
  <c r="T20" i="78"/>
  <c r="T21" i="78"/>
  <c r="T22" i="78"/>
  <c r="T23" i="78"/>
  <c r="T24" i="78"/>
  <c r="T25" i="78"/>
  <c r="T26" i="78"/>
  <c r="T27" i="78"/>
  <c r="T28" i="78"/>
  <c r="T29" i="78"/>
  <c r="T30" i="78"/>
  <c r="T31" i="78"/>
  <c r="T32" i="78"/>
  <c r="I9" i="78"/>
  <c r="I10" i="78"/>
  <c r="I11" i="78"/>
  <c r="I12" i="78"/>
  <c r="I13" i="78"/>
  <c r="I14" i="78"/>
  <c r="I15" i="78"/>
  <c r="I16" i="78"/>
  <c r="I17" i="78"/>
  <c r="I18" i="78"/>
  <c r="I19" i="78"/>
  <c r="I20" i="78"/>
  <c r="I21" i="78"/>
  <c r="I22" i="78"/>
  <c r="I23" i="78"/>
  <c r="I24" i="78"/>
  <c r="I25" i="78"/>
  <c r="I26" i="78"/>
  <c r="I27" i="78"/>
  <c r="I28" i="78"/>
  <c r="I29" i="78"/>
  <c r="I30" i="78"/>
  <c r="I31" i="78"/>
  <c r="I32" i="78"/>
  <c r="T35" i="78" l="1"/>
  <c r="I35" i="78"/>
  <c r="I72" i="78" s="1"/>
  <c r="E33" i="49"/>
  <c r="I45" i="71"/>
  <c r="I82" i="71"/>
  <c r="J8" i="71"/>
  <c r="I60" i="78"/>
  <c r="I97" i="78"/>
  <c r="T105" i="78"/>
  <c r="T68" i="78"/>
  <c r="T52" i="78"/>
  <c r="T89" i="78"/>
  <c r="I59" i="78"/>
  <c r="I96" i="78"/>
  <c r="T104" i="78"/>
  <c r="T67" i="78"/>
  <c r="T88" i="78"/>
  <c r="T51" i="78"/>
  <c r="I103" i="78"/>
  <c r="I66" i="78"/>
  <c r="T66" i="78"/>
  <c r="T103" i="78"/>
  <c r="T87" i="78"/>
  <c r="T50" i="78"/>
  <c r="I57" i="78"/>
  <c r="I94" i="78"/>
  <c r="T65" i="78"/>
  <c r="T102" i="78"/>
  <c r="T86" i="78"/>
  <c r="T49" i="78"/>
  <c r="I101" i="78"/>
  <c r="I64" i="78"/>
  <c r="T101" i="78"/>
  <c r="T64" i="78"/>
  <c r="T85" i="78"/>
  <c r="T48" i="78"/>
  <c r="I105" i="78"/>
  <c r="I68" i="78"/>
  <c r="I89" i="78"/>
  <c r="I52" i="78"/>
  <c r="T97" i="78"/>
  <c r="T60" i="78"/>
  <c r="I67" i="78"/>
  <c r="I104" i="78"/>
  <c r="I51" i="78"/>
  <c r="I88" i="78"/>
  <c r="T59" i="78"/>
  <c r="T96" i="78"/>
  <c r="I95" i="78"/>
  <c r="I58" i="78"/>
  <c r="I87" i="78"/>
  <c r="I50" i="78"/>
  <c r="T58" i="78"/>
  <c r="T95" i="78"/>
  <c r="I102" i="78"/>
  <c r="I65" i="78"/>
  <c r="I86" i="78"/>
  <c r="I49" i="78"/>
  <c r="T94" i="78"/>
  <c r="T57" i="78"/>
  <c r="I93" i="78"/>
  <c r="I56" i="78"/>
  <c r="I85" i="78"/>
  <c r="I48" i="78"/>
  <c r="T93" i="78"/>
  <c r="T56" i="78"/>
  <c r="I100" i="78"/>
  <c r="I63" i="78"/>
  <c r="I55" i="78"/>
  <c r="I92" i="78"/>
  <c r="I84" i="78"/>
  <c r="I47" i="78"/>
  <c r="T100" i="78"/>
  <c r="T63" i="78"/>
  <c r="T55" i="78"/>
  <c r="T92" i="78"/>
  <c r="T84" i="78"/>
  <c r="T47" i="78"/>
  <c r="I99" i="78"/>
  <c r="I62" i="78"/>
  <c r="I54" i="78"/>
  <c r="I91" i="78"/>
  <c r="I46" i="78"/>
  <c r="I83" i="78"/>
  <c r="T62" i="78"/>
  <c r="T99" i="78"/>
  <c r="T91" i="78"/>
  <c r="T54" i="78"/>
  <c r="T83" i="78"/>
  <c r="T46" i="78"/>
  <c r="I106" i="78"/>
  <c r="I69" i="78"/>
  <c r="I98" i="78"/>
  <c r="I61" i="78"/>
  <c r="I90" i="78"/>
  <c r="I53" i="78"/>
  <c r="T69" i="78"/>
  <c r="T106" i="78"/>
  <c r="T98" i="78"/>
  <c r="T61" i="78"/>
  <c r="T90" i="78"/>
  <c r="T53" i="78"/>
  <c r="S4" i="78"/>
  <c r="AD4" i="78" s="1"/>
  <c r="AO4" i="78" s="1"/>
  <c r="AZ4" i="78" s="1"/>
  <c r="BK4" i="78" s="1"/>
  <c r="BV4" i="78" s="1"/>
  <c r="CG4" i="78" s="1"/>
  <c r="CR4" i="78" s="1"/>
  <c r="G35" i="49"/>
  <c r="G64" i="49"/>
  <c r="G151" i="49" s="1"/>
  <c r="G238" i="49" s="1"/>
  <c r="G93" i="49"/>
  <c r="G180" i="49" s="1"/>
  <c r="G267" i="49" s="1"/>
  <c r="I70" i="71" l="1"/>
  <c r="G122" i="49"/>
  <c r="G209" i="49" s="1"/>
  <c r="V35" i="49"/>
  <c r="B33" i="49"/>
  <c r="J45" i="71"/>
  <c r="J82" i="71" s="1"/>
  <c r="Q37" i="31"/>
  <c r="A93" i="49"/>
  <c r="A64" i="49"/>
  <c r="A35" i="49"/>
  <c r="G118" i="49"/>
  <c r="G117" i="49"/>
  <c r="G116" i="49"/>
  <c r="G115" i="49"/>
  <c r="G114" i="49"/>
  <c r="G113" i="49"/>
  <c r="G112" i="49"/>
  <c r="G111" i="49"/>
  <c r="G110" i="49"/>
  <c r="G109" i="49"/>
  <c r="G108" i="49"/>
  <c r="G107" i="49"/>
  <c r="G106" i="49"/>
  <c r="G105" i="49"/>
  <c r="G104" i="49"/>
  <c r="G103" i="49"/>
  <c r="G102" i="49"/>
  <c r="G101" i="49"/>
  <c r="G100" i="49"/>
  <c r="G99" i="49"/>
  <c r="G98" i="49"/>
  <c r="G97" i="49"/>
  <c r="G96" i="49"/>
  <c r="G95" i="49"/>
  <c r="G94" i="49"/>
  <c r="G89" i="49"/>
  <c r="G88" i="49"/>
  <c r="G87" i="49"/>
  <c r="G86" i="49"/>
  <c r="G85" i="49"/>
  <c r="G84" i="49"/>
  <c r="G83" i="49"/>
  <c r="G82" i="49"/>
  <c r="G81" i="49"/>
  <c r="G80" i="49"/>
  <c r="G79" i="49"/>
  <c r="G78" i="49"/>
  <c r="G77" i="49"/>
  <c r="G76" i="49"/>
  <c r="G75" i="49"/>
  <c r="G74" i="49"/>
  <c r="G73" i="49"/>
  <c r="G72" i="49"/>
  <c r="G71" i="49"/>
  <c r="G70" i="49"/>
  <c r="G69" i="49"/>
  <c r="G68" i="49"/>
  <c r="G67" i="49"/>
  <c r="G66" i="49"/>
  <c r="G65" i="49"/>
  <c r="G62" i="49"/>
  <c r="G60" i="49"/>
  <c r="G59" i="49"/>
  <c r="G58" i="49"/>
  <c r="G57" i="49"/>
  <c r="G56" i="49"/>
  <c r="G55" i="49"/>
  <c r="G54" i="49"/>
  <c r="G53" i="49"/>
  <c r="G52" i="49"/>
  <c r="G51" i="49"/>
  <c r="G50" i="49"/>
  <c r="G49" i="49"/>
  <c r="G48" i="49"/>
  <c r="G47" i="49"/>
  <c r="G46" i="49"/>
  <c r="G45" i="49"/>
  <c r="G44" i="49"/>
  <c r="G43" i="49"/>
  <c r="G42" i="49"/>
  <c r="G41" i="49"/>
  <c r="G39" i="49"/>
  <c r="G38" i="49"/>
  <c r="G37" i="49"/>
  <c r="G36" i="49"/>
  <c r="A6" i="49"/>
  <c r="I10" i="71"/>
  <c r="I13" i="71"/>
  <c r="I14" i="71"/>
  <c r="I15" i="71"/>
  <c r="I18" i="71"/>
  <c r="I22" i="71"/>
  <c r="I23" i="71"/>
  <c r="I26" i="71"/>
  <c r="I29" i="71"/>
  <c r="I30" i="71"/>
  <c r="I31" i="71"/>
  <c r="J70" i="71" l="1"/>
  <c r="J107" i="71" s="1"/>
  <c r="Q62" i="31"/>
  <c r="I96" i="71"/>
  <c r="I59" i="71"/>
  <c r="I55" i="71"/>
  <c r="I92" i="71"/>
  <c r="I89" i="71"/>
  <c r="I52" i="71"/>
  <c r="I88" i="71"/>
  <c r="I51" i="71"/>
  <c r="I87" i="71"/>
  <c r="I50" i="71"/>
  <c r="I103" i="71"/>
  <c r="I66" i="71"/>
  <c r="I47" i="71"/>
  <c r="I84" i="71"/>
  <c r="I68" i="71"/>
  <c r="I105" i="71"/>
  <c r="I104" i="71"/>
  <c r="I67" i="71"/>
  <c r="I63" i="71"/>
  <c r="I100" i="71"/>
  <c r="I60" i="71"/>
  <c r="I97" i="71"/>
  <c r="G27" i="49"/>
  <c r="I28" i="71"/>
  <c r="G19" i="49"/>
  <c r="G11" i="49"/>
  <c r="I12" i="71"/>
  <c r="G26" i="49"/>
  <c r="I27" i="71"/>
  <c r="G24" i="49"/>
  <c r="I25" i="71"/>
  <c r="G16" i="49"/>
  <c r="I17" i="71"/>
  <c r="G8" i="49"/>
  <c r="G10" i="49"/>
  <c r="I11" i="71"/>
  <c r="I32" i="71"/>
  <c r="G23" i="49"/>
  <c r="I24" i="71"/>
  <c r="G15" i="49"/>
  <c r="I16" i="71"/>
  <c r="G20" i="49"/>
  <c r="I21" i="71"/>
  <c r="G18" i="49"/>
  <c r="I19" i="71"/>
  <c r="G28" i="49"/>
  <c r="G12" i="49"/>
  <c r="G14" i="49"/>
  <c r="G29" i="49"/>
  <c r="G25" i="49"/>
  <c r="G21" i="49"/>
  <c r="G17" i="49"/>
  <c r="G13" i="49"/>
  <c r="G9" i="49"/>
  <c r="G30" i="49"/>
  <c r="G22" i="49"/>
  <c r="I8" i="16" l="1" a="1"/>
  <c r="I10" i="16" s="1"/>
  <c r="I35" i="71"/>
  <c r="I61" i="71"/>
  <c r="I98" i="71"/>
  <c r="I65" i="71"/>
  <c r="I102" i="71"/>
  <c r="I99" i="71"/>
  <c r="I62" i="71"/>
  <c r="I93" i="71"/>
  <c r="I56" i="71"/>
  <c r="I69" i="71"/>
  <c r="I106" i="71"/>
  <c r="I101" i="71"/>
  <c r="I64" i="71"/>
  <c r="I53" i="71"/>
  <c r="I90" i="71"/>
  <c r="I91" i="71"/>
  <c r="I54" i="71"/>
  <c r="I95" i="71"/>
  <c r="I58" i="71"/>
  <c r="I85" i="71"/>
  <c r="I48" i="71"/>
  <c r="I86" i="71"/>
  <c r="I49" i="71"/>
  <c r="I14" i="16" l="1"/>
  <c r="I11" i="16"/>
  <c r="I29" i="16" s="1"/>
  <c r="I13" i="16"/>
  <c r="I31" i="16" s="1"/>
  <c r="I15" i="16"/>
  <c r="I8" i="16"/>
  <c r="J8" i="16" s="1"/>
  <c r="I12" i="16"/>
  <c r="I30" i="16" s="1"/>
  <c r="I9" i="16"/>
  <c r="I27" i="16" s="1"/>
  <c r="I16" i="16"/>
  <c r="I72" i="71"/>
  <c r="I109" i="71"/>
  <c r="I32" i="16"/>
  <c r="I28" i="16"/>
  <c r="A72" i="83"/>
  <c r="A52" i="83"/>
  <c r="A53" i="83"/>
  <c r="A54" i="83"/>
  <c r="A55" i="83"/>
  <c r="A56" i="83"/>
  <c r="A57" i="83"/>
  <c r="A58" i="83"/>
  <c r="A59" i="83"/>
  <c r="A60" i="83"/>
  <c r="A61" i="83"/>
  <c r="A62" i="83"/>
  <c r="A63" i="83"/>
  <c r="A64" i="83"/>
  <c r="A65" i="83"/>
  <c r="A66" i="83"/>
  <c r="A67" i="83"/>
  <c r="A68" i="83"/>
  <c r="A69" i="83"/>
  <c r="A70" i="83"/>
  <c r="A71" i="83"/>
  <c r="A7" i="83"/>
  <c r="A8" i="83"/>
  <c r="A9" i="83"/>
  <c r="A10" i="83"/>
  <c r="A11" i="83"/>
  <c r="A12" i="83"/>
  <c r="A13" i="83"/>
  <c r="A14" i="83"/>
  <c r="A15" i="83"/>
  <c r="A16" i="83"/>
  <c r="A17" i="83"/>
  <c r="A18" i="83"/>
  <c r="A19" i="83"/>
  <c r="A20" i="83"/>
  <c r="A21" i="83"/>
  <c r="A22" i="83"/>
  <c r="A23" i="83"/>
  <c r="A24" i="83"/>
  <c r="A25" i="83"/>
  <c r="A26" i="83"/>
  <c r="A27" i="83"/>
  <c r="A28" i="83"/>
  <c r="A29" i="83"/>
  <c r="A30" i="83"/>
  <c r="A31" i="83"/>
  <c r="A32" i="83"/>
  <c r="A33" i="83"/>
  <c r="A34" i="83"/>
  <c r="A35" i="83"/>
  <c r="A36" i="83"/>
  <c r="A37" i="83"/>
  <c r="A38" i="83"/>
  <c r="A39" i="83"/>
  <c r="A40" i="83"/>
  <c r="A41" i="83"/>
  <c r="A42" i="83"/>
  <c r="A43" i="83"/>
  <c r="A44" i="83"/>
  <c r="A45" i="83"/>
  <c r="A46" i="83"/>
  <c r="A47" i="83"/>
  <c r="A48" i="83"/>
  <c r="A49" i="83"/>
  <c r="A50" i="83"/>
  <c r="A51" i="83"/>
  <c r="A6" i="83"/>
  <c r="I26" i="16" l="1"/>
  <c r="J16" i="16"/>
  <c r="I34" i="16"/>
  <c r="I33" i="16"/>
  <c r="AM4" i="21"/>
  <c r="O2" i="21" s="1"/>
  <c r="A197" i="21" l="1"/>
  <c r="A167" i="21"/>
  <c r="A137" i="21"/>
  <c r="A107" i="21"/>
  <c r="A77" i="21"/>
  <c r="A47" i="21"/>
  <c r="A1" i="21"/>
  <c r="J34" i="16"/>
  <c r="Q7" i="31"/>
  <c r="F35" i="11"/>
  <c r="F39" i="11"/>
  <c r="F36" i="11"/>
  <c r="F37" i="11"/>
  <c r="F38" i="11"/>
  <c r="F34" i="11"/>
  <c r="S5" i="11" s="1"/>
  <c r="R5" i="11"/>
  <c r="F33" i="11"/>
  <c r="S4" i="11" s="1"/>
  <c r="R6" i="11"/>
  <c r="R8" i="11"/>
  <c r="R9" i="11"/>
  <c r="F44" i="11"/>
  <c r="R10" i="11"/>
  <c r="B33" i="11"/>
  <c r="R4" i="11"/>
  <c r="N260" i="21" s="1"/>
  <c r="B39" i="11"/>
  <c r="B34" i="11"/>
  <c r="B35" i="11"/>
  <c r="B36" i="11"/>
  <c r="B38" i="11"/>
  <c r="B37" i="11"/>
  <c r="E80" i="12"/>
  <c r="E83" i="12"/>
  <c r="E82" i="12"/>
  <c r="E79" i="12"/>
  <c r="E84" i="12"/>
  <c r="E81" i="12"/>
  <c r="D80" i="12"/>
  <c r="D82" i="12"/>
  <c r="D79" i="12"/>
  <c r="D84" i="12"/>
  <c r="D81" i="12"/>
  <c r="D83" i="12"/>
  <c r="C82" i="12"/>
  <c r="C80" i="12"/>
  <c r="C79" i="12"/>
  <c r="C84" i="12"/>
  <c r="C81" i="12"/>
  <c r="C83" i="12"/>
  <c r="B83" i="12"/>
  <c r="B82" i="12"/>
  <c r="B79" i="12"/>
  <c r="B84" i="12"/>
  <c r="B63" i="12"/>
  <c r="B81" i="12"/>
  <c r="B80" i="12"/>
  <c r="B86" i="12"/>
  <c r="C44" i="11"/>
  <c r="C33" i="11"/>
  <c r="C89" i="12"/>
  <c r="C61" i="12"/>
  <c r="C97" i="12"/>
  <c r="C71" i="12"/>
  <c r="C63" i="12"/>
  <c r="C91" i="12"/>
  <c r="C67" i="12" l="1"/>
  <c r="C78" i="12"/>
  <c r="C96" i="12"/>
  <c r="C100" i="12"/>
  <c r="C75" i="12"/>
  <c r="C92" i="12"/>
  <c r="C72" i="12"/>
  <c r="C95" i="12"/>
  <c r="C103" i="12"/>
  <c r="C99" i="12"/>
  <c r="C68" i="12"/>
  <c r="C104" i="12"/>
  <c r="C69" i="12"/>
  <c r="C66" i="12"/>
  <c r="C101" i="12"/>
  <c r="C105" i="12"/>
  <c r="C65" i="12"/>
  <c r="C76" i="12"/>
  <c r="C93" i="12"/>
  <c r="C94" i="12"/>
  <c r="C102" i="12"/>
  <c r="C98" i="12"/>
  <c r="C77" i="12"/>
  <c r="C64" i="12"/>
  <c r="C90" i="12"/>
  <c r="C70" i="12"/>
  <c r="C46" i="11" l="1"/>
  <c r="C35" i="11"/>
  <c r="C45" i="11"/>
  <c r="C34" i="11"/>
  <c r="C48" i="11"/>
  <c r="C37" i="11"/>
  <c r="C39" i="11"/>
  <c r="C49" i="11"/>
  <c r="C38" i="11"/>
  <c r="C47" i="11"/>
  <c r="C36" i="11"/>
  <c r="C50" i="11"/>
  <c r="A94" i="60" l="1"/>
  <c r="A88" i="60"/>
  <c r="A89" i="60"/>
  <c r="A90" i="60"/>
  <c r="A91" i="60"/>
  <c r="A92" i="60"/>
  <c r="A87" i="60"/>
  <c r="A77" i="60"/>
  <c r="A61" i="60"/>
  <c r="A62" i="60"/>
  <c r="A63" i="60"/>
  <c r="A64" i="60"/>
  <c r="A65" i="60"/>
  <c r="A66" i="60"/>
  <c r="A67" i="60"/>
  <c r="A68" i="60"/>
  <c r="A69" i="60"/>
  <c r="A70" i="60"/>
  <c r="A71" i="60"/>
  <c r="A72" i="60"/>
  <c r="A73" i="60"/>
  <c r="A74" i="60"/>
  <c r="A75" i="60"/>
  <c r="A60" i="60"/>
  <c r="A50" i="60"/>
  <c r="A9" i="60"/>
  <c r="A10" i="60"/>
  <c r="A11" i="60"/>
  <c r="A12" i="60"/>
  <c r="A13" i="60"/>
  <c r="A14" i="60"/>
  <c r="A15" i="60"/>
  <c r="A16" i="60"/>
  <c r="A17" i="60"/>
  <c r="A18" i="60"/>
  <c r="A19" i="60"/>
  <c r="A20" i="60"/>
  <c r="A21" i="60"/>
  <c r="A22" i="60"/>
  <c r="A23" i="60"/>
  <c r="A24" i="60"/>
  <c r="A25" i="60"/>
  <c r="A26" i="60"/>
  <c r="A27" i="60"/>
  <c r="A28" i="60"/>
  <c r="A29" i="60"/>
  <c r="A30" i="60"/>
  <c r="A31" i="60"/>
  <c r="A32" i="60"/>
  <c r="A33" i="60"/>
  <c r="A34" i="60"/>
  <c r="A35" i="60"/>
  <c r="A36" i="60"/>
  <c r="A37" i="60"/>
  <c r="A38" i="60"/>
  <c r="A39" i="60"/>
  <c r="A40" i="60"/>
  <c r="A41" i="60"/>
  <c r="A42" i="60"/>
  <c r="A43" i="60"/>
  <c r="A44" i="60"/>
  <c r="A45" i="60"/>
  <c r="A46" i="60"/>
  <c r="A47" i="60"/>
  <c r="A48" i="60"/>
  <c r="A8" i="60"/>
  <c r="A91" i="52" l="1"/>
  <c r="A73" i="52"/>
  <c r="A61" i="52"/>
  <c r="A49" i="52"/>
  <c r="A31" i="52"/>
  <c r="A19" i="52"/>
  <c r="A7" i="52"/>
  <c r="A14" i="11" l="1"/>
  <c r="A8" i="11"/>
  <c r="A9" i="11"/>
  <c r="A10" i="11"/>
  <c r="A11" i="11"/>
  <c r="A12" i="11"/>
  <c r="A7" i="11"/>
  <c r="AQ49" i="93" l="1"/>
  <c r="Y49" i="93"/>
  <c r="A49" i="93"/>
  <c r="AQ1" i="93"/>
  <c r="Y1" i="93"/>
  <c r="A1" i="93"/>
  <c r="F3" i="83" l="1"/>
  <c r="BH83" i="93" l="1"/>
  <c r="BG83" i="93"/>
  <c r="BF83" i="93"/>
  <c r="BE83" i="93"/>
  <c r="BD83" i="93"/>
  <c r="BB83" i="93"/>
  <c r="BA83" i="93"/>
  <c r="AZ83" i="93"/>
  <c r="AY83" i="93"/>
  <c r="AX83" i="93"/>
  <c r="AV83" i="93"/>
  <c r="AU83" i="93"/>
  <c r="AT83" i="93"/>
  <c r="AS83" i="93"/>
  <c r="AR83" i="93"/>
  <c r="AP83" i="93"/>
  <c r="AO83" i="93"/>
  <c r="AN83" i="93"/>
  <c r="AM83" i="93"/>
  <c r="AL83" i="93"/>
  <c r="AJ83" i="93"/>
  <c r="AI83" i="93"/>
  <c r="AH83" i="93"/>
  <c r="AG83" i="93"/>
  <c r="AF83" i="93"/>
  <c r="AD83" i="93"/>
  <c r="AC83" i="93"/>
  <c r="AB83" i="93"/>
  <c r="AA83" i="93"/>
  <c r="Z83" i="93"/>
  <c r="X83" i="93"/>
  <c r="W83" i="93"/>
  <c r="V83" i="93"/>
  <c r="U83" i="93"/>
  <c r="T83" i="93"/>
  <c r="R83" i="93"/>
  <c r="Q83" i="93"/>
  <c r="P83" i="93"/>
  <c r="O83" i="93"/>
  <c r="N83" i="93"/>
  <c r="L83" i="93"/>
  <c r="K83" i="93"/>
  <c r="J83" i="93"/>
  <c r="I83" i="93"/>
  <c r="H83" i="93"/>
  <c r="F83" i="93"/>
  <c r="E83" i="93"/>
  <c r="D83" i="93"/>
  <c r="C83" i="93"/>
  <c r="B83" i="93"/>
  <c r="BH69" i="93"/>
  <c r="BG69" i="93"/>
  <c r="BF69" i="93"/>
  <c r="BE69" i="93"/>
  <c r="BD69" i="93"/>
  <c r="BB69" i="93"/>
  <c r="BA69" i="93"/>
  <c r="AZ69" i="93"/>
  <c r="AY69" i="93"/>
  <c r="AX69" i="93"/>
  <c r="AV69" i="93"/>
  <c r="AU69" i="93"/>
  <c r="AT69" i="93"/>
  <c r="AS69" i="93"/>
  <c r="AR69" i="93"/>
  <c r="AP69" i="93"/>
  <c r="AO69" i="93"/>
  <c r="AN69" i="93"/>
  <c r="AM69" i="93"/>
  <c r="AL69" i="93"/>
  <c r="AJ69" i="93"/>
  <c r="AI69" i="93"/>
  <c r="AH69" i="93"/>
  <c r="AG69" i="93"/>
  <c r="AF69" i="93"/>
  <c r="AD69" i="93"/>
  <c r="AC69" i="93"/>
  <c r="AB69" i="93"/>
  <c r="AA69" i="93"/>
  <c r="Z69" i="93"/>
  <c r="X69" i="93"/>
  <c r="W69" i="93"/>
  <c r="V69" i="93"/>
  <c r="U69" i="93"/>
  <c r="T69" i="93"/>
  <c r="R69" i="93"/>
  <c r="Q69" i="93"/>
  <c r="P69" i="93"/>
  <c r="O69" i="93"/>
  <c r="N69" i="93"/>
  <c r="L69" i="93"/>
  <c r="K69" i="93"/>
  <c r="J69" i="93"/>
  <c r="I69" i="93"/>
  <c r="H69" i="93"/>
  <c r="F69" i="93"/>
  <c r="E69" i="93"/>
  <c r="D69" i="93"/>
  <c r="C69" i="93"/>
  <c r="B69" i="93"/>
  <c r="BH66" i="93"/>
  <c r="BG66" i="93"/>
  <c r="BF66" i="93"/>
  <c r="BE66" i="93"/>
  <c r="BD66" i="93"/>
  <c r="BB66" i="93"/>
  <c r="BA66" i="93"/>
  <c r="AZ66" i="93"/>
  <c r="AY66" i="93"/>
  <c r="AX66" i="93"/>
  <c r="AV66" i="93"/>
  <c r="AU66" i="93"/>
  <c r="AT66" i="93"/>
  <c r="AS66" i="93"/>
  <c r="AR66" i="93"/>
  <c r="AP66" i="93"/>
  <c r="AO66" i="93"/>
  <c r="AN66" i="93"/>
  <c r="AM66" i="93"/>
  <c r="AL66" i="93"/>
  <c r="AJ66" i="93"/>
  <c r="AI66" i="93"/>
  <c r="AH66" i="93"/>
  <c r="AG66" i="93"/>
  <c r="AF66" i="93"/>
  <c r="AD66" i="93"/>
  <c r="AC66" i="93"/>
  <c r="AB66" i="93"/>
  <c r="AA66" i="93"/>
  <c r="Z66" i="93"/>
  <c r="X66" i="93"/>
  <c r="W66" i="93"/>
  <c r="V66" i="93"/>
  <c r="U66" i="93"/>
  <c r="T66" i="93"/>
  <c r="R66" i="93"/>
  <c r="Q66" i="93"/>
  <c r="P66" i="93"/>
  <c r="O66" i="93"/>
  <c r="N66" i="93"/>
  <c r="L66" i="93"/>
  <c r="K66" i="93"/>
  <c r="J66" i="93"/>
  <c r="I66" i="93"/>
  <c r="H66" i="93"/>
  <c r="F66" i="93"/>
  <c r="E66" i="93"/>
  <c r="D66" i="93"/>
  <c r="C66" i="93"/>
  <c r="B66" i="93"/>
  <c r="A66" i="93"/>
  <c r="BH65" i="93"/>
  <c r="BG65" i="93"/>
  <c r="BF65" i="93"/>
  <c r="BE65" i="93"/>
  <c r="BD65" i="93"/>
  <c r="BB65" i="93"/>
  <c r="BA65" i="93"/>
  <c r="AZ65" i="93"/>
  <c r="AY65" i="93"/>
  <c r="AX65" i="93"/>
  <c r="AV65" i="93"/>
  <c r="AU65" i="93"/>
  <c r="AT65" i="93"/>
  <c r="AS65" i="93"/>
  <c r="AR65" i="93"/>
  <c r="AP65" i="93"/>
  <c r="AO65" i="93"/>
  <c r="AN65" i="93"/>
  <c r="AM65" i="93"/>
  <c r="AL65" i="93"/>
  <c r="AJ65" i="93"/>
  <c r="AI65" i="93"/>
  <c r="AH65" i="93"/>
  <c r="AG65" i="93"/>
  <c r="AF65" i="93"/>
  <c r="AD65" i="93"/>
  <c r="AC65" i="93"/>
  <c r="AB65" i="93"/>
  <c r="AA65" i="93"/>
  <c r="Z65" i="93"/>
  <c r="X65" i="93"/>
  <c r="W65" i="93"/>
  <c r="V65" i="93"/>
  <c r="U65" i="93"/>
  <c r="T65" i="93"/>
  <c r="R65" i="93"/>
  <c r="Q65" i="93"/>
  <c r="P65" i="93"/>
  <c r="O65" i="93"/>
  <c r="N65" i="93"/>
  <c r="L65" i="93"/>
  <c r="K65" i="93"/>
  <c r="J65" i="93"/>
  <c r="I65" i="93"/>
  <c r="H65" i="93"/>
  <c r="F65" i="93"/>
  <c r="E65" i="93"/>
  <c r="D65" i="93"/>
  <c r="C65" i="93"/>
  <c r="B65" i="93"/>
  <c r="BH64" i="93"/>
  <c r="BG64" i="93"/>
  <c r="BF64" i="93"/>
  <c r="BE64" i="93"/>
  <c r="BD64" i="93"/>
  <c r="BB64" i="93"/>
  <c r="BA64" i="93"/>
  <c r="AZ64" i="93"/>
  <c r="AY64" i="93"/>
  <c r="AX64" i="93"/>
  <c r="AV64" i="93"/>
  <c r="AU64" i="93"/>
  <c r="AT64" i="93"/>
  <c r="AS64" i="93"/>
  <c r="AR64" i="93"/>
  <c r="AP64" i="93"/>
  <c r="AO64" i="93"/>
  <c r="AN64" i="93"/>
  <c r="AM64" i="93"/>
  <c r="AL64" i="93"/>
  <c r="AJ64" i="93"/>
  <c r="AI64" i="93"/>
  <c r="AH64" i="93"/>
  <c r="AG64" i="93"/>
  <c r="AF64" i="93"/>
  <c r="AD64" i="93"/>
  <c r="AC64" i="93"/>
  <c r="AB64" i="93"/>
  <c r="AA64" i="93"/>
  <c r="Z64" i="93"/>
  <c r="X64" i="93"/>
  <c r="W64" i="93"/>
  <c r="V64" i="93"/>
  <c r="U64" i="93"/>
  <c r="T64" i="93"/>
  <c r="R64" i="93"/>
  <c r="Q64" i="93"/>
  <c r="P64" i="93"/>
  <c r="O64" i="93"/>
  <c r="N64" i="93"/>
  <c r="L64" i="93"/>
  <c r="K64" i="93"/>
  <c r="J64" i="93"/>
  <c r="I64" i="93"/>
  <c r="H64" i="93"/>
  <c r="F64" i="93"/>
  <c r="E64" i="93"/>
  <c r="D64" i="93"/>
  <c r="C64" i="93"/>
  <c r="B64" i="93"/>
  <c r="BH63" i="93"/>
  <c r="BG63" i="93"/>
  <c r="BF63" i="93"/>
  <c r="BE63" i="93"/>
  <c r="BD63" i="93"/>
  <c r="BB63" i="93"/>
  <c r="BA63" i="93"/>
  <c r="AZ63" i="93"/>
  <c r="AY63" i="93"/>
  <c r="AX63" i="93"/>
  <c r="AV63" i="93"/>
  <c r="AU63" i="93"/>
  <c r="AT63" i="93"/>
  <c r="AS63" i="93"/>
  <c r="AR63" i="93"/>
  <c r="AP63" i="93"/>
  <c r="AO63" i="93"/>
  <c r="AN63" i="93"/>
  <c r="AM63" i="93"/>
  <c r="AL63" i="93"/>
  <c r="AJ63" i="93"/>
  <c r="AI63" i="93"/>
  <c r="AH63" i="93"/>
  <c r="AG63" i="93"/>
  <c r="AF63" i="93"/>
  <c r="AD63" i="93"/>
  <c r="AC63" i="93"/>
  <c r="AB63" i="93"/>
  <c r="AA63" i="93"/>
  <c r="Z63" i="93"/>
  <c r="X63" i="93"/>
  <c r="W63" i="93"/>
  <c r="V63" i="93"/>
  <c r="U63" i="93"/>
  <c r="T63" i="93"/>
  <c r="R63" i="93"/>
  <c r="Q63" i="93"/>
  <c r="P63" i="93"/>
  <c r="O63" i="93"/>
  <c r="N63" i="93"/>
  <c r="L63" i="93"/>
  <c r="K63" i="93"/>
  <c r="J63" i="93"/>
  <c r="I63" i="93"/>
  <c r="H63" i="93"/>
  <c r="F63" i="93"/>
  <c r="E63" i="93"/>
  <c r="D63" i="93"/>
  <c r="C63" i="93"/>
  <c r="B63" i="93"/>
  <c r="A63" i="93"/>
  <c r="BH62" i="93"/>
  <c r="BG62" i="93"/>
  <c r="BF62" i="93"/>
  <c r="BE62" i="93"/>
  <c r="BD62" i="93"/>
  <c r="BB62" i="93"/>
  <c r="BA62" i="93"/>
  <c r="AZ62" i="93"/>
  <c r="AY62" i="93"/>
  <c r="AX62" i="93"/>
  <c r="AV62" i="93"/>
  <c r="AU62" i="93"/>
  <c r="AT62" i="93"/>
  <c r="AS62" i="93"/>
  <c r="AR62" i="93"/>
  <c r="AP62" i="93"/>
  <c r="AO62" i="93"/>
  <c r="AN62" i="93"/>
  <c r="AM62" i="93"/>
  <c r="AL62" i="93"/>
  <c r="AJ62" i="93"/>
  <c r="AI62" i="93"/>
  <c r="AH62" i="93"/>
  <c r="AG62" i="93"/>
  <c r="AF62" i="93"/>
  <c r="AD62" i="93"/>
  <c r="AC62" i="93"/>
  <c r="AB62" i="93"/>
  <c r="AA62" i="93"/>
  <c r="Z62" i="93"/>
  <c r="X62" i="93"/>
  <c r="W62" i="93"/>
  <c r="V62" i="93"/>
  <c r="U62" i="93"/>
  <c r="T62" i="93"/>
  <c r="R62" i="93"/>
  <c r="Q62" i="93"/>
  <c r="P62" i="93"/>
  <c r="O62" i="93"/>
  <c r="N62" i="93"/>
  <c r="L62" i="93"/>
  <c r="K62" i="93"/>
  <c r="J62" i="93"/>
  <c r="I62" i="93"/>
  <c r="H62" i="93"/>
  <c r="F62" i="93"/>
  <c r="E62" i="93"/>
  <c r="D62" i="93"/>
  <c r="C62" i="93"/>
  <c r="B62" i="93"/>
  <c r="BH61" i="93"/>
  <c r="BG61" i="93"/>
  <c r="BF61" i="93"/>
  <c r="BE61" i="93"/>
  <c r="BD61" i="93"/>
  <c r="BB61" i="93"/>
  <c r="BA61" i="93"/>
  <c r="AZ61" i="93"/>
  <c r="AY61" i="93"/>
  <c r="AX61" i="93"/>
  <c r="AV61" i="93"/>
  <c r="AU61" i="93"/>
  <c r="AT61" i="93"/>
  <c r="AS61" i="93"/>
  <c r="AR61" i="93"/>
  <c r="AP61" i="93"/>
  <c r="AO61" i="93"/>
  <c r="AN61" i="93"/>
  <c r="AM61" i="93"/>
  <c r="AL61" i="93"/>
  <c r="AJ61" i="93"/>
  <c r="AI61" i="93"/>
  <c r="AH61" i="93"/>
  <c r="AG61" i="93"/>
  <c r="AF61" i="93"/>
  <c r="AD61" i="93"/>
  <c r="AC61" i="93"/>
  <c r="AB61" i="93"/>
  <c r="AA61" i="93"/>
  <c r="Z61" i="93"/>
  <c r="X61" i="93"/>
  <c r="W61" i="93"/>
  <c r="V61" i="93"/>
  <c r="U61" i="93"/>
  <c r="T61" i="93"/>
  <c r="R61" i="93"/>
  <c r="Q61" i="93"/>
  <c r="P61" i="93"/>
  <c r="O61" i="93"/>
  <c r="N61" i="93"/>
  <c r="L61" i="93"/>
  <c r="K61" i="93"/>
  <c r="J61" i="93"/>
  <c r="I61" i="93"/>
  <c r="H61" i="93"/>
  <c r="F61" i="93"/>
  <c r="E61" i="93"/>
  <c r="D61" i="93"/>
  <c r="C61" i="93"/>
  <c r="B61" i="93"/>
  <c r="BH60" i="93"/>
  <c r="BG60" i="93"/>
  <c r="BF60" i="93"/>
  <c r="BE60" i="93"/>
  <c r="BD60" i="93"/>
  <c r="BB60" i="93"/>
  <c r="BA60" i="93"/>
  <c r="AZ60" i="93"/>
  <c r="AY60" i="93"/>
  <c r="AX60" i="93"/>
  <c r="AV60" i="93"/>
  <c r="AU60" i="93"/>
  <c r="AT60" i="93"/>
  <c r="AS60" i="93"/>
  <c r="AR60" i="93"/>
  <c r="AP60" i="93"/>
  <c r="AO60" i="93"/>
  <c r="AN60" i="93"/>
  <c r="AM60" i="93"/>
  <c r="AL60" i="93"/>
  <c r="AJ60" i="93"/>
  <c r="AI60" i="93"/>
  <c r="AH60" i="93"/>
  <c r="AG60" i="93"/>
  <c r="AF60" i="93"/>
  <c r="AD60" i="93"/>
  <c r="AC60" i="93"/>
  <c r="AB60" i="93"/>
  <c r="AA60" i="93"/>
  <c r="Z60" i="93"/>
  <c r="X60" i="93"/>
  <c r="W60" i="93"/>
  <c r="V60" i="93"/>
  <c r="U60" i="93"/>
  <c r="T60" i="93"/>
  <c r="R60" i="93"/>
  <c r="Q60" i="93"/>
  <c r="P60" i="93"/>
  <c r="O60" i="93"/>
  <c r="N60" i="93"/>
  <c r="L60" i="93"/>
  <c r="K60" i="93"/>
  <c r="J60" i="93"/>
  <c r="I60" i="93"/>
  <c r="H60" i="93"/>
  <c r="F60" i="93"/>
  <c r="E60" i="93"/>
  <c r="D60" i="93"/>
  <c r="C60" i="93"/>
  <c r="B60" i="93"/>
  <c r="A60" i="93"/>
  <c r="BH59" i="93"/>
  <c r="BG59" i="93"/>
  <c r="BF59" i="93"/>
  <c r="BE59" i="93"/>
  <c r="BD59" i="93"/>
  <c r="BB59" i="93"/>
  <c r="BA59" i="93"/>
  <c r="AZ59" i="93"/>
  <c r="AY59" i="93"/>
  <c r="AX59" i="93"/>
  <c r="AV59" i="93"/>
  <c r="AU59" i="93"/>
  <c r="AT59" i="93"/>
  <c r="AS59" i="93"/>
  <c r="AR59" i="93"/>
  <c r="AP59" i="93"/>
  <c r="AO59" i="93"/>
  <c r="AN59" i="93"/>
  <c r="AM59" i="93"/>
  <c r="AL59" i="93"/>
  <c r="AJ59" i="93"/>
  <c r="AI59" i="93"/>
  <c r="AH59" i="93"/>
  <c r="AG59" i="93"/>
  <c r="AF59" i="93"/>
  <c r="AD59" i="93"/>
  <c r="AC59" i="93"/>
  <c r="AB59" i="93"/>
  <c r="AA59" i="93"/>
  <c r="Z59" i="93"/>
  <c r="X59" i="93"/>
  <c r="W59" i="93"/>
  <c r="V59" i="93"/>
  <c r="U59" i="93"/>
  <c r="T59" i="93"/>
  <c r="R59" i="93"/>
  <c r="Q59" i="93"/>
  <c r="P59" i="93"/>
  <c r="O59" i="93"/>
  <c r="N59" i="93"/>
  <c r="L59" i="93"/>
  <c r="K59" i="93"/>
  <c r="J59" i="93"/>
  <c r="I59" i="93"/>
  <c r="H59" i="93"/>
  <c r="F59" i="93"/>
  <c r="E59" i="93"/>
  <c r="D59" i="93"/>
  <c r="C59" i="93"/>
  <c r="B59" i="93"/>
  <c r="BH58" i="93"/>
  <c r="BG58" i="93"/>
  <c r="BF58" i="93"/>
  <c r="BE58" i="93"/>
  <c r="BD58" i="93"/>
  <c r="BB58" i="93"/>
  <c r="BA58" i="93"/>
  <c r="AZ58" i="93"/>
  <c r="AY58" i="93"/>
  <c r="AX58" i="93"/>
  <c r="AV58" i="93"/>
  <c r="AU58" i="93"/>
  <c r="AT58" i="93"/>
  <c r="AS58" i="93"/>
  <c r="AR58" i="93"/>
  <c r="AP58" i="93"/>
  <c r="AO58" i="93"/>
  <c r="AN58" i="93"/>
  <c r="AM58" i="93"/>
  <c r="AL58" i="93"/>
  <c r="AJ58" i="93"/>
  <c r="AI58" i="93"/>
  <c r="AH58" i="93"/>
  <c r="AG58" i="93"/>
  <c r="AF58" i="93"/>
  <c r="AD58" i="93"/>
  <c r="AC58" i="93"/>
  <c r="AB58" i="93"/>
  <c r="AA58" i="93"/>
  <c r="Z58" i="93"/>
  <c r="X58" i="93"/>
  <c r="W58" i="93"/>
  <c r="V58" i="93"/>
  <c r="U58" i="93"/>
  <c r="T58" i="93"/>
  <c r="R58" i="93"/>
  <c r="Q58" i="93"/>
  <c r="P58" i="93"/>
  <c r="O58" i="93"/>
  <c r="N58" i="93"/>
  <c r="L58" i="93"/>
  <c r="K58" i="93"/>
  <c r="J58" i="93"/>
  <c r="I58" i="93"/>
  <c r="H58" i="93"/>
  <c r="F58" i="93"/>
  <c r="E58" i="93"/>
  <c r="D58" i="93"/>
  <c r="C58" i="93"/>
  <c r="B58" i="93"/>
  <c r="A58" i="93"/>
  <c r="BH57" i="93"/>
  <c r="BG57" i="93"/>
  <c r="BF57" i="93"/>
  <c r="BE57" i="93"/>
  <c r="BD57" i="93"/>
  <c r="BB57" i="93"/>
  <c r="BA57" i="93"/>
  <c r="AZ57" i="93"/>
  <c r="AY57" i="93"/>
  <c r="AX57" i="93"/>
  <c r="AV57" i="93"/>
  <c r="AU57" i="93"/>
  <c r="AT57" i="93"/>
  <c r="AS57" i="93"/>
  <c r="AR57" i="93"/>
  <c r="AP57" i="93"/>
  <c r="AO57" i="93"/>
  <c r="AN57" i="93"/>
  <c r="AM57" i="93"/>
  <c r="AL57" i="93"/>
  <c r="AJ57" i="93"/>
  <c r="AI57" i="93"/>
  <c r="AH57" i="93"/>
  <c r="AG57" i="93"/>
  <c r="AF57" i="93"/>
  <c r="AD57" i="93"/>
  <c r="AC57" i="93"/>
  <c r="AB57" i="93"/>
  <c r="AA57" i="93"/>
  <c r="Z57" i="93"/>
  <c r="X57" i="93"/>
  <c r="W57" i="93"/>
  <c r="V57" i="93"/>
  <c r="U57" i="93"/>
  <c r="T57" i="93"/>
  <c r="R57" i="93"/>
  <c r="Q57" i="93"/>
  <c r="P57" i="93"/>
  <c r="O57" i="93"/>
  <c r="N57" i="93"/>
  <c r="L57" i="93"/>
  <c r="K57" i="93"/>
  <c r="J57" i="93"/>
  <c r="I57" i="93"/>
  <c r="H57" i="93"/>
  <c r="F57" i="93"/>
  <c r="E57" i="93"/>
  <c r="D57" i="93"/>
  <c r="C57" i="93"/>
  <c r="B57" i="93"/>
  <c r="A57" i="93"/>
  <c r="BH56" i="93"/>
  <c r="BG56" i="93"/>
  <c r="BF56" i="93"/>
  <c r="BE56" i="93"/>
  <c r="BD56" i="93"/>
  <c r="BB56" i="93"/>
  <c r="BA56" i="93"/>
  <c r="AZ56" i="93"/>
  <c r="AY56" i="93"/>
  <c r="AX56" i="93"/>
  <c r="AV56" i="93"/>
  <c r="AU56" i="93"/>
  <c r="AT56" i="93"/>
  <c r="AS56" i="93"/>
  <c r="AR56" i="93"/>
  <c r="AP56" i="93"/>
  <c r="AO56" i="93"/>
  <c r="AN56" i="93"/>
  <c r="AM56" i="93"/>
  <c r="AL56" i="93"/>
  <c r="AJ56" i="93"/>
  <c r="AI56" i="93"/>
  <c r="AH56" i="93"/>
  <c r="AG56" i="93"/>
  <c r="AF56" i="93"/>
  <c r="AD56" i="93"/>
  <c r="AC56" i="93"/>
  <c r="AB56" i="93"/>
  <c r="AA56" i="93"/>
  <c r="Z56" i="93"/>
  <c r="X56" i="93"/>
  <c r="W56" i="93"/>
  <c r="V56" i="93"/>
  <c r="U56" i="93"/>
  <c r="T56" i="93"/>
  <c r="R56" i="93"/>
  <c r="Q56" i="93"/>
  <c r="P56" i="93"/>
  <c r="O56" i="93"/>
  <c r="N56" i="93"/>
  <c r="L56" i="93"/>
  <c r="K56" i="93"/>
  <c r="J56" i="93"/>
  <c r="I56" i="93"/>
  <c r="H56" i="93"/>
  <c r="F56" i="93"/>
  <c r="E56" i="93"/>
  <c r="D56" i="93"/>
  <c r="C56" i="93"/>
  <c r="B56" i="93"/>
  <c r="A55" i="93"/>
  <c r="BH53" i="93"/>
  <c r="BG53" i="93"/>
  <c r="BF53" i="93"/>
  <c r="BE53" i="93"/>
  <c r="BD53" i="93"/>
  <c r="BB53" i="93"/>
  <c r="BA53" i="93"/>
  <c r="AZ53" i="93"/>
  <c r="AY53" i="93"/>
  <c r="AX53" i="93"/>
  <c r="AP53" i="93"/>
  <c r="AO53" i="93"/>
  <c r="AN53" i="93"/>
  <c r="AM53" i="93"/>
  <c r="AL53" i="93"/>
  <c r="AJ53" i="93"/>
  <c r="AI53" i="93"/>
  <c r="AH53" i="93"/>
  <c r="AG53" i="93"/>
  <c r="AF53" i="93"/>
  <c r="X53" i="93"/>
  <c r="W53" i="93"/>
  <c r="V53" i="93"/>
  <c r="U53" i="93"/>
  <c r="T53" i="93"/>
  <c r="R53" i="93"/>
  <c r="Q53" i="93"/>
  <c r="P53" i="93"/>
  <c r="O53" i="93"/>
  <c r="N53" i="93"/>
  <c r="L53" i="93"/>
  <c r="K53" i="93"/>
  <c r="J53" i="93"/>
  <c r="I53" i="93"/>
  <c r="H53" i="93"/>
  <c r="BD51" i="93"/>
  <c r="AX51" i="93"/>
  <c r="AR51" i="93"/>
  <c r="N51" i="93"/>
  <c r="H51" i="93"/>
  <c r="B51" i="93"/>
  <c r="BH50" i="93"/>
  <c r="AP50" i="93"/>
  <c r="AQ46" i="93"/>
  <c r="AQ94" i="93" s="1"/>
  <c r="Y46" i="93"/>
  <c r="Y94" i="93" s="1"/>
  <c r="A46" i="93"/>
  <c r="A94" i="93" s="1"/>
  <c r="Y44" i="93"/>
  <c r="Y92" i="93" s="1"/>
  <c r="AQ43" i="93"/>
  <c r="AQ91" i="93" s="1"/>
  <c r="Y43" i="93"/>
  <c r="Y91" i="93" s="1"/>
  <c r="A43" i="93"/>
  <c r="A91" i="93" s="1"/>
  <c r="AQ41" i="93"/>
  <c r="AQ89" i="93" s="1"/>
  <c r="AQ40" i="93"/>
  <c r="AQ88" i="93" s="1"/>
  <c r="Y40" i="93"/>
  <c r="Y88" i="93" s="1"/>
  <c r="A40" i="93"/>
  <c r="A88" i="93" s="1"/>
  <c r="A39" i="93"/>
  <c r="A87" i="93" s="1"/>
  <c r="AQ38" i="93"/>
  <c r="AQ86" i="93" s="1"/>
  <c r="Y38" i="93"/>
  <c r="Y86" i="93" s="1"/>
  <c r="A38" i="93"/>
  <c r="A86" i="93" s="1"/>
  <c r="A36" i="93"/>
  <c r="A84" i="93" s="1"/>
  <c r="BH35" i="93"/>
  <c r="BG35" i="93"/>
  <c r="BF35" i="93"/>
  <c r="BE35" i="93"/>
  <c r="BD35" i="93"/>
  <c r="BB35" i="93"/>
  <c r="BA35" i="93"/>
  <c r="AZ35" i="93"/>
  <c r="AY35" i="93"/>
  <c r="AX35" i="93"/>
  <c r="AV35" i="93"/>
  <c r="AU35" i="93"/>
  <c r="AT35" i="93"/>
  <c r="AS35" i="93"/>
  <c r="AR35" i="93"/>
  <c r="AQ35" i="93"/>
  <c r="AQ83" i="93" s="1"/>
  <c r="AP35" i="93"/>
  <c r="AO35" i="93"/>
  <c r="AN35" i="93"/>
  <c r="AM35" i="93"/>
  <c r="AL35" i="93"/>
  <c r="AJ35" i="93"/>
  <c r="AI35" i="93"/>
  <c r="AH35" i="93"/>
  <c r="AG35" i="93"/>
  <c r="AF35" i="93"/>
  <c r="AD35" i="93"/>
  <c r="AC35" i="93"/>
  <c r="AB35" i="93"/>
  <c r="AA35" i="93"/>
  <c r="Z35" i="93"/>
  <c r="Y35" i="93"/>
  <c r="Y83" i="93" s="1"/>
  <c r="X35" i="93"/>
  <c r="W35" i="93"/>
  <c r="V35" i="93"/>
  <c r="U35" i="93"/>
  <c r="T35" i="93"/>
  <c r="R35" i="93"/>
  <c r="Q35" i="93"/>
  <c r="P35" i="93"/>
  <c r="O35" i="93"/>
  <c r="N35" i="93"/>
  <c r="L35" i="93"/>
  <c r="K35" i="93"/>
  <c r="J35" i="93"/>
  <c r="I35" i="93"/>
  <c r="H35" i="93"/>
  <c r="F35" i="93"/>
  <c r="E35" i="93"/>
  <c r="D35" i="93"/>
  <c r="C35" i="93"/>
  <c r="B35" i="93"/>
  <c r="A35" i="93"/>
  <c r="A83" i="93" s="1"/>
  <c r="Y34" i="93"/>
  <c r="Y82" i="93" s="1"/>
  <c r="Y32" i="93"/>
  <c r="Y80" i="93" s="1"/>
  <c r="A32" i="93"/>
  <c r="AQ32" i="93" s="1"/>
  <c r="AQ80" i="93" s="1"/>
  <c r="Y30" i="93"/>
  <c r="Y78" i="93" s="1"/>
  <c r="Y29" i="93"/>
  <c r="Y77" i="93" s="1"/>
  <c r="A29" i="93"/>
  <c r="A77" i="93" s="1"/>
  <c r="Y26" i="93"/>
  <c r="Y74" i="93" s="1"/>
  <c r="A26" i="93"/>
  <c r="A74" i="93" s="1"/>
  <c r="Y25" i="93"/>
  <c r="Y73" i="93" s="1"/>
  <c r="A25" i="93"/>
  <c r="Y24" i="93"/>
  <c r="Y72" i="93" s="1"/>
  <c r="A24" i="93"/>
  <c r="AQ24" i="93" s="1"/>
  <c r="AQ72" i="93" s="1"/>
  <c r="Y22" i="93"/>
  <c r="Y70" i="93" s="1"/>
  <c r="BH21" i="93"/>
  <c r="BG21" i="93"/>
  <c r="BF21" i="93"/>
  <c r="BE21" i="93"/>
  <c r="BD21" i="93"/>
  <c r="BB21" i="93"/>
  <c r="BA21" i="93"/>
  <c r="AZ21" i="93"/>
  <c r="AY21" i="93"/>
  <c r="AX21" i="93"/>
  <c r="AV21" i="93"/>
  <c r="AU21" i="93"/>
  <c r="AT21" i="93"/>
  <c r="AS21" i="93"/>
  <c r="AR21" i="93"/>
  <c r="AP21" i="93"/>
  <c r="AO21" i="93"/>
  <c r="AN21" i="93"/>
  <c r="AM21" i="93"/>
  <c r="AL21" i="93"/>
  <c r="AJ21" i="93"/>
  <c r="AJ7" i="93" s="1"/>
  <c r="AI21" i="93"/>
  <c r="AH21" i="93"/>
  <c r="AG21" i="93"/>
  <c r="AF21" i="93"/>
  <c r="AD21" i="93"/>
  <c r="AC21" i="93"/>
  <c r="AB21" i="93"/>
  <c r="AA21" i="93"/>
  <c r="AA7" i="93" s="1"/>
  <c r="Z21" i="93"/>
  <c r="Y21" i="93"/>
  <c r="Y69" i="93" s="1"/>
  <c r="X21" i="93"/>
  <c r="W21" i="93"/>
  <c r="W7" i="93" s="1"/>
  <c r="V21" i="93"/>
  <c r="U21" i="93"/>
  <c r="T21" i="93"/>
  <c r="R21" i="93"/>
  <c r="R7" i="93" s="1"/>
  <c r="Q21" i="93"/>
  <c r="P21" i="93"/>
  <c r="O21" i="93"/>
  <c r="N21" i="93"/>
  <c r="N7" i="93" s="1"/>
  <c r="L21" i="93"/>
  <c r="K21" i="93"/>
  <c r="J21" i="93"/>
  <c r="I21" i="93"/>
  <c r="I7" i="93" s="1"/>
  <c r="H21" i="93"/>
  <c r="F21" i="93"/>
  <c r="E21" i="93"/>
  <c r="D21" i="93"/>
  <c r="C21" i="93"/>
  <c r="B21" i="93"/>
  <c r="A21" i="93"/>
  <c r="AQ21" i="93" s="1"/>
  <c r="AQ69" i="93" s="1"/>
  <c r="AQ20" i="93"/>
  <c r="AQ68" i="93" s="1"/>
  <c r="Y20" i="93"/>
  <c r="Y68" i="93" s="1"/>
  <c r="A68" i="93"/>
  <c r="BH18" i="93"/>
  <c r="BG18" i="93"/>
  <c r="BF18" i="93"/>
  <c r="BE18" i="93"/>
  <c r="BD18" i="93"/>
  <c r="BB18" i="93"/>
  <c r="BA18" i="93"/>
  <c r="AZ18" i="93"/>
  <c r="AY18" i="93"/>
  <c r="AX18" i="93"/>
  <c r="AV18" i="93"/>
  <c r="AU18" i="93"/>
  <c r="AT18" i="93"/>
  <c r="AS18" i="93"/>
  <c r="AR18" i="93"/>
  <c r="AQ18" i="93"/>
  <c r="AQ66" i="93" s="1"/>
  <c r="AP18" i="93"/>
  <c r="AO18" i="93"/>
  <c r="AN18" i="93"/>
  <c r="AM18" i="93"/>
  <c r="AL18" i="93"/>
  <c r="AJ18" i="93"/>
  <c r="AI18" i="93"/>
  <c r="AH18" i="93"/>
  <c r="AG18" i="93"/>
  <c r="AF18" i="93"/>
  <c r="AD18" i="93"/>
  <c r="AC18" i="93"/>
  <c r="AB18" i="93"/>
  <c r="AA18" i="93"/>
  <c r="Z18" i="93"/>
  <c r="Y18" i="93"/>
  <c r="Y66" i="93" s="1"/>
  <c r="X18" i="93"/>
  <c r="W18" i="93"/>
  <c r="V18" i="93"/>
  <c r="U18" i="93"/>
  <c r="T18" i="93"/>
  <c r="R18" i="93"/>
  <c r="Q18" i="93"/>
  <c r="P18" i="93"/>
  <c r="O18" i="93"/>
  <c r="N18" i="93"/>
  <c r="L18" i="93"/>
  <c r="K18" i="93"/>
  <c r="J18" i="93"/>
  <c r="I18" i="93"/>
  <c r="H18" i="93"/>
  <c r="F18" i="93"/>
  <c r="E18" i="93"/>
  <c r="D18" i="93"/>
  <c r="C18" i="93"/>
  <c r="B18" i="93"/>
  <c r="BH17" i="93"/>
  <c r="BG17" i="93"/>
  <c r="BF17" i="93"/>
  <c r="BE17" i="93"/>
  <c r="BD17" i="93"/>
  <c r="BB17" i="93"/>
  <c r="BA17" i="93"/>
  <c r="AZ17" i="93"/>
  <c r="AY17" i="93"/>
  <c r="AX17" i="93"/>
  <c r="AV17" i="93"/>
  <c r="AU17" i="93"/>
  <c r="AT17" i="93"/>
  <c r="AS17" i="93"/>
  <c r="AR17" i="93"/>
  <c r="AP17" i="93"/>
  <c r="AO17" i="93"/>
  <c r="AN17" i="93"/>
  <c r="AM17" i="93"/>
  <c r="AL17" i="93"/>
  <c r="AJ17" i="93"/>
  <c r="AI17" i="93"/>
  <c r="AH17" i="93"/>
  <c r="AG17" i="93"/>
  <c r="AF17" i="93"/>
  <c r="AD17" i="93"/>
  <c r="AC17" i="93"/>
  <c r="AB17" i="93"/>
  <c r="AA17" i="93"/>
  <c r="Z17" i="93"/>
  <c r="X17" i="93"/>
  <c r="W17" i="93"/>
  <c r="V17" i="93"/>
  <c r="U17" i="93"/>
  <c r="T17" i="93"/>
  <c r="R17" i="93"/>
  <c r="Q17" i="93"/>
  <c r="P17" i="93"/>
  <c r="O17" i="93"/>
  <c r="N17" i="93"/>
  <c r="L17" i="93"/>
  <c r="K17" i="93"/>
  <c r="J17" i="93"/>
  <c r="I17" i="93"/>
  <c r="H17" i="93"/>
  <c r="F17" i="93"/>
  <c r="E17" i="93"/>
  <c r="D17" i="93"/>
  <c r="C17" i="93"/>
  <c r="B17" i="93"/>
  <c r="BH16" i="93"/>
  <c r="BG16" i="93"/>
  <c r="BF16" i="93"/>
  <c r="BE16" i="93"/>
  <c r="BD16" i="93"/>
  <c r="BB16" i="93"/>
  <c r="BA16" i="93"/>
  <c r="AZ16" i="93"/>
  <c r="AY16" i="93"/>
  <c r="AX16" i="93"/>
  <c r="AV16" i="93"/>
  <c r="AU16" i="93"/>
  <c r="AT16" i="93"/>
  <c r="AS16" i="93"/>
  <c r="AR16" i="93"/>
  <c r="AQ16" i="93"/>
  <c r="AQ64" i="93" s="1"/>
  <c r="AP16" i="93"/>
  <c r="AO16" i="93"/>
  <c r="AN16" i="93"/>
  <c r="AM16" i="93"/>
  <c r="AL16" i="93"/>
  <c r="AJ16" i="93"/>
  <c r="AI16" i="93"/>
  <c r="AH16" i="93"/>
  <c r="AG16" i="93"/>
  <c r="AF16" i="93"/>
  <c r="AD16" i="93"/>
  <c r="AC16" i="93"/>
  <c r="AB16" i="93"/>
  <c r="AA16" i="93"/>
  <c r="Z16" i="93"/>
  <c r="Y16" i="93"/>
  <c r="Y64" i="93" s="1"/>
  <c r="X16" i="93"/>
  <c r="W16" i="93"/>
  <c r="V16" i="93"/>
  <c r="U16" i="93"/>
  <c r="T16" i="93"/>
  <c r="R16" i="93"/>
  <c r="Q16" i="93"/>
  <c r="P16" i="93"/>
  <c r="O16" i="93"/>
  <c r="N16" i="93"/>
  <c r="L16" i="93"/>
  <c r="K16" i="93"/>
  <c r="J16" i="93"/>
  <c r="I16" i="93"/>
  <c r="H16" i="93"/>
  <c r="F16" i="93"/>
  <c r="E16" i="93"/>
  <c r="D16" i="93"/>
  <c r="C16" i="93"/>
  <c r="B16" i="93"/>
  <c r="A44" i="93"/>
  <c r="A92" i="93" s="1"/>
  <c r="BH15" i="93"/>
  <c r="BG15" i="93"/>
  <c r="BF15" i="93"/>
  <c r="BE15" i="93"/>
  <c r="BD15" i="93"/>
  <c r="BB15" i="93"/>
  <c r="BA15" i="93"/>
  <c r="AZ15" i="93"/>
  <c r="AY15" i="93"/>
  <c r="AX15" i="93"/>
  <c r="AV15" i="93"/>
  <c r="AU15" i="93"/>
  <c r="AT15" i="93"/>
  <c r="AS15" i="93"/>
  <c r="AR15" i="93"/>
  <c r="AQ15" i="93"/>
  <c r="AQ63" i="93" s="1"/>
  <c r="AP15" i="93"/>
  <c r="AO15" i="93"/>
  <c r="AN15" i="93"/>
  <c r="AM15" i="93"/>
  <c r="AL15" i="93"/>
  <c r="AJ15" i="93"/>
  <c r="AI15" i="93"/>
  <c r="AH15" i="93"/>
  <c r="AG15" i="93"/>
  <c r="AF15" i="93"/>
  <c r="AD15" i="93"/>
  <c r="AC15" i="93"/>
  <c r="AB15" i="93"/>
  <c r="AA15" i="93"/>
  <c r="Z15" i="93"/>
  <c r="Y15" i="93"/>
  <c r="Y63" i="93" s="1"/>
  <c r="X15" i="93"/>
  <c r="W15" i="93"/>
  <c r="V15" i="93"/>
  <c r="U15" i="93"/>
  <c r="T15" i="93"/>
  <c r="R15" i="93"/>
  <c r="Q15" i="93"/>
  <c r="P15" i="93"/>
  <c r="O15" i="93"/>
  <c r="N15" i="93"/>
  <c r="L15" i="93"/>
  <c r="K15" i="93"/>
  <c r="J15" i="93"/>
  <c r="I15" i="93"/>
  <c r="H15" i="93"/>
  <c r="F15" i="93"/>
  <c r="E15" i="93"/>
  <c r="D15" i="93"/>
  <c r="C15" i="93"/>
  <c r="B15" i="93"/>
  <c r="BH14" i="93"/>
  <c r="BG14" i="93"/>
  <c r="BF14" i="93"/>
  <c r="BE14" i="93"/>
  <c r="BD14" i="93"/>
  <c r="BB14" i="93"/>
  <c r="BA14" i="93"/>
  <c r="AZ14" i="93"/>
  <c r="AY14" i="93"/>
  <c r="AX14" i="93"/>
  <c r="AV14" i="93"/>
  <c r="AU14" i="93"/>
  <c r="AT14" i="93"/>
  <c r="AS14" i="93"/>
  <c r="AR14" i="93"/>
  <c r="AP14" i="93"/>
  <c r="AO14" i="93"/>
  <c r="AN14" i="93"/>
  <c r="AM14" i="93"/>
  <c r="AL14" i="93"/>
  <c r="AJ14" i="93"/>
  <c r="AI14" i="93"/>
  <c r="AH14" i="93"/>
  <c r="AG14" i="93"/>
  <c r="AF14" i="93"/>
  <c r="AD14" i="93"/>
  <c r="AC14" i="93"/>
  <c r="AB14" i="93"/>
  <c r="AA14" i="93"/>
  <c r="Z14" i="93"/>
  <c r="X14" i="93"/>
  <c r="W14" i="93"/>
  <c r="V14" i="93"/>
  <c r="U14" i="93"/>
  <c r="T14" i="93"/>
  <c r="R14" i="93"/>
  <c r="Q14" i="93"/>
  <c r="P14" i="93"/>
  <c r="O14" i="93"/>
  <c r="N14" i="93"/>
  <c r="L14" i="93"/>
  <c r="K14" i="93"/>
  <c r="J14" i="93"/>
  <c r="I14" i="93"/>
  <c r="H14" i="93"/>
  <c r="F14" i="93"/>
  <c r="E14" i="93"/>
  <c r="D14" i="93"/>
  <c r="C14" i="93"/>
  <c r="B14" i="93"/>
  <c r="A62" i="93"/>
  <c r="BH13" i="93"/>
  <c r="BG13" i="93"/>
  <c r="BF13" i="93"/>
  <c r="BE13" i="93"/>
  <c r="BD13" i="93"/>
  <c r="BB13" i="93"/>
  <c r="BA13" i="93"/>
  <c r="AZ13" i="93"/>
  <c r="AY13" i="93"/>
  <c r="AX13" i="93"/>
  <c r="AV13" i="93"/>
  <c r="AU13" i="93"/>
  <c r="AT13" i="93"/>
  <c r="AS13" i="93"/>
  <c r="AR13" i="93"/>
  <c r="AP13" i="93"/>
  <c r="AO13" i="93"/>
  <c r="AN13" i="93"/>
  <c r="AM13" i="93"/>
  <c r="AL13" i="93"/>
  <c r="AJ13" i="93"/>
  <c r="AI13" i="93"/>
  <c r="AH13" i="93"/>
  <c r="AG13" i="93"/>
  <c r="AF13" i="93"/>
  <c r="AD13" i="93"/>
  <c r="AC13" i="93"/>
  <c r="AB13" i="93"/>
  <c r="AA13" i="93"/>
  <c r="Z13" i="93"/>
  <c r="X13" i="93"/>
  <c r="W13" i="93"/>
  <c r="V13" i="93"/>
  <c r="U13" i="93"/>
  <c r="T13" i="93"/>
  <c r="R13" i="93"/>
  <c r="Q13" i="93"/>
  <c r="P13" i="93"/>
  <c r="O13" i="93"/>
  <c r="N13" i="93"/>
  <c r="L13" i="93"/>
  <c r="K13" i="93"/>
  <c r="J13" i="93"/>
  <c r="I13" i="93"/>
  <c r="H13" i="93"/>
  <c r="F13" i="93"/>
  <c r="E13" i="93"/>
  <c r="D13" i="93"/>
  <c r="C13" i="93"/>
  <c r="B13" i="93"/>
  <c r="BH12" i="93"/>
  <c r="BG12" i="93"/>
  <c r="BF12" i="93"/>
  <c r="BE12" i="93"/>
  <c r="BD12" i="93"/>
  <c r="BB12" i="93"/>
  <c r="BA12" i="93"/>
  <c r="AZ12" i="93"/>
  <c r="AY12" i="93"/>
  <c r="AX12" i="93"/>
  <c r="AV12" i="93"/>
  <c r="AU12" i="93"/>
  <c r="AT12" i="93"/>
  <c r="AS12" i="93"/>
  <c r="AR12" i="93"/>
  <c r="AQ12" i="93"/>
  <c r="AQ60" i="93" s="1"/>
  <c r="AP12" i="93"/>
  <c r="AO12" i="93"/>
  <c r="AN12" i="93"/>
  <c r="AM12" i="93"/>
  <c r="AL12" i="93"/>
  <c r="AJ12" i="93"/>
  <c r="AI12" i="93"/>
  <c r="AH12" i="93"/>
  <c r="AG12" i="93"/>
  <c r="AF12" i="93"/>
  <c r="AD12" i="93"/>
  <c r="AC12" i="93"/>
  <c r="AB12" i="93"/>
  <c r="AA12" i="93"/>
  <c r="Z12" i="93"/>
  <c r="Y12" i="93"/>
  <c r="Y60" i="93" s="1"/>
  <c r="X12" i="93"/>
  <c r="W12" i="93"/>
  <c r="V12" i="93"/>
  <c r="U12" i="93"/>
  <c r="T12" i="93"/>
  <c r="R12" i="93"/>
  <c r="Q12" i="93"/>
  <c r="P12" i="93"/>
  <c r="O12" i="93"/>
  <c r="N12" i="93"/>
  <c r="L12" i="93"/>
  <c r="K12" i="93"/>
  <c r="J12" i="93"/>
  <c r="I12" i="93"/>
  <c r="H12" i="93"/>
  <c r="F12" i="93"/>
  <c r="E12" i="93"/>
  <c r="D12" i="93"/>
  <c r="C12" i="93"/>
  <c r="B12" i="93"/>
  <c r="BH11" i="93"/>
  <c r="BG11" i="93"/>
  <c r="BF11" i="93"/>
  <c r="BE11" i="93"/>
  <c r="BD11" i="93"/>
  <c r="BB11" i="93"/>
  <c r="BA11" i="93"/>
  <c r="AZ11" i="93"/>
  <c r="AY11" i="93"/>
  <c r="AX11" i="93"/>
  <c r="AV11" i="93"/>
  <c r="AU11" i="93"/>
  <c r="AT11" i="93"/>
  <c r="AS11" i="93"/>
  <c r="AR11" i="93"/>
  <c r="AP11" i="93"/>
  <c r="AO11" i="93"/>
  <c r="AN11" i="93"/>
  <c r="AM11" i="93"/>
  <c r="AL11" i="93"/>
  <c r="AJ11" i="93"/>
  <c r="AI11" i="93"/>
  <c r="AH11" i="93"/>
  <c r="AG11" i="93"/>
  <c r="AF11" i="93"/>
  <c r="AD11" i="93"/>
  <c r="AC11" i="93"/>
  <c r="AB11" i="93"/>
  <c r="AA11" i="93"/>
  <c r="Z11" i="93"/>
  <c r="X11" i="93"/>
  <c r="W11" i="93"/>
  <c r="V11" i="93"/>
  <c r="U11" i="93"/>
  <c r="T11" i="93"/>
  <c r="R11" i="93"/>
  <c r="Q11" i="93"/>
  <c r="P11" i="93"/>
  <c r="O11" i="93"/>
  <c r="N11" i="93"/>
  <c r="L11" i="93"/>
  <c r="K11" i="93"/>
  <c r="J11" i="93"/>
  <c r="I11" i="93"/>
  <c r="H11" i="93"/>
  <c r="F11" i="93"/>
  <c r="E11" i="93"/>
  <c r="D11" i="93"/>
  <c r="C11" i="93"/>
  <c r="B11" i="93"/>
  <c r="AQ11" i="93"/>
  <c r="AQ59" i="93" s="1"/>
  <c r="BH10" i="93"/>
  <c r="BG10" i="93"/>
  <c r="BF10" i="93"/>
  <c r="BE10" i="93"/>
  <c r="BD10" i="93"/>
  <c r="BB10" i="93"/>
  <c r="BA10" i="93"/>
  <c r="AZ10" i="93"/>
  <c r="AY10" i="93"/>
  <c r="AX10" i="93"/>
  <c r="AV10" i="93"/>
  <c r="AU10" i="93"/>
  <c r="AT10" i="93"/>
  <c r="AS10" i="93"/>
  <c r="AR10" i="93"/>
  <c r="AQ10" i="93"/>
  <c r="AQ58" i="93" s="1"/>
  <c r="AP10" i="93"/>
  <c r="AO10" i="93"/>
  <c r="AN10" i="93"/>
  <c r="AM10" i="93"/>
  <c r="AL10" i="93"/>
  <c r="AJ10" i="93"/>
  <c r="AI10" i="93"/>
  <c r="AH10" i="93"/>
  <c r="AG10" i="93"/>
  <c r="AF10" i="93"/>
  <c r="AD10" i="93"/>
  <c r="AC10" i="93"/>
  <c r="AB10" i="93"/>
  <c r="AA10" i="93"/>
  <c r="Z10" i="93"/>
  <c r="Y10" i="93"/>
  <c r="Y58" i="93" s="1"/>
  <c r="X10" i="93"/>
  <c r="W10" i="93"/>
  <c r="V10" i="93"/>
  <c r="U10" i="93"/>
  <c r="T10" i="93"/>
  <c r="R10" i="93"/>
  <c r="Q10" i="93"/>
  <c r="P10" i="93"/>
  <c r="O10" i="93"/>
  <c r="N10" i="93"/>
  <c r="L10" i="93"/>
  <c r="K10" i="93"/>
  <c r="J10" i="93"/>
  <c r="I10" i="93"/>
  <c r="H10" i="93"/>
  <c r="F10" i="93"/>
  <c r="E10" i="93"/>
  <c r="D10" i="93"/>
  <c r="C10" i="93"/>
  <c r="B10" i="93"/>
  <c r="BH9" i="93"/>
  <c r="BG9" i="93"/>
  <c r="BF9" i="93"/>
  <c r="BE9" i="93"/>
  <c r="BD9" i="93"/>
  <c r="BB9" i="93"/>
  <c r="BA9" i="93"/>
  <c r="AZ9" i="93"/>
  <c r="AY9" i="93"/>
  <c r="AX9" i="93"/>
  <c r="AV9" i="93"/>
  <c r="AU9" i="93"/>
  <c r="AT9" i="93"/>
  <c r="AS9" i="93"/>
  <c r="AR9" i="93"/>
  <c r="AP9" i="93"/>
  <c r="AO9" i="93"/>
  <c r="AN9" i="93"/>
  <c r="AM9" i="93"/>
  <c r="AL9" i="93"/>
  <c r="AJ9" i="93"/>
  <c r="AI9" i="93"/>
  <c r="AH9" i="93"/>
  <c r="AG9" i="93"/>
  <c r="AF9" i="93"/>
  <c r="AD9" i="93"/>
  <c r="AC9" i="93"/>
  <c r="AB9" i="93"/>
  <c r="AA9" i="93"/>
  <c r="Z9" i="93"/>
  <c r="X9" i="93"/>
  <c r="W9" i="93"/>
  <c r="V9" i="93"/>
  <c r="U9" i="93"/>
  <c r="T9" i="93"/>
  <c r="R9" i="93"/>
  <c r="Q9" i="93"/>
  <c r="P9" i="93"/>
  <c r="O9" i="93"/>
  <c r="N9" i="93"/>
  <c r="L9" i="93"/>
  <c r="K9" i="93"/>
  <c r="J9" i="93"/>
  <c r="I9" i="93"/>
  <c r="H9" i="93"/>
  <c r="F9" i="93"/>
  <c r="E9" i="93"/>
  <c r="D9" i="93"/>
  <c r="C9" i="93"/>
  <c r="B9" i="93"/>
  <c r="BH8" i="93"/>
  <c r="BG8" i="93"/>
  <c r="BF8" i="93"/>
  <c r="BE8" i="93"/>
  <c r="BD8" i="93"/>
  <c r="BB8" i="93"/>
  <c r="BA8" i="93"/>
  <c r="AZ8" i="93"/>
  <c r="AY8" i="93"/>
  <c r="AX8" i="93"/>
  <c r="AV8" i="93"/>
  <c r="AU8" i="93"/>
  <c r="AT8" i="93"/>
  <c r="AS8" i="93"/>
  <c r="AR8" i="93"/>
  <c r="AQ8" i="93"/>
  <c r="AQ56" i="93" s="1"/>
  <c r="AP8" i="93"/>
  <c r="AO8" i="93"/>
  <c r="AN8" i="93"/>
  <c r="AM8" i="93"/>
  <c r="AL8" i="93"/>
  <c r="AJ8" i="93"/>
  <c r="AI8" i="93"/>
  <c r="AH8" i="93"/>
  <c r="AG8" i="93"/>
  <c r="AF8" i="93"/>
  <c r="AD8" i="93"/>
  <c r="AC8" i="93"/>
  <c r="AB8" i="93"/>
  <c r="AA8" i="93"/>
  <c r="Z8" i="93"/>
  <c r="Y8" i="93"/>
  <c r="Y56" i="93" s="1"/>
  <c r="X8" i="93"/>
  <c r="W8" i="93"/>
  <c r="V8" i="93"/>
  <c r="U8" i="93"/>
  <c r="T8" i="93"/>
  <c r="R8" i="93"/>
  <c r="Q8" i="93"/>
  <c r="P8" i="93"/>
  <c r="O8" i="93"/>
  <c r="N8" i="93"/>
  <c r="L8" i="93"/>
  <c r="K8" i="93"/>
  <c r="J8" i="93"/>
  <c r="I8" i="93"/>
  <c r="H8" i="93"/>
  <c r="F8" i="93"/>
  <c r="E8" i="93"/>
  <c r="D8" i="93"/>
  <c r="C8" i="93"/>
  <c r="B8" i="93"/>
  <c r="AQ7" i="93"/>
  <c r="AQ55" i="93" s="1"/>
  <c r="Y7" i="93"/>
  <c r="Y55" i="93" s="1"/>
  <c r="BH5" i="93"/>
  <c r="BG5" i="93"/>
  <c r="BF5" i="93"/>
  <c r="BE5" i="93"/>
  <c r="BD5" i="93"/>
  <c r="BB5" i="93"/>
  <c r="BA5" i="93"/>
  <c r="AZ5" i="93"/>
  <c r="AY5" i="93"/>
  <c r="AX5" i="93"/>
  <c r="AP5" i="93"/>
  <c r="AO5" i="93"/>
  <c r="AN5" i="93"/>
  <c r="AM5" i="93"/>
  <c r="AL5" i="93"/>
  <c r="AJ5" i="93"/>
  <c r="AI5" i="93"/>
  <c r="AH5" i="93"/>
  <c r="AG5" i="93"/>
  <c r="AF5" i="93"/>
  <c r="X5" i="93"/>
  <c r="W5" i="93"/>
  <c r="V5" i="93"/>
  <c r="U5" i="93"/>
  <c r="T5" i="93"/>
  <c r="R5" i="93"/>
  <c r="Q5" i="93"/>
  <c r="P5" i="93"/>
  <c r="O5" i="93"/>
  <c r="N5" i="93"/>
  <c r="L5" i="93"/>
  <c r="K5" i="93"/>
  <c r="J5" i="93"/>
  <c r="I5" i="93"/>
  <c r="H5" i="93"/>
  <c r="AL51" i="93"/>
  <c r="AF51" i="93"/>
  <c r="Z51" i="93"/>
  <c r="T51" i="93"/>
  <c r="D55" i="93" l="1"/>
  <c r="W55" i="93"/>
  <c r="AG55" i="93"/>
  <c r="AZ55" i="93"/>
  <c r="H7" i="93"/>
  <c r="N55" i="93"/>
  <c r="AP55" i="93"/>
  <c r="AU7" i="93"/>
  <c r="AH55" i="93"/>
  <c r="AR55" i="93"/>
  <c r="BA55" i="93"/>
  <c r="AR7" i="93"/>
  <c r="B55" i="93"/>
  <c r="K55" i="93"/>
  <c r="U55" i="93"/>
  <c r="AN55" i="93"/>
  <c r="AX55" i="93"/>
  <c r="BG55" i="93"/>
  <c r="Z7" i="93"/>
  <c r="AS7" i="93"/>
  <c r="BB7" i="93"/>
  <c r="C55" i="93"/>
  <c r="L55" i="93"/>
  <c r="V55" i="93"/>
  <c r="AF55" i="93"/>
  <c r="AO55" i="93"/>
  <c r="AY55" i="93"/>
  <c r="BH55" i="93"/>
  <c r="R55" i="93"/>
  <c r="B7" i="93"/>
  <c r="K7" i="93"/>
  <c r="U7" i="93"/>
  <c r="AC7" i="93"/>
  <c r="AM7" i="93"/>
  <c r="BF55" i="93"/>
  <c r="AZ7" i="93"/>
  <c r="E55" i="93"/>
  <c r="O55" i="93"/>
  <c r="X55" i="93"/>
  <c r="AF7" i="93"/>
  <c r="AT7" i="93"/>
  <c r="BD7" i="93"/>
  <c r="F55" i="93"/>
  <c r="P55" i="93"/>
  <c r="Z55" i="93"/>
  <c r="AI55" i="93"/>
  <c r="AS55" i="93"/>
  <c r="BB55" i="93"/>
  <c r="J55" i="93"/>
  <c r="AV55" i="93"/>
  <c r="J7" i="93"/>
  <c r="T7" i="93"/>
  <c r="AB7" i="93"/>
  <c r="AL7" i="93"/>
  <c r="BE7" i="93"/>
  <c r="Q7" i="93"/>
  <c r="AI7" i="93"/>
  <c r="BA7" i="93"/>
  <c r="P7" i="93"/>
  <c r="H55" i="93"/>
  <c r="Q55" i="93"/>
  <c r="AA55" i="93"/>
  <c r="AJ55" i="93"/>
  <c r="AX7" i="93"/>
  <c r="BG7" i="93"/>
  <c r="AU55" i="93"/>
  <c r="BE55" i="93"/>
  <c r="F7" i="93"/>
  <c r="AH7" i="93"/>
  <c r="D7" i="93"/>
  <c r="AO7" i="93"/>
  <c r="T55" i="93"/>
  <c r="AC55" i="93"/>
  <c r="AM55" i="93"/>
  <c r="AT55" i="93"/>
  <c r="BD55" i="93"/>
  <c r="A80" i="93"/>
  <c r="I55" i="93"/>
  <c r="AB55" i="93"/>
  <c r="AL55" i="93"/>
  <c r="A69" i="93"/>
  <c r="O7" i="93"/>
  <c r="AY7" i="93"/>
  <c r="AQ26" i="93"/>
  <c r="AQ74" i="93" s="1"/>
  <c r="X7" i="93"/>
  <c r="BH7" i="93"/>
  <c r="C7" i="93"/>
  <c r="L7" i="93"/>
  <c r="V7" i="93"/>
  <c r="AD7" i="93"/>
  <c r="AN7" i="93"/>
  <c r="AV7" i="93"/>
  <c r="BF7" i="93"/>
  <c r="A72" i="93"/>
  <c r="E7" i="93"/>
  <c r="AG7" i="93"/>
  <c r="AP7" i="93"/>
  <c r="AD55" i="93"/>
  <c r="AQ29" i="93"/>
  <c r="AQ77" i="93" s="1"/>
  <c r="A54" i="93"/>
  <c r="AQ6" i="93"/>
  <c r="AQ54" i="93" s="1"/>
  <c r="Y6" i="93"/>
  <c r="Y54" i="93" s="1"/>
  <c r="Y37" i="93"/>
  <c r="Y85" i="93" s="1"/>
  <c r="A37" i="93"/>
  <c r="A85" i="93" s="1"/>
  <c r="Y23" i="93"/>
  <c r="Y71" i="93" s="1"/>
  <c r="A23" i="93"/>
  <c r="AQ9" i="93"/>
  <c r="AQ57" i="93" s="1"/>
  <c r="Y9" i="93"/>
  <c r="Y57" i="93" s="1"/>
  <c r="AQ37" i="93"/>
  <c r="AQ85" i="93" s="1"/>
  <c r="A61" i="93"/>
  <c r="A41" i="93"/>
  <c r="A89" i="93" s="1"/>
  <c r="Y27" i="93"/>
  <c r="Y75" i="93" s="1"/>
  <c r="Y41" i="93"/>
  <c r="Y89" i="93" s="1"/>
  <c r="AQ13" i="93"/>
  <c r="AQ61" i="93" s="1"/>
  <c r="Y13" i="93"/>
  <c r="Y61" i="93" s="1"/>
  <c r="A27" i="93"/>
  <c r="Y45" i="93"/>
  <c r="Y93" i="93" s="1"/>
  <c r="A45" i="93"/>
  <c r="A93" i="93" s="1"/>
  <c r="Y31" i="93"/>
  <c r="Y79" i="93" s="1"/>
  <c r="A31" i="93"/>
  <c r="AQ17" i="93"/>
  <c r="AQ65" i="93" s="1"/>
  <c r="Y17" i="93"/>
  <c r="Y65" i="93" s="1"/>
  <c r="AQ45" i="93"/>
  <c r="AQ93" i="93" s="1"/>
  <c r="A65" i="93"/>
  <c r="A56" i="93"/>
  <c r="AQ36" i="93"/>
  <c r="AQ84" i="93" s="1"/>
  <c r="A22" i="93"/>
  <c r="AQ42" i="93"/>
  <c r="AQ90" i="93" s="1"/>
  <c r="Y42" i="93"/>
  <c r="Y90" i="93" s="1"/>
  <c r="AQ14" i="93"/>
  <c r="AQ62" i="93" s="1"/>
  <c r="Y14" i="93"/>
  <c r="Y62" i="93" s="1"/>
  <c r="A42" i="93"/>
  <c r="A90" i="93" s="1"/>
  <c r="Y28" i="93"/>
  <c r="Y76" i="93" s="1"/>
  <c r="A64" i="93"/>
  <c r="AQ44" i="93"/>
  <c r="AQ92" i="93" s="1"/>
  <c r="A30" i="93"/>
  <c r="A28" i="93"/>
  <c r="A82" i="93"/>
  <c r="AQ34" i="93"/>
  <c r="AQ82" i="93" s="1"/>
  <c r="Y36" i="93"/>
  <c r="Y84" i="93" s="1"/>
  <c r="A73" i="93"/>
  <c r="AQ25" i="93"/>
  <c r="AQ73" i="93" s="1"/>
  <c r="Y39" i="93"/>
  <c r="Y87" i="93" s="1"/>
  <c r="A59" i="93"/>
  <c r="AQ39" i="93"/>
  <c r="AQ87" i="93" s="1"/>
  <c r="Y11" i="93"/>
  <c r="Y59" i="93" s="1"/>
  <c r="AQ31" i="93" l="1"/>
  <c r="AQ79" i="93" s="1"/>
  <c r="A79" i="93"/>
  <c r="A76" i="93"/>
  <c r="AQ28" i="93"/>
  <c r="AQ76" i="93" s="1"/>
  <c r="A78" i="93"/>
  <c r="AQ30" i="93"/>
  <c r="AQ78" i="93" s="1"/>
  <c r="A75" i="93"/>
  <c r="AQ27" i="93"/>
  <c r="AQ75" i="93" s="1"/>
  <c r="AQ23" i="93"/>
  <c r="AQ71" i="93" s="1"/>
  <c r="A71" i="93"/>
  <c r="A70" i="93"/>
  <c r="AQ22" i="93"/>
  <c r="AQ70" i="93" s="1"/>
  <c r="N6" i="78" l="1"/>
  <c r="O6" i="78"/>
  <c r="N107" i="78" s="1"/>
  <c r="P6" i="78"/>
  <c r="Q6" i="78"/>
  <c r="M6" i="78"/>
  <c r="L1" i="78" s="1"/>
  <c r="P107" i="78" l="1"/>
  <c r="Q107" i="78"/>
  <c r="AA6" i="78"/>
  <c r="O107" i="78"/>
  <c r="M107" i="78"/>
  <c r="Q117" i="78"/>
  <c r="AB6" i="78"/>
  <c r="Q103" i="78"/>
  <c r="Q95" i="78"/>
  <c r="Q87" i="78"/>
  <c r="Q102" i="78"/>
  <c r="Q94" i="78"/>
  <c r="Q86" i="78"/>
  <c r="Q99" i="78"/>
  <c r="Q91" i="78"/>
  <c r="Q83" i="78"/>
  <c r="Q105" i="78"/>
  <c r="Q92" i="78"/>
  <c r="Q104" i="78"/>
  <c r="Q90" i="78"/>
  <c r="Q101" i="78"/>
  <c r="Q89" i="78"/>
  <c r="Q98" i="78"/>
  <c r="Q85" i="78"/>
  <c r="Q97" i="78"/>
  <c r="Q84" i="78"/>
  <c r="Q106" i="78"/>
  <c r="Q93" i="78"/>
  <c r="Q100" i="78"/>
  <c r="Q96" i="78"/>
  <c r="Q88" i="78"/>
  <c r="Q82" i="78"/>
  <c r="Z6" i="78"/>
  <c r="N104" i="78"/>
  <c r="N96" i="78"/>
  <c r="N88" i="78"/>
  <c r="N103" i="78"/>
  <c r="N95" i="78"/>
  <c r="N87" i="78"/>
  <c r="N100" i="78"/>
  <c r="N92" i="78"/>
  <c r="N84" i="78"/>
  <c r="N94" i="78"/>
  <c r="N82" i="78"/>
  <c r="N91" i="78"/>
  <c r="N106" i="78"/>
  <c r="N93" i="78"/>
  <c r="N105" i="78"/>
  <c r="N101" i="78"/>
  <c r="N89" i="78"/>
  <c r="N99" i="78"/>
  <c r="N86" i="78"/>
  <c r="N102" i="78"/>
  <c r="N97" i="78"/>
  <c r="N98" i="78"/>
  <c r="N90" i="78"/>
  <c r="N85" i="78"/>
  <c r="N83" i="78"/>
  <c r="Y6" i="78"/>
  <c r="N80" i="78"/>
  <c r="N117" i="78"/>
  <c r="Q80" i="78"/>
  <c r="X6" i="78"/>
  <c r="W1" i="78" s="1"/>
  <c r="Y107" i="78" l="1"/>
  <c r="AL6" i="78"/>
  <c r="Z107" i="78"/>
  <c r="AJ6" i="78"/>
  <c r="X107" i="78"/>
  <c r="AM6" i="78"/>
  <c r="AL105" i="78" s="1"/>
  <c r="AA107" i="78"/>
  <c r="AB107" i="78"/>
  <c r="AI6" i="78"/>
  <c r="AK6" i="78"/>
  <c r="AB117" i="78"/>
  <c r="Y80" i="78"/>
  <c r="AB80" i="78"/>
  <c r="Y117" i="78"/>
  <c r="Y101" i="78"/>
  <c r="Y93" i="78"/>
  <c r="Y85" i="78"/>
  <c r="Y100" i="78"/>
  <c r="Y92" i="78"/>
  <c r="Y84" i="78"/>
  <c r="Y105" i="78"/>
  <c r="Y97" i="78"/>
  <c r="Y89" i="78"/>
  <c r="Y103" i="78"/>
  <c r="Y90" i="78"/>
  <c r="Y102" i="78"/>
  <c r="Y88" i="78"/>
  <c r="Y99" i="78"/>
  <c r="Y87" i="78"/>
  <c r="Y96" i="78"/>
  <c r="Y83" i="78"/>
  <c r="Y95" i="78"/>
  <c r="Y82" i="78"/>
  <c r="Y94" i="78"/>
  <c r="Y86" i="78"/>
  <c r="Y91" i="78"/>
  <c r="Y104" i="78"/>
  <c r="Y106" i="78"/>
  <c r="Y98" i="78"/>
  <c r="AB101" i="78"/>
  <c r="AB93" i="78"/>
  <c r="AB85" i="78"/>
  <c r="AB83" i="78"/>
  <c r="AB100" i="78"/>
  <c r="AB92" i="78"/>
  <c r="AB84" i="78"/>
  <c r="AB105" i="78"/>
  <c r="AB97" i="78"/>
  <c r="AB89" i="78"/>
  <c r="AB102" i="78"/>
  <c r="AB88" i="78"/>
  <c r="AB99" i="78"/>
  <c r="AB87" i="78"/>
  <c r="AB98" i="78"/>
  <c r="AB86" i="78"/>
  <c r="AB95" i="78"/>
  <c r="AB106" i="78"/>
  <c r="AB94" i="78"/>
  <c r="AB96" i="78"/>
  <c r="AB91" i="78"/>
  <c r="AB90" i="78"/>
  <c r="AB82" i="78"/>
  <c r="AB103" i="78"/>
  <c r="AB104" i="78"/>
  <c r="M8" i="79"/>
  <c r="H35" i="78"/>
  <c r="B46" i="78"/>
  <c r="AL86" i="78" l="1"/>
  <c r="AI101" i="78"/>
  <c r="AI87" i="78"/>
  <c r="AI82" i="78"/>
  <c r="AI86" i="78"/>
  <c r="AM109" i="78"/>
  <c r="AM105" i="78"/>
  <c r="AM90" i="78"/>
  <c r="AI99" i="78"/>
  <c r="AI105" i="78"/>
  <c r="AI92" i="78"/>
  <c r="AM86" i="78"/>
  <c r="AI94" i="78"/>
  <c r="AM95" i="78"/>
  <c r="AM80" i="78"/>
  <c r="AI117" i="78"/>
  <c r="AM99" i="78"/>
  <c r="AI88" i="78"/>
  <c r="AM98" i="78"/>
  <c r="AI91" i="78"/>
  <c r="AJ43" i="78"/>
  <c r="AI109" i="78"/>
  <c r="AI89" i="78"/>
  <c r="AI90" i="78"/>
  <c r="AT6" i="78"/>
  <c r="AM94" i="78"/>
  <c r="AI100" i="78"/>
  <c r="AI97" i="78"/>
  <c r="AM103" i="78"/>
  <c r="AI43" i="78"/>
  <c r="AM88" i="78"/>
  <c r="AI93" i="78"/>
  <c r="AM82" i="78"/>
  <c r="AU6" i="78"/>
  <c r="AT107" i="78" s="1"/>
  <c r="AI83" i="78"/>
  <c r="AM85" i="78"/>
  <c r="AI84" i="78"/>
  <c r="AI80" i="78"/>
  <c r="AI104" i="78"/>
  <c r="AM97" i="78"/>
  <c r="AI102" i="78"/>
  <c r="AI96" i="78"/>
  <c r="AM93" i="78"/>
  <c r="AM104" i="78"/>
  <c r="AM89" i="78"/>
  <c r="AI107" i="78"/>
  <c r="AI95" i="78"/>
  <c r="AI85" i="78"/>
  <c r="AM91" i="78"/>
  <c r="AM87" i="78"/>
  <c r="AM43" i="78"/>
  <c r="AI106" i="78"/>
  <c r="AI103" i="78"/>
  <c r="AM106" i="78"/>
  <c r="AM101" i="78"/>
  <c r="AX6" i="78"/>
  <c r="AI98" i="78"/>
  <c r="AM102" i="78"/>
  <c r="AM96" i="78"/>
  <c r="AL94" i="78"/>
  <c r="AM83" i="78"/>
  <c r="AM84" i="78"/>
  <c r="AL103" i="78"/>
  <c r="AL106" i="78"/>
  <c r="AM92" i="78"/>
  <c r="AL93" i="78"/>
  <c r="AL80" i="78"/>
  <c r="AL96" i="78"/>
  <c r="AL100" i="78"/>
  <c r="AL99" i="78"/>
  <c r="AM100" i="78"/>
  <c r="AL84" i="78"/>
  <c r="AL102" i="78"/>
  <c r="AL98" i="78"/>
  <c r="AL91" i="78"/>
  <c r="AL90" i="78"/>
  <c r="AL109" i="78"/>
  <c r="AL87" i="78"/>
  <c r="AL97" i="78"/>
  <c r="AL101" i="78"/>
  <c r="AL117" i="78"/>
  <c r="AL95" i="78"/>
  <c r="AL82" i="78"/>
  <c r="AL85" i="78"/>
  <c r="AL89" i="78"/>
  <c r="AL104" i="78"/>
  <c r="AL92" i="78"/>
  <c r="AL107" i="78"/>
  <c r="AM107" i="78"/>
  <c r="AM117" i="78"/>
  <c r="AJ107" i="78"/>
  <c r="AL83" i="78"/>
  <c r="AL88" i="78"/>
  <c r="AK107" i="78"/>
  <c r="AL43" i="78"/>
  <c r="AW6" i="78"/>
  <c r="AW117" i="78" s="1"/>
  <c r="AH1" i="78"/>
  <c r="AH38" i="78" s="1"/>
  <c r="AK93" i="78"/>
  <c r="AK87" i="78"/>
  <c r="AJ106" i="78"/>
  <c r="AJ102" i="78"/>
  <c r="AJ93" i="78"/>
  <c r="AJ103" i="78"/>
  <c r="AK43" i="78"/>
  <c r="AK102" i="78"/>
  <c r="AJ99" i="78"/>
  <c r="AJ86" i="78"/>
  <c r="AK85" i="78"/>
  <c r="AK117" i="78"/>
  <c r="AJ109" i="78"/>
  <c r="AK96" i="78"/>
  <c r="AK88" i="78"/>
  <c r="AJ100" i="78"/>
  <c r="AJ89" i="78"/>
  <c r="AJ87" i="78"/>
  <c r="AK94" i="78"/>
  <c r="AK105" i="78"/>
  <c r="AJ83" i="78"/>
  <c r="AK92" i="78"/>
  <c r="AJ117" i="78"/>
  <c r="AK91" i="78"/>
  <c r="AV6" i="78"/>
  <c r="AJ98" i="78"/>
  <c r="AK89" i="78"/>
  <c r="AJ96" i="78"/>
  <c r="AJ97" i="78"/>
  <c r="AK80" i="78"/>
  <c r="AK97" i="78"/>
  <c r="F146" i="78"/>
  <c r="Q146" i="78"/>
  <c r="S35" i="78"/>
  <c r="S72" i="78" s="1"/>
  <c r="S109" i="78" s="1"/>
  <c r="AJ101" i="78"/>
  <c r="AJ88" i="78"/>
  <c r="AJ105" i="78"/>
  <c r="AJ94" i="78"/>
  <c r="AJ90" i="78"/>
  <c r="AK103" i="78"/>
  <c r="AK106" i="78"/>
  <c r="AK100" i="78"/>
  <c r="AK99" i="78"/>
  <c r="H72" i="78"/>
  <c r="H109" i="78" s="1"/>
  <c r="I109" i="78"/>
  <c r="AE109" i="78"/>
  <c r="AE72" i="78"/>
  <c r="AD35" i="78"/>
  <c r="AF35" i="78" s="1"/>
  <c r="AF72" i="78" s="1"/>
  <c r="AF109" i="78" s="1"/>
  <c r="AB146" i="78"/>
  <c r="AJ84" i="78"/>
  <c r="AK98" i="78"/>
  <c r="AK104" i="78"/>
  <c r="AK101" i="78"/>
  <c r="AK95" i="78"/>
  <c r="AJ80" i="78"/>
  <c r="AJ91" i="78"/>
  <c r="AJ85" i="78"/>
  <c r="AK82" i="78"/>
  <c r="AK109" i="78"/>
  <c r="AK86" i="78"/>
  <c r="AJ104" i="78"/>
  <c r="AJ92" i="78"/>
  <c r="AJ82" i="78"/>
  <c r="AJ95" i="78"/>
  <c r="AK90" i="78"/>
  <c r="AK84" i="78"/>
  <c r="AK83" i="78"/>
  <c r="AW103" i="78"/>
  <c r="BF6" i="78"/>
  <c r="AU43" i="78"/>
  <c r="AX106" i="78"/>
  <c r="AX101" i="78"/>
  <c r="BE6" i="78"/>
  <c r="AT43" i="78"/>
  <c r="AT100" i="78"/>
  <c r="AT90" i="78"/>
  <c r="AT84" i="78"/>
  <c r="AT101" i="78"/>
  <c r="AT109" i="78"/>
  <c r="AT104" i="78"/>
  <c r="AT93" i="78"/>
  <c r="AT82" i="78"/>
  <c r="AT102" i="78"/>
  <c r="AT91" i="78"/>
  <c r="AT97" i="78"/>
  <c r="AT83" i="78"/>
  <c r="AT92" i="78"/>
  <c r="AT94" i="78"/>
  <c r="AT99" i="78"/>
  <c r="AT96" i="78"/>
  <c r="AT88" i="78"/>
  <c r="AT85" i="78"/>
  <c r="AT103" i="78"/>
  <c r="AT95" i="78"/>
  <c r="AT106" i="78"/>
  <c r="AT87" i="78"/>
  <c r="AT105" i="78"/>
  <c r="AT117" i="78"/>
  <c r="AT98" i="78"/>
  <c r="AT86" i="78"/>
  <c r="AT89" i="78"/>
  <c r="AT80" i="78"/>
  <c r="C146" i="78"/>
  <c r="AB109" i="78"/>
  <c r="F109" i="78"/>
  <c r="C109" i="78"/>
  <c r="Y146" i="78"/>
  <c r="N109" i="78"/>
  <c r="Q109" i="78"/>
  <c r="Y109" i="78"/>
  <c r="N146" i="78"/>
  <c r="P17" i="52"/>
  <c r="O17" i="52"/>
  <c r="N17" i="52"/>
  <c r="P16" i="52"/>
  <c r="O16" i="52"/>
  <c r="N16" i="52"/>
  <c r="P15" i="52"/>
  <c r="O15" i="52"/>
  <c r="N15" i="52"/>
  <c r="P14" i="52"/>
  <c r="O14" i="52"/>
  <c r="N14" i="52"/>
  <c r="P13" i="52"/>
  <c r="O13" i="52"/>
  <c r="N13" i="52"/>
  <c r="P12" i="52"/>
  <c r="O12" i="52"/>
  <c r="N12" i="52"/>
  <c r="P11" i="52"/>
  <c r="O11" i="52"/>
  <c r="N11" i="52"/>
  <c r="P10" i="52"/>
  <c r="O10" i="52"/>
  <c r="N10" i="52"/>
  <c r="P9" i="52"/>
  <c r="O9" i="52"/>
  <c r="N9" i="52"/>
  <c r="L17" i="52"/>
  <c r="K17" i="52"/>
  <c r="J17" i="52"/>
  <c r="L16" i="52"/>
  <c r="K16" i="52"/>
  <c r="J16" i="52"/>
  <c r="L15" i="52"/>
  <c r="K15" i="52"/>
  <c r="J15" i="52"/>
  <c r="L14" i="52"/>
  <c r="K14" i="52"/>
  <c r="J14" i="52"/>
  <c r="L13" i="52"/>
  <c r="K13" i="52"/>
  <c r="J13" i="52"/>
  <c r="L12" i="52"/>
  <c r="K12" i="52"/>
  <c r="J12" i="52"/>
  <c r="L11" i="52"/>
  <c r="K11" i="52"/>
  <c r="J11" i="52"/>
  <c r="L10" i="52"/>
  <c r="K10" i="52"/>
  <c r="J10" i="52"/>
  <c r="L9" i="52"/>
  <c r="K9" i="52"/>
  <c r="J9" i="52"/>
  <c r="H17" i="52"/>
  <c r="G17" i="52"/>
  <c r="F17" i="52"/>
  <c r="H16" i="52"/>
  <c r="G16" i="52"/>
  <c r="F16" i="52"/>
  <c r="H15" i="52"/>
  <c r="G15" i="52"/>
  <c r="F15" i="52"/>
  <c r="H14" i="52"/>
  <c r="G14" i="52"/>
  <c r="F14" i="52"/>
  <c r="H13" i="52"/>
  <c r="G13" i="52"/>
  <c r="F13" i="52"/>
  <c r="H12" i="52"/>
  <c r="G12" i="52"/>
  <c r="F12" i="52"/>
  <c r="H11" i="52"/>
  <c r="G11" i="52"/>
  <c r="F11" i="52"/>
  <c r="H10" i="52"/>
  <c r="G10" i="52"/>
  <c r="F10" i="52"/>
  <c r="H9" i="52"/>
  <c r="G9" i="52"/>
  <c r="P92" i="52"/>
  <c r="O92" i="52"/>
  <c r="N92" i="52"/>
  <c r="L92" i="52"/>
  <c r="K92" i="52"/>
  <c r="J92" i="52"/>
  <c r="H92" i="52"/>
  <c r="G92" i="52"/>
  <c r="F92" i="52"/>
  <c r="P74" i="52"/>
  <c r="O74" i="52"/>
  <c r="N74" i="52"/>
  <c r="L74" i="52"/>
  <c r="K74" i="52"/>
  <c r="J74" i="52"/>
  <c r="H74" i="52"/>
  <c r="G74" i="52"/>
  <c r="F74" i="52"/>
  <c r="P62" i="52"/>
  <c r="O62" i="52"/>
  <c r="N62" i="52"/>
  <c r="L62" i="52"/>
  <c r="K62" i="52"/>
  <c r="J62" i="52"/>
  <c r="H62" i="52"/>
  <c r="G62" i="52"/>
  <c r="F62" i="52"/>
  <c r="P50" i="52"/>
  <c r="O50" i="52"/>
  <c r="N50" i="52"/>
  <c r="L50" i="52"/>
  <c r="K50" i="52"/>
  <c r="J50" i="52"/>
  <c r="H50" i="52"/>
  <c r="G50" i="52"/>
  <c r="F50" i="52"/>
  <c r="P32" i="52"/>
  <c r="O32" i="52"/>
  <c r="N32" i="52"/>
  <c r="L32" i="52"/>
  <c r="K32" i="52"/>
  <c r="J32" i="52"/>
  <c r="H32" i="52"/>
  <c r="G32" i="52"/>
  <c r="F32" i="52"/>
  <c r="P20" i="52"/>
  <c r="O20" i="52"/>
  <c r="N20" i="52"/>
  <c r="L20" i="52"/>
  <c r="K20" i="52"/>
  <c r="J20" i="52"/>
  <c r="H20" i="52"/>
  <c r="G20" i="52"/>
  <c r="F20" i="52"/>
  <c r="O26" i="76"/>
  <c r="P26" i="76"/>
  <c r="Q26" i="76"/>
  <c r="R26" i="76"/>
  <c r="S26" i="76"/>
  <c r="T26" i="76"/>
  <c r="U26" i="76"/>
  <c r="V26" i="76"/>
  <c r="W26" i="76"/>
  <c r="X26" i="76"/>
  <c r="Y26" i="76"/>
  <c r="Z26" i="76"/>
  <c r="AA26" i="76"/>
  <c r="AB26" i="76"/>
  <c r="AC26" i="76"/>
  <c r="AD26" i="76"/>
  <c r="N26" i="76"/>
  <c r="AB22" i="76"/>
  <c r="AC22" i="76"/>
  <c r="O9" i="76"/>
  <c r="P9" i="76"/>
  <c r="Q9" i="76"/>
  <c r="R9" i="76"/>
  <c r="S9" i="76"/>
  <c r="T9" i="76"/>
  <c r="U9" i="76"/>
  <c r="V9" i="76"/>
  <c r="W9" i="76"/>
  <c r="X9" i="76"/>
  <c r="Y9" i="76"/>
  <c r="Z9" i="76"/>
  <c r="AA9" i="76"/>
  <c r="AB9" i="76"/>
  <c r="AC9" i="76"/>
  <c r="AD9" i="76"/>
  <c r="AS1" i="78" l="1"/>
  <c r="AX86" i="78"/>
  <c r="AX94" i="78"/>
  <c r="AX105" i="78"/>
  <c r="AX103" i="78"/>
  <c r="AX83" i="78"/>
  <c r="AX92" i="78"/>
  <c r="AX99" i="78"/>
  <c r="AX88" i="78"/>
  <c r="AW100" i="78"/>
  <c r="AW89" i="78"/>
  <c r="AX97" i="78"/>
  <c r="AX93" i="78"/>
  <c r="AX104" i="78"/>
  <c r="AX98" i="78"/>
  <c r="AX109" i="78"/>
  <c r="AW105" i="78"/>
  <c r="AX85" i="78"/>
  <c r="AX90" i="78"/>
  <c r="AX82" i="78"/>
  <c r="AX100" i="78"/>
  <c r="AW102" i="78"/>
  <c r="AW104" i="78"/>
  <c r="AX87" i="78"/>
  <c r="AX91" i="78"/>
  <c r="AX84" i="78"/>
  <c r="AX95" i="78"/>
  <c r="AX43" i="78"/>
  <c r="AW92" i="78"/>
  <c r="AW99" i="78"/>
  <c r="AX102" i="78"/>
  <c r="AX89" i="78"/>
  <c r="BI6" i="78"/>
  <c r="BD1" i="78" s="1"/>
  <c r="AW90" i="78"/>
  <c r="AX96" i="78"/>
  <c r="AX80" i="78"/>
  <c r="AW96" i="78"/>
  <c r="AW86" i="78"/>
  <c r="AX107" i="78"/>
  <c r="AW87" i="78"/>
  <c r="AW82" i="78"/>
  <c r="AW98" i="78"/>
  <c r="AW97" i="78"/>
  <c r="AW88" i="78"/>
  <c r="AW84" i="78"/>
  <c r="AW94" i="78"/>
  <c r="AW109" i="78"/>
  <c r="AW93" i="78"/>
  <c r="AW80" i="78"/>
  <c r="AW106" i="78"/>
  <c r="AW101" i="78"/>
  <c r="AW83" i="78"/>
  <c r="AW95" i="78"/>
  <c r="AW85" i="78"/>
  <c r="AH75" i="78"/>
  <c r="AH112" i="78"/>
  <c r="BI107" i="78"/>
  <c r="AV107" i="78"/>
  <c r="BH6" i="78"/>
  <c r="BH92" i="78" s="1"/>
  <c r="AW43" i="78"/>
  <c r="AW107" i="78"/>
  <c r="AW91" i="78"/>
  <c r="BE107" i="78"/>
  <c r="AX117" i="78"/>
  <c r="AU107" i="78"/>
  <c r="U22" i="76"/>
  <c r="U49" i="76" s="1"/>
  <c r="U82" i="76" s="1"/>
  <c r="T22" i="76"/>
  <c r="T49" i="76" s="1"/>
  <c r="V22" i="76"/>
  <c r="S22" i="76"/>
  <c r="AD22" i="76"/>
  <c r="AD49" i="76" s="1"/>
  <c r="AD82" i="76" s="1"/>
  <c r="Q22" i="76"/>
  <c r="Q49" i="76" s="1"/>
  <c r="Z22" i="76"/>
  <c r="N22" i="76"/>
  <c r="O22" i="76"/>
  <c r="O49" i="76" s="1"/>
  <c r="O82" i="76" s="1"/>
  <c r="Y22" i="76"/>
  <c r="Y49" i="76" s="1"/>
  <c r="R22" i="76"/>
  <c r="R49" i="76" s="1"/>
  <c r="AA22" i="76"/>
  <c r="X22" i="76"/>
  <c r="X49" i="76" s="1"/>
  <c r="X82" i="76" s="1"/>
  <c r="P22" i="76"/>
  <c r="W22" i="76"/>
  <c r="W49" i="76" s="1"/>
  <c r="W82" i="76" s="1"/>
  <c r="AV95" i="78"/>
  <c r="AV91" i="78"/>
  <c r="AU104" i="78"/>
  <c r="AU101" i="78"/>
  <c r="AV117" i="78"/>
  <c r="AU88" i="78"/>
  <c r="AU96" i="78"/>
  <c r="BG6" i="78"/>
  <c r="AV96" i="78"/>
  <c r="AU103" i="78"/>
  <c r="AV94" i="78"/>
  <c r="AU105" i="78"/>
  <c r="AV97" i="78"/>
  <c r="AV103" i="78"/>
  <c r="AU87" i="78"/>
  <c r="AU100" i="78"/>
  <c r="AU80" i="78"/>
  <c r="AV90" i="78"/>
  <c r="AV101" i="78"/>
  <c r="AU90" i="78"/>
  <c r="AU92" i="78"/>
  <c r="AU89" i="78"/>
  <c r="AV88" i="78"/>
  <c r="AV80" i="78"/>
  <c r="AU86" i="78"/>
  <c r="AV43" i="78"/>
  <c r="AV105" i="78"/>
  <c r="AV84" i="78"/>
  <c r="AV83" i="78"/>
  <c r="AU98" i="78"/>
  <c r="AU106" i="78"/>
  <c r="AU95" i="78"/>
  <c r="AU85" i="78"/>
  <c r="AV98" i="78"/>
  <c r="AV86" i="78"/>
  <c r="AV92" i="78"/>
  <c r="AV100" i="78"/>
  <c r="AU117" i="78"/>
  <c r="AU91" i="78"/>
  <c r="AU83" i="78"/>
  <c r="AV82" i="78"/>
  <c r="AV109" i="78"/>
  <c r="AV102" i="78"/>
  <c r="AU94" i="78"/>
  <c r="AU97" i="78"/>
  <c r="AU99" i="78"/>
  <c r="AV93" i="78"/>
  <c r="AV85" i="78"/>
  <c r="AV99" i="78"/>
  <c r="AU82" i="78"/>
  <c r="AU102" i="78"/>
  <c r="AU109" i="78"/>
  <c r="AU84" i="78"/>
  <c r="AU93" i="78"/>
  <c r="AV106" i="78"/>
  <c r="AV89" i="78"/>
  <c r="AV87" i="78"/>
  <c r="AV104" i="78"/>
  <c r="AB49" i="76"/>
  <c r="AD72" i="78"/>
  <c r="AD109" i="78" s="1"/>
  <c r="V8" i="79"/>
  <c r="AD35" i="79"/>
  <c r="Z35" i="79"/>
  <c r="AE35" i="79"/>
  <c r="Y35" i="79"/>
  <c r="AF35" i="79"/>
  <c r="AG35" i="79"/>
  <c r="AB35" i="79"/>
  <c r="AC35" i="79"/>
  <c r="AA35" i="79"/>
  <c r="BT6" i="78"/>
  <c r="BI43" i="78"/>
  <c r="BQ6" i="78"/>
  <c r="BI97" i="78"/>
  <c r="BI83" i="78"/>
  <c r="BI103" i="78"/>
  <c r="BI94" i="78"/>
  <c r="BI90" i="78"/>
  <c r="BI92" i="78"/>
  <c r="BI91" i="78"/>
  <c r="BI99" i="78"/>
  <c r="BI93" i="78"/>
  <c r="BI106" i="78"/>
  <c r="BI109" i="78"/>
  <c r="BI100" i="78"/>
  <c r="BF43" i="78"/>
  <c r="BI96" i="78"/>
  <c r="BI89" i="78"/>
  <c r="BI80" i="78"/>
  <c r="BI104" i="78"/>
  <c r="BI95" i="78"/>
  <c r="BI86" i="78"/>
  <c r="BI82" i="78"/>
  <c r="BI87" i="78"/>
  <c r="BI101" i="78"/>
  <c r="BI88" i="78"/>
  <c r="BI102" i="78"/>
  <c r="BI98" i="78"/>
  <c r="BI84" i="78"/>
  <c r="BI85" i="78"/>
  <c r="BI105" i="78"/>
  <c r="BE117" i="78"/>
  <c r="BE85" i="78"/>
  <c r="BE98" i="78"/>
  <c r="BE105" i="78"/>
  <c r="BE103" i="78"/>
  <c r="BE95" i="78"/>
  <c r="BE88" i="78"/>
  <c r="BE87" i="78"/>
  <c r="BE43" i="78"/>
  <c r="BE106" i="78"/>
  <c r="BE90" i="78"/>
  <c r="BE97" i="78"/>
  <c r="BE104" i="78"/>
  <c r="BE101" i="78"/>
  <c r="BE93" i="78"/>
  <c r="BE89" i="78"/>
  <c r="BP6" i="78"/>
  <c r="BE96" i="78"/>
  <c r="BE80" i="78"/>
  <c r="BE82" i="78"/>
  <c r="BE100" i="78"/>
  <c r="BE84" i="78"/>
  <c r="BE109" i="78"/>
  <c r="BE102" i="78"/>
  <c r="BE92" i="78"/>
  <c r="BE99" i="78"/>
  <c r="BE83" i="78"/>
  <c r="BE86" i="78"/>
  <c r="BE94" i="78"/>
  <c r="BE91" i="78"/>
  <c r="AS112" i="78"/>
  <c r="AS75" i="78"/>
  <c r="AS38" i="78"/>
  <c r="AC49" i="76"/>
  <c r="B20" i="52"/>
  <c r="F8" i="52"/>
  <c r="C13" i="52"/>
  <c r="C14" i="52"/>
  <c r="C9" i="52"/>
  <c r="B12" i="52"/>
  <c r="C17" i="52"/>
  <c r="D20" i="52"/>
  <c r="B15" i="52"/>
  <c r="C16" i="52"/>
  <c r="B32" i="52"/>
  <c r="B17" i="52"/>
  <c r="C10" i="52"/>
  <c r="D13" i="52"/>
  <c r="C50" i="52"/>
  <c r="C11" i="52"/>
  <c r="B14" i="52"/>
  <c r="D16" i="52"/>
  <c r="C32" i="52"/>
  <c r="D14" i="52"/>
  <c r="D9" i="52"/>
  <c r="C12" i="52"/>
  <c r="D17" i="52"/>
  <c r="D74" i="52"/>
  <c r="B10" i="52"/>
  <c r="D12" i="52"/>
  <c r="C15" i="52"/>
  <c r="D10" i="52"/>
  <c r="B16" i="52"/>
  <c r="B13" i="52"/>
  <c r="D15" i="52"/>
  <c r="D62" i="52"/>
  <c r="D50" i="52"/>
  <c r="C62" i="52"/>
  <c r="B74" i="52"/>
  <c r="D92" i="52"/>
  <c r="C20" i="52"/>
  <c r="D32" i="52"/>
  <c r="B62" i="52"/>
  <c r="C74" i="52"/>
  <c r="C92" i="52"/>
  <c r="O8" i="52"/>
  <c r="AG11" i="21"/>
  <c r="AG38" i="21" s="1"/>
  <c r="AF11" i="21"/>
  <c r="AF38" i="21" s="1"/>
  <c r="AE11" i="21"/>
  <c r="AE38" i="21" s="1"/>
  <c r="AC11" i="21"/>
  <c r="AC38" i="21" s="1"/>
  <c r="AB11" i="21"/>
  <c r="AB38" i="21" s="1"/>
  <c r="AA11" i="21"/>
  <c r="AA38" i="21" s="1"/>
  <c r="Z11" i="21"/>
  <c r="Z38" i="21" s="1"/>
  <c r="Y11" i="21"/>
  <c r="Y38" i="21" s="1"/>
  <c r="X11" i="21"/>
  <c r="X38" i="21" s="1"/>
  <c r="W11" i="21"/>
  <c r="W38" i="21" s="1"/>
  <c r="V11" i="21"/>
  <c r="V38" i="21" s="1"/>
  <c r="U11" i="21"/>
  <c r="U38" i="21" s="1"/>
  <c r="T11" i="21"/>
  <c r="T38" i="21" s="1"/>
  <c r="S11" i="21"/>
  <c r="S38" i="21" s="1"/>
  <c r="R11" i="21"/>
  <c r="R38" i="21" s="1"/>
  <c r="C180" i="71"/>
  <c r="E180" i="71"/>
  <c r="BH89" i="78" l="1"/>
  <c r="BH99" i="78"/>
  <c r="BH96" i="78"/>
  <c r="BH88" i="78"/>
  <c r="BH93" i="78"/>
  <c r="BH109" i="78"/>
  <c r="BH100" i="78"/>
  <c r="BH97" i="78"/>
  <c r="BH117" i="78"/>
  <c r="BH85" i="78"/>
  <c r="BH104" i="78"/>
  <c r="BH91" i="78"/>
  <c r="BH106" i="78"/>
  <c r="BH105" i="78"/>
  <c r="BH80" i="78"/>
  <c r="BH102" i="78"/>
  <c r="BH90" i="78"/>
  <c r="BH103" i="78"/>
  <c r="BH82" i="78"/>
  <c r="BH94" i="78"/>
  <c r="BH84" i="78"/>
  <c r="BH83" i="78"/>
  <c r="BH95" i="78"/>
  <c r="BH86" i="78"/>
  <c r="BI117" i="78"/>
  <c r="BF107" i="78"/>
  <c r="BT107" i="78"/>
  <c r="BG107" i="78"/>
  <c r="BS6" i="78"/>
  <c r="BH43" i="78"/>
  <c r="BH87" i="78"/>
  <c r="BH107" i="78"/>
  <c r="BP107" i="78"/>
  <c r="BH101" i="78"/>
  <c r="BH98" i="78"/>
  <c r="BO1" i="78"/>
  <c r="AB73" i="76"/>
  <c r="AB82" i="76"/>
  <c r="Q73" i="76"/>
  <c r="Q82" i="76"/>
  <c r="AC69" i="76"/>
  <c r="AC82" i="76"/>
  <c r="T73" i="76"/>
  <c r="T82" i="76"/>
  <c r="R73" i="76"/>
  <c r="R82" i="76"/>
  <c r="Y73" i="76"/>
  <c r="Y82" i="76"/>
  <c r="D180" i="71"/>
  <c r="H180" i="71" s="1"/>
  <c r="M7" i="75" s="1"/>
  <c r="T56" i="76"/>
  <c r="AC73" i="76"/>
  <c r="AB56" i="76"/>
  <c r="AD65" i="76"/>
  <c r="AD70" i="76"/>
  <c r="AD80" i="76"/>
  <c r="AD60" i="76"/>
  <c r="AD75" i="76"/>
  <c r="AD74" i="76"/>
  <c r="AD54" i="76"/>
  <c r="AD59" i="76"/>
  <c r="AD64" i="76"/>
  <c r="AD53" i="76"/>
  <c r="AD58" i="76"/>
  <c r="AD63" i="76"/>
  <c r="AD67" i="76"/>
  <c r="AD77" i="76"/>
  <c r="AD89" i="76"/>
  <c r="AD94" i="76"/>
  <c r="AD57" i="76"/>
  <c r="AD66" i="76"/>
  <c r="AD81" i="76"/>
  <c r="AD85" i="76"/>
  <c r="AD71" i="76"/>
  <c r="AD93" i="76"/>
  <c r="AD86" i="76"/>
  <c r="AD96" i="76"/>
  <c r="AD76" i="76"/>
  <c r="AD90" i="76"/>
  <c r="AD79" i="76"/>
  <c r="AD88" i="76"/>
  <c r="AD84" i="76"/>
  <c r="AD92" i="76"/>
  <c r="AD62" i="76"/>
  <c r="AD52" i="76"/>
  <c r="AB60" i="76"/>
  <c r="AB65" i="76"/>
  <c r="AB70" i="76"/>
  <c r="AB75" i="76"/>
  <c r="AB80" i="76"/>
  <c r="AB86" i="76"/>
  <c r="AB54" i="76"/>
  <c r="AB59" i="76"/>
  <c r="AB64" i="76"/>
  <c r="AB74" i="76"/>
  <c r="AB53" i="76"/>
  <c r="AB58" i="76"/>
  <c r="AB63" i="76"/>
  <c r="AB67" i="76"/>
  <c r="AB77" i="76"/>
  <c r="AB89" i="76"/>
  <c r="AB94" i="76"/>
  <c r="AB66" i="76"/>
  <c r="AB71" i="76"/>
  <c r="AB57" i="76"/>
  <c r="AB76" i="76"/>
  <c r="AB81" i="76"/>
  <c r="AB85" i="76"/>
  <c r="AB93" i="76"/>
  <c r="AB96" i="76"/>
  <c r="AB90" i="76"/>
  <c r="AB62" i="76"/>
  <c r="AB88" i="76"/>
  <c r="AB84" i="76"/>
  <c r="AB79" i="76"/>
  <c r="AB52" i="76"/>
  <c r="AB92" i="76"/>
  <c r="AD56" i="76"/>
  <c r="R75" i="76"/>
  <c r="R60" i="76"/>
  <c r="R65" i="76"/>
  <c r="R70" i="76"/>
  <c r="R80" i="76"/>
  <c r="R74" i="76"/>
  <c r="R54" i="76"/>
  <c r="R59" i="76"/>
  <c r="R64" i="76"/>
  <c r="R53" i="76"/>
  <c r="R58" i="76"/>
  <c r="R63" i="76"/>
  <c r="R67" i="76"/>
  <c r="R77" i="76"/>
  <c r="R89" i="76"/>
  <c r="R94" i="76"/>
  <c r="R57" i="76"/>
  <c r="R66" i="76"/>
  <c r="R71" i="76"/>
  <c r="R86" i="76"/>
  <c r="R85" i="76"/>
  <c r="R96" i="76"/>
  <c r="R90" i="76"/>
  <c r="R76" i="76"/>
  <c r="R81" i="76"/>
  <c r="R93" i="76"/>
  <c r="R79" i="76"/>
  <c r="R52" i="76"/>
  <c r="R84" i="76"/>
  <c r="R62" i="76"/>
  <c r="R88" i="76"/>
  <c r="R92" i="76"/>
  <c r="R69" i="76"/>
  <c r="Q69" i="76"/>
  <c r="X67" i="76"/>
  <c r="X53" i="76"/>
  <c r="X58" i="76"/>
  <c r="X63" i="76"/>
  <c r="X77" i="76"/>
  <c r="X76" i="76"/>
  <c r="X81" i="76"/>
  <c r="X57" i="76"/>
  <c r="X66" i="76"/>
  <c r="X71" i="76"/>
  <c r="X60" i="76"/>
  <c r="X65" i="76"/>
  <c r="X70" i="76"/>
  <c r="X75" i="76"/>
  <c r="X80" i="76"/>
  <c r="X86" i="76"/>
  <c r="X54" i="76"/>
  <c r="X59" i="76"/>
  <c r="X64" i="76"/>
  <c r="X93" i="76"/>
  <c r="X96" i="76"/>
  <c r="X74" i="76"/>
  <c r="X90" i="76"/>
  <c r="X85" i="76"/>
  <c r="X94" i="76"/>
  <c r="X89" i="76"/>
  <c r="X88" i="76"/>
  <c r="X84" i="76"/>
  <c r="X92" i="76"/>
  <c r="X79" i="76"/>
  <c r="X52" i="76"/>
  <c r="X62" i="76"/>
  <c r="O54" i="76"/>
  <c r="O59" i="76"/>
  <c r="O64" i="76"/>
  <c r="O74" i="76"/>
  <c r="O85" i="76"/>
  <c r="O53" i="76"/>
  <c r="O67" i="76"/>
  <c r="O58" i="76"/>
  <c r="O63" i="76"/>
  <c r="O77" i="76"/>
  <c r="O57" i="76"/>
  <c r="O66" i="76"/>
  <c r="O71" i="76"/>
  <c r="O76" i="76"/>
  <c r="O81" i="76"/>
  <c r="O93" i="76"/>
  <c r="O60" i="76"/>
  <c r="O65" i="76"/>
  <c r="O70" i="76"/>
  <c r="O86" i="76"/>
  <c r="O96" i="76"/>
  <c r="O90" i="76"/>
  <c r="O75" i="76"/>
  <c r="O89" i="76"/>
  <c r="O80" i="76"/>
  <c r="O94" i="76"/>
  <c r="O92" i="76"/>
  <c r="O84" i="76"/>
  <c r="O79" i="76"/>
  <c r="O52" i="76"/>
  <c r="O62" i="76"/>
  <c r="O88" i="76"/>
  <c r="Y69" i="76"/>
  <c r="AD73" i="76"/>
  <c r="R56" i="76"/>
  <c r="AD69" i="76"/>
  <c r="Y54" i="76"/>
  <c r="Y59" i="76"/>
  <c r="Y64" i="76"/>
  <c r="Y74" i="76"/>
  <c r="Y85" i="76"/>
  <c r="Y90" i="76"/>
  <c r="Y96" i="76"/>
  <c r="Y53" i="76"/>
  <c r="Y58" i="76"/>
  <c r="Y63" i="76"/>
  <c r="Y67" i="76"/>
  <c r="Y77" i="76"/>
  <c r="Y57" i="76"/>
  <c r="Y66" i="76"/>
  <c r="Y71" i="76"/>
  <c r="Y76" i="76"/>
  <c r="Y81" i="76"/>
  <c r="Y93" i="76"/>
  <c r="Y70" i="76"/>
  <c r="Y75" i="76"/>
  <c r="Y60" i="76"/>
  <c r="Y65" i="76"/>
  <c r="Y89" i="76"/>
  <c r="Y86" i="76"/>
  <c r="Y80" i="76"/>
  <c r="Y94" i="76"/>
  <c r="Y88" i="76"/>
  <c r="Y79" i="76"/>
  <c r="Y92" i="76"/>
  <c r="Y62" i="76"/>
  <c r="Y84" i="76"/>
  <c r="Y52" i="76"/>
  <c r="Z49" i="76"/>
  <c r="Z82" i="76" s="1"/>
  <c r="X73" i="76"/>
  <c r="O73" i="76"/>
  <c r="X56" i="76"/>
  <c r="T69" i="76"/>
  <c r="U71" i="76"/>
  <c r="U76" i="76"/>
  <c r="U81" i="76"/>
  <c r="U57" i="76"/>
  <c r="U66" i="76"/>
  <c r="U65" i="76"/>
  <c r="U70" i="76"/>
  <c r="U80" i="76"/>
  <c r="U60" i="76"/>
  <c r="U75" i="76"/>
  <c r="U54" i="76"/>
  <c r="U59" i="76"/>
  <c r="U64" i="76"/>
  <c r="U74" i="76"/>
  <c r="U85" i="76"/>
  <c r="U90" i="76"/>
  <c r="U96" i="76"/>
  <c r="U53" i="76"/>
  <c r="U58" i="76"/>
  <c r="U63" i="76"/>
  <c r="U67" i="76"/>
  <c r="U77" i="76"/>
  <c r="U93" i="76"/>
  <c r="U94" i="76"/>
  <c r="U86" i="76"/>
  <c r="U89" i="76"/>
  <c r="U62" i="76"/>
  <c r="U88" i="76"/>
  <c r="U92" i="76"/>
  <c r="U84" i="76"/>
  <c r="U52" i="76"/>
  <c r="U79" i="76"/>
  <c r="AA49" i="76"/>
  <c r="X69" i="76"/>
  <c r="O69" i="76"/>
  <c r="Q60" i="76"/>
  <c r="Q65" i="76"/>
  <c r="Q70" i="76"/>
  <c r="Q75" i="76"/>
  <c r="Q80" i="76"/>
  <c r="Q86" i="76"/>
  <c r="Q54" i="76"/>
  <c r="Q59" i="76"/>
  <c r="Q64" i="76"/>
  <c r="Q74" i="76"/>
  <c r="Q85" i="76"/>
  <c r="Q90" i="76"/>
  <c r="Q96" i="76"/>
  <c r="Q53" i="76"/>
  <c r="Q58" i="76"/>
  <c r="Q63" i="76"/>
  <c r="Q67" i="76"/>
  <c r="Q77" i="76"/>
  <c r="Q89" i="76"/>
  <c r="Q94" i="76"/>
  <c r="Q57" i="76"/>
  <c r="Q66" i="76"/>
  <c r="Q71" i="76"/>
  <c r="Q76" i="76"/>
  <c r="Q81" i="76"/>
  <c r="Q93" i="76"/>
  <c r="Q62" i="76"/>
  <c r="Q84" i="76"/>
  <c r="Q88" i="76"/>
  <c r="Q92" i="76"/>
  <c r="Q79" i="76"/>
  <c r="Q52" i="76"/>
  <c r="AC60" i="76"/>
  <c r="AC65" i="76"/>
  <c r="AC70" i="76"/>
  <c r="AC75" i="76"/>
  <c r="AC80" i="76"/>
  <c r="AC86" i="76"/>
  <c r="AC54" i="76"/>
  <c r="AC59" i="76"/>
  <c r="AC64" i="76"/>
  <c r="AC74" i="76"/>
  <c r="AC85" i="76"/>
  <c r="AC90" i="76"/>
  <c r="AC96" i="76"/>
  <c r="AC53" i="76"/>
  <c r="AC58" i="76"/>
  <c r="AC63" i="76"/>
  <c r="AC67" i="76"/>
  <c r="AC77" i="76"/>
  <c r="AC89" i="76"/>
  <c r="AC94" i="76"/>
  <c r="AC57" i="76"/>
  <c r="AC66" i="76"/>
  <c r="AC71" i="76"/>
  <c r="AC76" i="76"/>
  <c r="AC81" i="76"/>
  <c r="AC93" i="76"/>
  <c r="AC88" i="76"/>
  <c r="AC92" i="76"/>
  <c r="AC84" i="76"/>
  <c r="AC79" i="76"/>
  <c r="AC62" i="76"/>
  <c r="AC52" i="76"/>
  <c r="Q56" i="76"/>
  <c r="U56" i="76"/>
  <c r="U73" i="76"/>
  <c r="W53" i="76"/>
  <c r="W58" i="76"/>
  <c r="W63" i="76"/>
  <c r="W67" i="76"/>
  <c r="W77" i="76"/>
  <c r="W89" i="76"/>
  <c r="W94" i="76"/>
  <c r="W57" i="76"/>
  <c r="W66" i="76"/>
  <c r="W71" i="76"/>
  <c r="W76" i="76"/>
  <c r="W81" i="76"/>
  <c r="W93" i="76"/>
  <c r="W60" i="76"/>
  <c r="W65" i="76"/>
  <c r="W70" i="76"/>
  <c r="W75" i="76"/>
  <c r="W80" i="76"/>
  <c r="W86" i="76"/>
  <c r="W54" i="76"/>
  <c r="W59" i="76"/>
  <c r="W64" i="76"/>
  <c r="W74" i="76"/>
  <c r="W85" i="76"/>
  <c r="W90" i="76"/>
  <c r="W96" i="76"/>
  <c r="W62" i="76"/>
  <c r="W52" i="76"/>
  <c r="W88" i="76"/>
  <c r="W84" i="76"/>
  <c r="W79" i="76"/>
  <c r="W92" i="76"/>
  <c r="Y56" i="76"/>
  <c r="T57" i="76"/>
  <c r="T66" i="76"/>
  <c r="T71" i="76"/>
  <c r="T76" i="76"/>
  <c r="T81" i="76"/>
  <c r="T93" i="76"/>
  <c r="T60" i="76"/>
  <c r="T65" i="76"/>
  <c r="T70" i="76"/>
  <c r="T75" i="76"/>
  <c r="T80" i="76"/>
  <c r="T86" i="76"/>
  <c r="T54" i="76"/>
  <c r="T59" i="76"/>
  <c r="T64" i="76"/>
  <c r="T74" i="76"/>
  <c r="T85" i="76"/>
  <c r="T90" i="76"/>
  <c r="T96" i="76"/>
  <c r="T53" i="76"/>
  <c r="T58" i="76"/>
  <c r="T63" i="76"/>
  <c r="T67" i="76"/>
  <c r="T77" i="76"/>
  <c r="T89" i="76"/>
  <c r="T94" i="76"/>
  <c r="T84" i="76"/>
  <c r="T52" i="76"/>
  <c r="T88" i="76"/>
  <c r="T79" i="76"/>
  <c r="T62" i="76"/>
  <c r="T92" i="76"/>
  <c r="W73" i="76"/>
  <c r="AC56" i="76"/>
  <c r="W56" i="76"/>
  <c r="U69" i="76"/>
  <c r="S49" i="76"/>
  <c r="S82" i="76" s="1"/>
  <c r="P49" i="76"/>
  <c r="P82" i="76" s="1"/>
  <c r="V49" i="76"/>
  <c r="V82" i="76" s="1"/>
  <c r="W69" i="76"/>
  <c r="N49" i="76"/>
  <c r="AB69" i="76"/>
  <c r="O56" i="76"/>
  <c r="BF109" i="78"/>
  <c r="BG93" i="78"/>
  <c r="BG43" i="78"/>
  <c r="BF99" i="78"/>
  <c r="BF101" i="78"/>
  <c r="BG100" i="78"/>
  <c r="BF80" i="78"/>
  <c r="BG97" i="78"/>
  <c r="BF92" i="78"/>
  <c r="BF117" i="78"/>
  <c r="BF91" i="78"/>
  <c r="BF104" i="78"/>
  <c r="BG82" i="78"/>
  <c r="BG99" i="78"/>
  <c r="BG84" i="78"/>
  <c r="BF83" i="78"/>
  <c r="BG90" i="78"/>
  <c r="BG94" i="78"/>
  <c r="BG103" i="78"/>
  <c r="BF90" i="78"/>
  <c r="BG101" i="78"/>
  <c r="BF100" i="78"/>
  <c r="BF105" i="78"/>
  <c r="BF93" i="78"/>
  <c r="BF82" i="78"/>
  <c r="BF87" i="78"/>
  <c r="BF88" i="78"/>
  <c r="BG88" i="78"/>
  <c r="BG80" i="78"/>
  <c r="BG86" i="78"/>
  <c r="BF106" i="78"/>
  <c r="BF84" i="78"/>
  <c r="BF94" i="78"/>
  <c r="BG89" i="78"/>
  <c r="BG104" i="78"/>
  <c r="BG92" i="78"/>
  <c r="BR6" i="78"/>
  <c r="BF97" i="78"/>
  <c r="BG109" i="78"/>
  <c r="BG105" i="78"/>
  <c r="BF103" i="78"/>
  <c r="BF102" i="78"/>
  <c r="BG117" i="78"/>
  <c r="BG83" i="78"/>
  <c r="BG87" i="78"/>
  <c r="BG85" i="78"/>
  <c r="BF89" i="78"/>
  <c r="BF95" i="78"/>
  <c r="BG106" i="78"/>
  <c r="BG102" i="78"/>
  <c r="BF98" i="78"/>
  <c r="BF96" i="78"/>
  <c r="BF86" i="78"/>
  <c r="BF85" i="78"/>
  <c r="BG98" i="78"/>
  <c r="BG95" i="78"/>
  <c r="BG96" i="78"/>
  <c r="BG91" i="78"/>
  <c r="BS106" i="78"/>
  <c r="BS82" i="78"/>
  <c r="BS95" i="78"/>
  <c r="BS93" i="78"/>
  <c r="BS96" i="78"/>
  <c r="BS105" i="78"/>
  <c r="F109" i="71"/>
  <c r="F146" i="71"/>
  <c r="N109" i="75" s="1"/>
  <c r="B146" i="71"/>
  <c r="CE6" i="78"/>
  <c r="BT43" i="78"/>
  <c r="CB6" i="78"/>
  <c r="BT106" i="78"/>
  <c r="BT84" i="78"/>
  <c r="BT97" i="78"/>
  <c r="BT83" i="78"/>
  <c r="BT103" i="78"/>
  <c r="BT92" i="78"/>
  <c r="BQ43" i="78"/>
  <c r="BT91" i="78"/>
  <c r="BT90" i="78"/>
  <c r="BT89" i="78"/>
  <c r="BT109" i="78"/>
  <c r="BT88" i="78"/>
  <c r="BT94" i="78"/>
  <c r="BT93" i="78"/>
  <c r="BT87" i="78"/>
  <c r="BT85" i="78"/>
  <c r="BT95" i="78"/>
  <c r="BT86" i="78"/>
  <c r="BT82" i="78"/>
  <c r="BT98" i="78"/>
  <c r="BT100" i="78"/>
  <c r="BT105" i="78"/>
  <c r="BT96" i="78"/>
  <c r="BT102" i="78"/>
  <c r="BT99" i="78"/>
  <c r="BT80" i="78"/>
  <c r="BT104" i="78"/>
  <c r="BT101" i="78"/>
  <c r="BD75" i="78"/>
  <c r="BD112" i="78"/>
  <c r="BD38" i="78"/>
  <c r="BP117" i="78"/>
  <c r="BP104" i="78"/>
  <c r="BP93" i="78"/>
  <c r="BP102" i="78"/>
  <c r="CA6" i="78"/>
  <c r="BP96" i="78"/>
  <c r="BP88" i="78"/>
  <c r="BP85" i="78"/>
  <c r="BP95" i="78"/>
  <c r="BP87" i="78"/>
  <c r="BP103" i="78"/>
  <c r="BP80" i="78"/>
  <c r="BP105" i="78"/>
  <c r="BP97" i="78"/>
  <c r="BP94" i="78"/>
  <c r="BP89" i="78"/>
  <c r="BP86" i="78"/>
  <c r="BP101" i="78"/>
  <c r="BP106" i="78"/>
  <c r="BP109" i="78"/>
  <c r="BP100" i="78"/>
  <c r="BP91" i="78"/>
  <c r="BP99" i="78"/>
  <c r="BP82" i="78"/>
  <c r="BP83" i="78"/>
  <c r="BP84" i="78"/>
  <c r="BP92" i="78"/>
  <c r="BP43" i="78"/>
  <c r="BP90" i="78"/>
  <c r="BP98" i="78"/>
  <c r="B8" i="52"/>
  <c r="C146" i="71"/>
  <c r="C109" i="71"/>
  <c r="P8" i="52"/>
  <c r="N8" i="52"/>
  <c r="L8" i="52"/>
  <c r="K8" i="52"/>
  <c r="J8" i="52"/>
  <c r="H8" i="52"/>
  <c r="G8" i="52"/>
  <c r="I180" i="71" l="1"/>
  <c r="N7" i="75" s="1"/>
  <c r="BZ1" i="78"/>
  <c r="BR107" i="78"/>
  <c r="BS43" i="78"/>
  <c r="CD6" i="78"/>
  <c r="CD80" i="78" s="1"/>
  <c r="BS89" i="78"/>
  <c r="BS99" i="78"/>
  <c r="BS98" i="78"/>
  <c r="BS102" i="78"/>
  <c r="BS117" i="78"/>
  <c r="BS94" i="78"/>
  <c r="BS80" i="78"/>
  <c r="BS97" i="78"/>
  <c r="BS92" i="78"/>
  <c r="BS107" i="78"/>
  <c r="CE107" i="78"/>
  <c r="CA107" i="78"/>
  <c r="BS90" i="78"/>
  <c r="BS83" i="78"/>
  <c r="BS103" i="78"/>
  <c r="BS84" i="78"/>
  <c r="BR109" i="78"/>
  <c r="BQ107" i="78"/>
  <c r="BS109" i="78"/>
  <c r="BS100" i="78"/>
  <c r="BS101" i="78"/>
  <c r="BS86" i="78"/>
  <c r="BS88" i="78"/>
  <c r="BS85" i="78"/>
  <c r="BS104" i="78"/>
  <c r="BS91" i="78"/>
  <c r="BS87" i="78"/>
  <c r="AA69" i="76"/>
  <c r="AA82" i="76"/>
  <c r="N69" i="76"/>
  <c r="N82" i="76"/>
  <c r="H109" i="71"/>
  <c r="P64" i="31"/>
  <c r="V53" i="76"/>
  <c r="V58" i="76"/>
  <c r="V63" i="76"/>
  <c r="V67" i="76"/>
  <c r="V77" i="76"/>
  <c r="V89" i="76"/>
  <c r="V94" i="76"/>
  <c r="V57" i="76"/>
  <c r="V66" i="76"/>
  <c r="V71" i="76"/>
  <c r="V76" i="76"/>
  <c r="V60" i="76"/>
  <c r="V65" i="76"/>
  <c r="V70" i="76"/>
  <c r="V75" i="76"/>
  <c r="V80" i="76"/>
  <c r="V86" i="76"/>
  <c r="V64" i="76"/>
  <c r="V54" i="76"/>
  <c r="V59" i="76"/>
  <c r="V74" i="76"/>
  <c r="V85" i="76"/>
  <c r="V81" i="76"/>
  <c r="V93" i="76"/>
  <c r="V90" i="76"/>
  <c r="V96" i="76"/>
  <c r="V79" i="76"/>
  <c r="V92" i="76"/>
  <c r="V52" i="76"/>
  <c r="V62" i="76"/>
  <c r="V84" i="76"/>
  <c r="V88" i="76"/>
  <c r="V56" i="76"/>
  <c r="V73" i="76"/>
  <c r="P60" i="76"/>
  <c r="P65" i="76"/>
  <c r="P70" i="76"/>
  <c r="P75" i="76"/>
  <c r="P80" i="76"/>
  <c r="P86" i="76"/>
  <c r="P54" i="76"/>
  <c r="P59" i="76"/>
  <c r="P64" i="76"/>
  <c r="P74" i="76"/>
  <c r="P53" i="76"/>
  <c r="P58" i="76"/>
  <c r="P63" i="76"/>
  <c r="P67" i="76"/>
  <c r="P77" i="76"/>
  <c r="P89" i="76"/>
  <c r="P94" i="76"/>
  <c r="P81" i="76"/>
  <c r="P57" i="76"/>
  <c r="P66" i="76"/>
  <c r="P71" i="76"/>
  <c r="P96" i="76"/>
  <c r="P85" i="76"/>
  <c r="P90" i="76"/>
  <c r="P76" i="76"/>
  <c r="P93" i="76"/>
  <c r="P84" i="76"/>
  <c r="P79" i="76"/>
  <c r="P52" i="76"/>
  <c r="P88" i="76"/>
  <c r="P92" i="76"/>
  <c r="P62" i="76"/>
  <c r="P73" i="76"/>
  <c r="P56" i="76"/>
  <c r="P69" i="76"/>
  <c r="S57" i="76"/>
  <c r="S66" i="76"/>
  <c r="S71" i="76"/>
  <c r="S76" i="76"/>
  <c r="S81" i="76"/>
  <c r="S93" i="76"/>
  <c r="S60" i="76"/>
  <c r="S65" i="76"/>
  <c r="S70" i="76"/>
  <c r="S75" i="76"/>
  <c r="S54" i="76"/>
  <c r="S59" i="76"/>
  <c r="S64" i="76"/>
  <c r="S74" i="76"/>
  <c r="S85" i="76"/>
  <c r="S90" i="76"/>
  <c r="S96" i="76"/>
  <c r="S53" i="76"/>
  <c r="S77" i="76"/>
  <c r="S58" i="76"/>
  <c r="S63" i="76"/>
  <c r="S67" i="76"/>
  <c r="S89" i="76"/>
  <c r="S86" i="76"/>
  <c r="S80" i="76"/>
  <c r="S94" i="76"/>
  <c r="S88" i="76"/>
  <c r="S84" i="76"/>
  <c r="S62" i="76"/>
  <c r="S92" i="76"/>
  <c r="S79" i="76"/>
  <c r="S52" i="76"/>
  <c r="S56" i="76"/>
  <c r="S73" i="76"/>
  <c r="S69" i="76"/>
  <c r="AA64" i="76"/>
  <c r="AA74" i="76"/>
  <c r="AA54" i="76"/>
  <c r="AA59" i="76"/>
  <c r="AA77" i="76"/>
  <c r="AA53" i="76"/>
  <c r="AA58" i="76"/>
  <c r="AA63" i="76"/>
  <c r="AA67" i="76"/>
  <c r="AA57" i="76"/>
  <c r="AA66" i="76"/>
  <c r="AA71" i="76"/>
  <c r="AA76" i="76"/>
  <c r="AA81" i="76"/>
  <c r="AA93" i="76"/>
  <c r="AA60" i="76"/>
  <c r="AA65" i="76"/>
  <c r="AA94" i="76"/>
  <c r="AA70" i="76"/>
  <c r="AA89" i="76"/>
  <c r="AA96" i="76"/>
  <c r="AA86" i="76"/>
  <c r="AA75" i="76"/>
  <c r="AA80" i="76"/>
  <c r="AA90" i="76"/>
  <c r="AA85" i="76"/>
  <c r="AA79" i="76"/>
  <c r="AA84" i="76"/>
  <c r="AA92" i="76"/>
  <c r="AA62" i="76"/>
  <c r="AA52" i="76"/>
  <c r="AA88" i="76"/>
  <c r="AA73" i="76"/>
  <c r="AA56" i="76"/>
  <c r="N54" i="76"/>
  <c r="N59" i="76"/>
  <c r="N64" i="76"/>
  <c r="N74" i="76"/>
  <c r="N85" i="76"/>
  <c r="N90" i="76"/>
  <c r="N96" i="76"/>
  <c r="N53" i="76"/>
  <c r="N58" i="76"/>
  <c r="N63" i="76"/>
  <c r="N67" i="76"/>
  <c r="N77" i="76"/>
  <c r="N89" i="76"/>
  <c r="N94" i="76"/>
  <c r="N57" i="76"/>
  <c r="N66" i="76"/>
  <c r="N71" i="76"/>
  <c r="N76" i="76"/>
  <c r="N81" i="76"/>
  <c r="N93" i="76"/>
  <c r="N60" i="76"/>
  <c r="N65" i="76"/>
  <c r="N70" i="76"/>
  <c r="N75" i="76"/>
  <c r="N80" i="76"/>
  <c r="N86" i="76"/>
  <c r="N56" i="76"/>
  <c r="N84" i="76"/>
  <c r="N52" i="76"/>
  <c r="N92" i="76"/>
  <c r="N62" i="76"/>
  <c r="N79" i="76"/>
  <c r="N88" i="76"/>
  <c r="N73" i="76"/>
  <c r="Z54" i="76"/>
  <c r="Z59" i="76"/>
  <c r="Z64" i="76"/>
  <c r="Z74" i="76"/>
  <c r="Z85" i="76"/>
  <c r="Z90" i="76"/>
  <c r="Z96" i="76"/>
  <c r="Z53" i="76"/>
  <c r="Z58" i="76"/>
  <c r="Z63" i="76"/>
  <c r="Z67" i="76"/>
  <c r="Z77" i="76"/>
  <c r="Z89" i="76"/>
  <c r="Z94" i="76"/>
  <c r="Z57" i="76"/>
  <c r="Z66" i="76"/>
  <c r="Z71" i="76"/>
  <c r="Z76" i="76"/>
  <c r="Z81" i="76"/>
  <c r="Z93" i="76"/>
  <c r="Z60" i="76"/>
  <c r="Z65" i="76"/>
  <c r="Z70" i="76"/>
  <c r="Z75" i="76"/>
  <c r="Z80" i="76"/>
  <c r="Z86" i="76"/>
  <c r="Z84" i="76"/>
  <c r="Z92" i="76"/>
  <c r="Z88" i="76"/>
  <c r="Z62" i="76"/>
  <c r="Z79" i="76"/>
  <c r="Z52" i="76"/>
  <c r="Z73" i="76"/>
  <c r="Z56" i="76"/>
  <c r="V69" i="76"/>
  <c r="Z69" i="76"/>
  <c r="BQ85" i="78"/>
  <c r="BQ96" i="78"/>
  <c r="BR99" i="78"/>
  <c r="BQ95" i="78"/>
  <c r="BR86" i="78"/>
  <c r="BQ99" i="78"/>
  <c r="BR95" i="78"/>
  <c r="BQ102" i="78"/>
  <c r="BR89" i="78"/>
  <c r="BR92" i="78"/>
  <c r="BQ89" i="78"/>
  <c r="BQ97" i="78"/>
  <c r="BQ101" i="78"/>
  <c r="BR101" i="78"/>
  <c r="BQ83" i="78"/>
  <c r="BQ93" i="78"/>
  <c r="BR85" i="78"/>
  <c r="BR104" i="78"/>
  <c r="BQ106" i="78"/>
  <c r="BR102" i="78"/>
  <c r="BR87" i="78"/>
  <c r="BQ82" i="78"/>
  <c r="BQ90" i="78"/>
  <c r="BQ87" i="78"/>
  <c r="BR105" i="78"/>
  <c r="CC6" i="78"/>
  <c r="BQ104" i="78"/>
  <c r="BQ88" i="78"/>
  <c r="BQ91" i="78"/>
  <c r="BQ94" i="78"/>
  <c r="BR100" i="78"/>
  <c r="BR103" i="78"/>
  <c r="BR83" i="78"/>
  <c r="BR98" i="78"/>
  <c r="BR88" i="78"/>
  <c r="BQ92" i="78"/>
  <c r="BQ117" i="78"/>
  <c r="BQ103" i="78"/>
  <c r="BQ86" i="78"/>
  <c r="BR91" i="78"/>
  <c r="BR117" i="78"/>
  <c r="BR94" i="78"/>
  <c r="BR106" i="78"/>
  <c r="BR90" i="78"/>
  <c r="BQ100" i="78"/>
  <c r="BQ105" i="78"/>
  <c r="BQ98" i="78"/>
  <c r="BR97" i="78"/>
  <c r="BR43" i="78"/>
  <c r="BR96" i="78"/>
  <c r="BR93" i="78"/>
  <c r="BT117" i="78"/>
  <c r="BQ80" i="78"/>
  <c r="BQ84" i="78"/>
  <c r="BQ109" i="78"/>
  <c r="BR80" i="78"/>
  <c r="BR84" i="78"/>
  <c r="BR82" i="78"/>
  <c r="CD89" i="78"/>
  <c r="CD86" i="78"/>
  <c r="CD117" i="78"/>
  <c r="CD109" i="78"/>
  <c r="CD84" i="78"/>
  <c r="CD99" i="78"/>
  <c r="CD104" i="78"/>
  <c r="CD106" i="78"/>
  <c r="CD95" i="78"/>
  <c r="CD93" i="78"/>
  <c r="CD105" i="78"/>
  <c r="CD85" i="78"/>
  <c r="CD83" i="78"/>
  <c r="CD100" i="78"/>
  <c r="CD102" i="78"/>
  <c r="CD101" i="78"/>
  <c r="CD96" i="78"/>
  <c r="CD98" i="78"/>
  <c r="CD97" i="78"/>
  <c r="CD87" i="78"/>
  <c r="CD91" i="78"/>
  <c r="CD103" i="78"/>
  <c r="CD92" i="78"/>
  <c r="CD88" i="78"/>
  <c r="CD82" i="78"/>
  <c r="CD94" i="78"/>
  <c r="CD90" i="78"/>
  <c r="CE43" i="78"/>
  <c r="CP6" i="78"/>
  <c r="CB43" i="78"/>
  <c r="CM6" i="78"/>
  <c r="CE105" i="78"/>
  <c r="CE98" i="78"/>
  <c r="CE84" i="78"/>
  <c r="CE87" i="78"/>
  <c r="CE99" i="78"/>
  <c r="CE101" i="78"/>
  <c r="CE82" i="78"/>
  <c r="CE106" i="78"/>
  <c r="CE104" i="78"/>
  <c r="CE95" i="78"/>
  <c r="CE85" i="78"/>
  <c r="CE109" i="78"/>
  <c r="CE96" i="78"/>
  <c r="CE89" i="78"/>
  <c r="CE94" i="78"/>
  <c r="CE97" i="78"/>
  <c r="CE86" i="78"/>
  <c r="CE100" i="78"/>
  <c r="CE102" i="78"/>
  <c r="CE80" i="78"/>
  <c r="CE92" i="78"/>
  <c r="CE90" i="78"/>
  <c r="CE103" i="78"/>
  <c r="CE93" i="78"/>
  <c r="CE83" i="78"/>
  <c r="CE88" i="78"/>
  <c r="CE91" i="78"/>
  <c r="BO38" i="78"/>
  <c r="BO75" i="78"/>
  <c r="BO112" i="78"/>
  <c r="CA83" i="78"/>
  <c r="CA85" i="78"/>
  <c r="CL6" i="78"/>
  <c r="CA101" i="78"/>
  <c r="CA93" i="78"/>
  <c r="CA82" i="78"/>
  <c r="CA43" i="78"/>
  <c r="CA80" i="78"/>
  <c r="CA98" i="78"/>
  <c r="CA103" i="78"/>
  <c r="CA92" i="78"/>
  <c r="CA102" i="78"/>
  <c r="CA104" i="78"/>
  <c r="CA94" i="78"/>
  <c r="CA88" i="78"/>
  <c r="CA100" i="78"/>
  <c r="CA109" i="78"/>
  <c r="CA89" i="78"/>
  <c r="CA96" i="78"/>
  <c r="CA84" i="78"/>
  <c r="CA117" i="78"/>
  <c r="CA95" i="78"/>
  <c r="CA86" i="78"/>
  <c r="CA99" i="78"/>
  <c r="CA87" i="78"/>
  <c r="CA97" i="78"/>
  <c r="CA91" i="78"/>
  <c r="CA90" i="78"/>
  <c r="CA106" i="78"/>
  <c r="CA105" i="78"/>
  <c r="C8" i="52"/>
  <c r="D8" i="52"/>
  <c r="CD107" i="78" l="1"/>
  <c r="CL107" i="78"/>
  <c r="CP43" i="78"/>
  <c r="CP107" i="78"/>
  <c r="CC80" i="78"/>
  <c r="CB107" i="78"/>
  <c r="CC107" i="78"/>
  <c r="CO6" i="78"/>
  <c r="CO94" i="78" s="1"/>
  <c r="CD43" i="78"/>
  <c r="CE117" i="78"/>
  <c r="CK1" i="78"/>
  <c r="CB87" i="78"/>
  <c r="CB109" i="78"/>
  <c r="CB98" i="78"/>
  <c r="CC83" i="78"/>
  <c r="CC92" i="78"/>
  <c r="CC95" i="78"/>
  <c r="CC86" i="78"/>
  <c r="CC97" i="78"/>
  <c r="CB106" i="78"/>
  <c r="CB96" i="78"/>
  <c r="CC106" i="78"/>
  <c r="CN6" i="78"/>
  <c r="CC109" i="78"/>
  <c r="CB100" i="78"/>
  <c r="CC102" i="78"/>
  <c r="CB90" i="78"/>
  <c r="CB83" i="78"/>
  <c r="CC98" i="78"/>
  <c r="CB97" i="78"/>
  <c r="CB84" i="78"/>
  <c r="CB92" i="78"/>
  <c r="CB89" i="78"/>
  <c r="CC104" i="78"/>
  <c r="CB94" i="78"/>
  <c r="CB95" i="78"/>
  <c r="CB101" i="78"/>
  <c r="CC117" i="78"/>
  <c r="CC82" i="78"/>
  <c r="CC100" i="78"/>
  <c r="CB88" i="78"/>
  <c r="CB99" i="78"/>
  <c r="CC96" i="78"/>
  <c r="CC94" i="78"/>
  <c r="CC103" i="78"/>
  <c r="CC84" i="78"/>
  <c r="CB82" i="78"/>
  <c r="CB91" i="78"/>
  <c r="CB103" i="78"/>
  <c r="CB93" i="78"/>
  <c r="CC101" i="78"/>
  <c r="CC85" i="78"/>
  <c r="CC87" i="78"/>
  <c r="CC99" i="78"/>
  <c r="CB86" i="78"/>
  <c r="CB85" i="78"/>
  <c r="CC89" i="78"/>
  <c r="CC93" i="78"/>
  <c r="CC90" i="78"/>
  <c r="CC91" i="78"/>
  <c r="CB117" i="78"/>
  <c r="CB102" i="78"/>
  <c r="CB80" i="78"/>
  <c r="CB104" i="78"/>
  <c r="CB105" i="78"/>
  <c r="CC88" i="78"/>
  <c r="CC105" i="78"/>
  <c r="CC43" i="78"/>
  <c r="CO90" i="78"/>
  <c r="CO83" i="78"/>
  <c r="CO106" i="78"/>
  <c r="CO109" i="78"/>
  <c r="CO97" i="78"/>
  <c r="CO117" i="78"/>
  <c r="CP84" i="78"/>
  <c r="CP89" i="78"/>
  <c r="CP80" i="78"/>
  <c r="CP98" i="78"/>
  <c r="CP97" i="78"/>
  <c r="CP106" i="78"/>
  <c r="CP96" i="78"/>
  <c r="CP94" i="78"/>
  <c r="CP95" i="78"/>
  <c r="CP92" i="78"/>
  <c r="CP83" i="78"/>
  <c r="CP105" i="78"/>
  <c r="CP109" i="78"/>
  <c r="CP88" i="78"/>
  <c r="CP86" i="78"/>
  <c r="CP91" i="78"/>
  <c r="CP82" i="78"/>
  <c r="CP90" i="78"/>
  <c r="CP101" i="78"/>
  <c r="CP87" i="78"/>
  <c r="CM43" i="78"/>
  <c r="CP93" i="78"/>
  <c r="CP104" i="78"/>
  <c r="CP102" i="78"/>
  <c r="CP100" i="78"/>
  <c r="CP99" i="78"/>
  <c r="CP103" i="78"/>
  <c r="CP85" i="78"/>
  <c r="CL117" i="78"/>
  <c r="CL89" i="78"/>
  <c r="CL105" i="78"/>
  <c r="CL80" i="78"/>
  <c r="CL104" i="78"/>
  <c r="CL102" i="78"/>
  <c r="CL85" i="78"/>
  <c r="CL88" i="78"/>
  <c r="CL87" i="78"/>
  <c r="CL95" i="78"/>
  <c r="CL97" i="78"/>
  <c r="CL103" i="78"/>
  <c r="CL96" i="78"/>
  <c r="CL93" i="78"/>
  <c r="CL86" i="78"/>
  <c r="CL94" i="78"/>
  <c r="CL101" i="78"/>
  <c r="CL109" i="78"/>
  <c r="CL84" i="78"/>
  <c r="CL83" i="78"/>
  <c r="CL43" i="78"/>
  <c r="CL82" i="78"/>
  <c r="CL92" i="78"/>
  <c r="CL106" i="78"/>
  <c r="CL90" i="78"/>
  <c r="CL98" i="78"/>
  <c r="CL100" i="78"/>
  <c r="CL91" i="78"/>
  <c r="CL99" i="78"/>
  <c r="BZ38" i="78"/>
  <c r="BZ75" i="78"/>
  <c r="BZ112" i="78"/>
  <c r="I40" i="18"/>
  <c r="CN107" i="78" l="1"/>
  <c r="CO43" i="78"/>
  <c r="CO85" i="78"/>
  <c r="CO98" i="78"/>
  <c r="CO104" i="78"/>
  <c r="CO103" i="78"/>
  <c r="CP117" i="78"/>
  <c r="CM107" i="78"/>
  <c r="CO84" i="78"/>
  <c r="CO100" i="78"/>
  <c r="CO92" i="78"/>
  <c r="CO88" i="78"/>
  <c r="CO96" i="78"/>
  <c r="CO101" i="78"/>
  <c r="CO89" i="78"/>
  <c r="CO86" i="78"/>
  <c r="CO102" i="78"/>
  <c r="CO82" i="78"/>
  <c r="CO99" i="78"/>
  <c r="CO80" i="78"/>
  <c r="CO93" i="78"/>
  <c r="CO105" i="78"/>
  <c r="CO107" i="78"/>
  <c r="CO91" i="78"/>
  <c r="CO87" i="78"/>
  <c r="CO95" i="78"/>
  <c r="CM93" i="78"/>
  <c r="CN88" i="78"/>
  <c r="CN103" i="78"/>
  <c r="CM95" i="78"/>
  <c r="CN82" i="78"/>
  <c r="CM105" i="78"/>
  <c r="CM86" i="78"/>
  <c r="CN100" i="78"/>
  <c r="CM99" i="78"/>
  <c r="CM90" i="78"/>
  <c r="CN93" i="78"/>
  <c r="CN105" i="78"/>
  <c r="CM83" i="78"/>
  <c r="CM98" i="78"/>
  <c r="CN90" i="78"/>
  <c r="CN84" i="78"/>
  <c r="CM89" i="78"/>
  <c r="CM109" i="78"/>
  <c r="CN104" i="78"/>
  <c r="CN95" i="78"/>
  <c r="CM106" i="78"/>
  <c r="CN98" i="78"/>
  <c r="CN87" i="78"/>
  <c r="CM102" i="78"/>
  <c r="CM117" i="78"/>
  <c r="CN86" i="78"/>
  <c r="CN97" i="78"/>
  <c r="CM100" i="78"/>
  <c r="CM82" i="78"/>
  <c r="CM101" i="78"/>
  <c r="CM85" i="78"/>
  <c r="CN94" i="78"/>
  <c r="CN80" i="78"/>
  <c r="CN96" i="78"/>
  <c r="CM97" i="78"/>
  <c r="CM88" i="78"/>
  <c r="CM92" i="78"/>
  <c r="CN117" i="78"/>
  <c r="CN89" i="78"/>
  <c r="CN91" i="78"/>
  <c r="CN109" i="78"/>
  <c r="CM80" i="78"/>
  <c r="CM104" i="78"/>
  <c r="CM91" i="78"/>
  <c r="CM94" i="78"/>
  <c r="CM103" i="78"/>
  <c r="CN92" i="78"/>
  <c r="CN106" i="78"/>
  <c r="CN83" i="78"/>
  <c r="CN102" i="78"/>
  <c r="CM84" i="78"/>
  <c r="CM87" i="78"/>
  <c r="CM96" i="78"/>
  <c r="CN85" i="78"/>
  <c r="CN99" i="78"/>
  <c r="CN43" i="78"/>
  <c r="CN101" i="78"/>
  <c r="CK112" i="78"/>
  <c r="CK38" i="78"/>
  <c r="CK75" i="78"/>
  <c r="I41" i="18"/>
  <c r="H41" i="18"/>
  <c r="K40" i="18"/>
  <c r="J41" i="18"/>
  <c r="K41" i="18"/>
  <c r="J40" i="18"/>
  <c r="R10" i="80" l="1"/>
  <c r="R12" i="80"/>
  <c r="R13" i="80"/>
  <c r="R14" i="80"/>
  <c r="R15" i="80"/>
  <c r="R16" i="80"/>
  <c r="R17" i="80"/>
  <c r="R18" i="80"/>
  <c r="R19" i="80"/>
  <c r="R20" i="80"/>
  <c r="R21" i="80"/>
  <c r="R22" i="80"/>
  <c r="R23" i="80"/>
  <c r="R24" i="80"/>
  <c r="R25" i="80"/>
  <c r="R26" i="80"/>
  <c r="R27" i="80"/>
  <c r="R28" i="80"/>
  <c r="R29" i="80"/>
  <c r="R30" i="80"/>
  <c r="R31" i="80"/>
  <c r="R32" i="80"/>
  <c r="R9" i="80"/>
  <c r="I9" i="80"/>
  <c r="I10" i="80"/>
  <c r="I12" i="80"/>
  <c r="I13" i="80"/>
  <c r="I14" i="80"/>
  <c r="I15" i="80"/>
  <c r="I16" i="80"/>
  <c r="I17" i="80"/>
  <c r="I18" i="80"/>
  <c r="I19" i="80"/>
  <c r="I20" i="80"/>
  <c r="I21" i="80"/>
  <c r="I22" i="80"/>
  <c r="I23" i="80"/>
  <c r="I24" i="80"/>
  <c r="I25" i="80"/>
  <c r="I26" i="80"/>
  <c r="I27" i="80"/>
  <c r="I28" i="80"/>
  <c r="I29" i="80"/>
  <c r="I30" i="80"/>
  <c r="I31" i="80"/>
  <c r="I32" i="80"/>
  <c r="F35" i="80"/>
  <c r="F32" i="80"/>
  <c r="F31" i="80"/>
  <c r="F30" i="80"/>
  <c r="F29" i="80"/>
  <c r="F28" i="80"/>
  <c r="F27" i="80"/>
  <c r="F26" i="80"/>
  <c r="F25" i="80"/>
  <c r="F24" i="80"/>
  <c r="F23" i="80"/>
  <c r="F22" i="80"/>
  <c r="F21" i="80"/>
  <c r="F20" i="80"/>
  <c r="F19" i="80"/>
  <c r="F18" i="80"/>
  <c r="F17" i="80"/>
  <c r="F16" i="80"/>
  <c r="F15" i="80"/>
  <c r="F14" i="80"/>
  <c r="F13" i="80"/>
  <c r="F12" i="80"/>
  <c r="F11" i="80"/>
  <c r="F10" i="80"/>
  <c r="F8" i="80"/>
  <c r="C10" i="80"/>
  <c r="C11" i="80"/>
  <c r="C12" i="80"/>
  <c r="C13" i="80"/>
  <c r="C14" i="80"/>
  <c r="C15" i="80"/>
  <c r="C16" i="80"/>
  <c r="C17" i="80"/>
  <c r="C18" i="80"/>
  <c r="C19" i="80"/>
  <c r="C20" i="80"/>
  <c r="C21" i="80"/>
  <c r="C22" i="80"/>
  <c r="C23" i="80"/>
  <c r="C24" i="80"/>
  <c r="C25" i="80"/>
  <c r="C26" i="80"/>
  <c r="C27" i="80"/>
  <c r="C28" i="80"/>
  <c r="C29" i="80"/>
  <c r="C30" i="80"/>
  <c r="C31" i="80"/>
  <c r="C32" i="80"/>
  <c r="L10" i="80" l="1"/>
  <c r="L11" i="80"/>
  <c r="L12" i="80"/>
  <c r="L13" i="80"/>
  <c r="L15" i="80"/>
  <c r="L16" i="80"/>
  <c r="L17" i="80"/>
  <c r="L18" i="80"/>
  <c r="L19" i="80"/>
  <c r="L20" i="80"/>
  <c r="L21" i="80"/>
  <c r="L23" i="80"/>
  <c r="L24" i="80"/>
  <c r="L25" i="80"/>
  <c r="L26" i="80"/>
  <c r="L27" i="80"/>
  <c r="L28" i="80"/>
  <c r="L29" i="80"/>
  <c r="L31" i="80"/>
  <c r="L32" i="80"/>
  <c r="L9" i="80"/>
  <c r="H32" i="80"/>
  <c r="H31" i="80"/>
  <c r="H30" i="80"/>
  <c r="H29" i="80"/>
  <c r="H28" i="80"/>
  <c r="N28" i="80" s="1"/>
  <c r="H27" i="80"/>
  <c r="H26" i="80"/>
  <c r="N26" i="80" s="1"/>
  <c r="O26" i="80" s="1"/>
  <c r="H25" i="80"/>
  <c r="H24" i="80"/>
  <c r="H23" i="80"/>
  <c r="H22" i="80"/>
  <c r="H21" i="80"/>
  <c r="H20" i="80"/>
  <c r="H19" i="80"/>
  <c r="H18" i="80"/>
  <c r="H17" i="80"/>
  <c r="H16" i="80"/>
  <c r="H15" i="80"/>
  <c r="H14" i="80"/>
  <c r="H13" i="80"/>
  <c r="N13" i="80" s="1"/>
  <c r="O13" i="80" s="1"/>
  <c r="H12" i="80"/>
  <c r="H10" i="80"/>
  <c r="H9" i="80"/>
  <c r="N32" i="80" l="1"/>
  <c r="O32" i="80" s="1"/>
  <c r="N18" i="80"/>
  <c r="O18" i="80" s="1"/>
  <c r="N10" i="80"/>
  <c r="O10" i="80" s="1"/>
  <c r="O28" i="80"/>
  <c r="N21" i="80"/>
  <c r="O21" i="80" s="1"/>
  <c r="N29" i="80"/>
  <c r="O29" i="80" s="1"/>
  <c r="N24" i="80"/>
  <c r="O24" i="80" s="1"/>
  <c r="N20" i="80"/>
  <c r="O20" i="80" s="1"/>
  <c r="N16" i="80"/>
  <c r="O16" i="80" s="1"/>
  <c r="N12" i="80"/>
  <c r="O12" i="80" s="1"/>
  <c r="N9" i="80"/>
  <c r="O9" i="80" s="1"/>
  <c r="N17" i="80"/>
  <c r="O17" i="80" s="1"/>
  <c r="N25" i="80"/>
  <c r="O25" i="80" s="1"/>
  <c r="N22" i="80"/>
  <c r="O22" i="80" s="1"/>
  <c r="L22" i="80"/>
  <c r="N30" i="80"/>
  <c r="O30" i="80" s="1"/>
  <c r="L30" i="80"/>
  <c r="N14" i="80"/>
  <c r="O14" i="80" s="1"/>
  <c r="N31" i="80"/>
  <c r="O31" i="80" s="1"/>
  <c r="N23" i="80"/>
  <c r="O23" i="80" s="1"/>
  <c r="N15" i="80"/>
  <c r="O15" i="80" s="1"/>
  <c r="N27" i="80"/>
  <c r="O27" i="80" s="1"/>
  <c r="N11" i="80"/>
  <c r="O11" i="80" s="1"/>
  <c r="N19" i="80"/>
  <c r="O19" i="80" s="1"/>
  <c r="H23" i="16" l="1"/>
  <c r="H24" i="16"/>
  <c r="H43" i="16"/>
  <c r="H44" i="16"/>
  <c r="W35" i="78" l="1"/>
  <c r="AS35" i="78" s="1"/>
  <c r="W24" i="78"/>
  <c r="AS24" i="78" s="1"/>
  <c r="BO24" i="78" s="1"/>
  <c r="CK24" i="78" s="1"/>
  <c r="W9" i="78"/>
  <c r="AS9" i="78" s="1"/>
  <c r="BO9" i="78" s="1"/>
  <c r="CK9" i="78" s="1"/>
  <c r="W10" i="78"/>
  <c r="AS10" i="78" s="1"/>
  <c r="BO10" i="78" s="1"/>
  <c r="CK10" i="78" s="1"/>
  <c r="L11" i="78"/>
  <c r="AH11" i="78" s="1"/>
  <c r="BD11" i="78" s="1"/>
  <c r="BZ11" i="78" s="1"/>
  <c r="L12" i="78"/>
  <c r="AH12" i="78" s="1"/>
  <c r="BD12" i="78" s="1"/>
  <c r="BZ12" i="78" s="1"/>
  <c r="L13" i="78"/>
  <c r="AH13" i="78" s="1"/>
  <c r="BD13" i="78" s="1"/>
  <c r="BZ13" i="78" s="1"/>
  <c r="L14" i="78"/>
  <c r="AH14" i="78" s="1"/>
  <c r="BD14" i="78" s="1"/>
  <c r="BZ14" i="78" s="1"/>
  <c r="L15" i="78"/>
  <c r="AH15" i="78" s="1"/>
  <c r="BD15" i="78" s="1"/>
  <c r="BZ15" i="78" s="1"/>
  <c r="W16" i="78"/>
  <c r="AS16" i="78" s="1"/>
  <c r="BO16" i="78" s="1"/>
  <c r="CK16" i="78" s="1"/>
  <c r="W17" i="78"/>
  <c r="AS17" i="78" s="1"/>
  <c r="BO17" i="78" s="1"/>
  <c r="CK17" i="78" s="1"/>
  <c r="W18" i="78"/>
  <c r="AS18" i="78" s="1"/>
  <c r="BO18" i="78" s="1"/>
  <c r="CK18" i="78" s="1"/>
  <c r="L19" i="78"/>
  <c r="AH19" i="78" s="1"/>
  <c r="BD19" i="78" s="1"/>
  <c r="BZ19" i="78" s="1"/>
  <c r="L20" i="78"/>
  <c r="AH20" i="78" s="1"/>
  <c r="BD20" i="78" s="1"/>
  <c r="BZ20" i="78" s="1"/>
  <c r="L21" i="78"/>
  <c r="AH21" i="78" s="1"/>
  <c r="BD21" i="78" s="1"/>
  <c r="BZ21" i="78" s="1"/>
  <c r="L22" i="78"/>
  <c r="AH22" i="78" s="1"/>
  <c r="BD22" i="78" s="1"/>
  <c r="BZ22" i="78" s="1"/>
  <c r="L23" i="78"/>
  <c r="AH23" i="78" s="1"/>
  <c r="BD23" i="78" s="1"/>
  <c r="BZ23" i="78" s="1"/>
  <c r="W25" i="78"/>
  <c r="AS25" i="78" s="1"/>
  <c r="BO25" i="78" s="1"/>
  <c r="CK25" i="78" s="1"/>
  <c r="W26" i="78"/>
  <c r="AS26" i="78" s="1"/>
  <c r="BO26" i="78" s="1"/>
  <c r="CK26" i="78" s="1"/>
  <c r="W27" i="78"/>
  <c r="AS27" i="78" s="1"/>
  <c r="BO27" i="78" s="1"/>
  <c r="CK27" i="78" s="1"/>
  <c r="L28" i="78"/>
  <c r="AH28" i="78" s="1"/>
  <c r="BD28" i="78" s="1"/>
  <c r="BZ28" i="78" s="1"/>
  <c r="L29" i="78"/>
  <c r="AH29" i="78" s="1"/>
  <c r="BD29" i="78" s="1"/>
  <c r="BZ29" i="78" s="1"/>
  <c r="L30" i="78"/>
  <c r="AH30" i="78" s="1"/>
  <c r="BD30" i="78" s="1"/>
  <c r="BZ30" i="78" s="1"/>
  <c r="L31" i="78"/>
  <c r="AH31" i="78" s="1"/>
  <c r="BD31" i="78" s="1"/>
  <c r="BZ31" i="78" s="1"/>
  <c r="W32" i="78"/>
  <c r="AS32" i="78" s="1"/>
  <c r="BO32" i="78" s="1"/>
  <c r="CK32" i="78" s="1"/>
  <c r="W8" i="78"/>
  <c r="AS8" i="78" s="1"/>
  <c r="BO8" i="78" s="1"/>
  <c r="CK8" i="78" s="1"/>
  <c r="BO35" i="78" l="1"/>
  <c r="AS72" i="78"/>
  <c r="AS109" i="78"/>
  <c r="AS146" i="78"/>
  <c r="L27" i="78"/>
  <c r="AH27" i="78" s="1"/>
  <c r="BD27" i="78" s="1"/>
  <c r="BZ27" i="78" s="1"/>
  <c r="L18" i="78"/>
  <c r="AH18" i="78" s="1"/>
  <c r="BD18" i="78" s="1"/>
  <c r="BZ18" i="78" s="1"/>
  <c r="W29" i="78"/>
  <c r="AS29" i="78" s="1"/>
  <c r="BO29" i="78" s="1"/>
  <c r="CK29" i="78" s="1"/>
  <c r="L10" i="78"/>
  <c r="AH10" i="78" s="1"/>
  <c r="BD10" i="78" s="1"/>
  <c r="BZ10" i="78" s="1"/>
  <c r="W28" i="78"/>
  <c r="AS28" i="78" s="1"/>
  <c r="BO28" i="78" s="1"/>
  <c r="CK28" i="78" s="1"/>
  <c r="W19" i="78"/>
  <c r="AS19" i="78" s="1"/>
  <c r="BO19" i="78" s="1"/>
  <c r="CK19" i="78" s="1"/>
  <c r="W13" i="78"/>
  <c r="AS13" i="78" s="1"/>
  <c r="BO13" i="78" s="1"/>
  <c r="CK13" i="78" s="1"/>
  <c r="W11" i="78"/>
  <c r="AS11" i="78" s="1"/>
  <c r="BO11" i="78" s="1"/>
  <c r="CK11" i="78" s="1"/>
  <c r="L9" i="78"/>
  <c r="AH9" i="78" s="1"/>
  <c r="BD9" i="78" s="1"/>
  <c r="BZ9" i="78" s="1"/>
  <c r="L26" i="78"/>
  <c r="AH26" i="78" s="1"/>
  <c r="BD26" i="78" s="1"/>
  <c r="BZ26" i="78" s="1"/>
  <c r="W21" i="78"/>
  <c r="AS21" i="78" s="1"/>
  <c r="BO21" i="78" s="1"/>
  <c r="CK21" i="78" s="1"/>
  <c r="W20" i="78"/>
  <c r="AS20" i="78" s="1"/>
  <c r="BO20" i="78" s="1"/>
  <c r="CK20" i="78" s="1"/>
  <c r="L17" i="78"/>
  <c r="AH17" i="78" s="1"/>
  <c r="BD17" i="78" s="1"/>
  <c r="BZ17" i="78" s="1"/>
  <c r="W12" i="78"/>
  <c r="AS12" i="78" s="1"/>
  <c r="BO12" i="78" s="1"/>
  <c r="CK12" i="78" s="1"/>
  <c r="W31" i="78"/>
  <c r="AS31" i="78" s="1"/>
  <c r="BO31" i="78" s="1"/>
  <c r="CK31" i="78" s="1"/>
  <c r="W23" i="78"/>
  <c r="AS23" i="78" s="1"/>
  <c r="BO23" i="78" s="1"/>
  <c r="CK23" i="78" s="1"/>
  <c r="W15" i="78"/>
  <c r="AS15" i="78" s="1"/>
  <c r="BO15" i="78" s="1"/>
  <c r="CK15" i="78" s="1"/>
  <c r="W30" i="78"/>
  <c r="AS30" i="78" s="1"/>
  <c r="BO30" i="78" s="1"/>
  <c r="CK30" i="78" s="1"/>
  <c r="W22" i="78"/>
  <c r="AS22" i="78" s="1"/>
  <c r="BO22" i="78" s="1"/>
  <c r="CK22" i="78" s="1"/>
  <c r="W14" i="78"/>
  <c r="AS14" i="78" s="1"/>
  <c r="BO14" i="78" s="1"/>
  <c r="CK14" i="78" s="1"/>
  <c r="L8" i="78"/>
  <c r="AH8" i="78" s="1"/>
  <c r="BD8" i="78" s="1"/>
  <c r="BZ8" i="78" s="1"/>
  <c r="L25" i="78"/>
  <c r="AH25" i="78" s="1"/>
  <c r="BD25" i="78" s="1"/>
  <c r="BZ25" i="78" s="1"/>
  <c r="L32" i="78"/>
  <c r="AH32" i="78" s="1"/>
  <c r="BD32" i="78" s="1"/>
  <c r="BZ32" i="78" s="1"/>
  <c r="L24" i="78"/>
  <c r="AH24" i="78" s="1"/>
  <c r="BD24" i="78" s="1"/>
  <c r="BZ24" i="78" s="1"/>
  <c r="L16" i="78"/>
  <c r="AH16" i="78" s="1"/>
  <c r="BD16" i="78" s="1"/>
  <c r="BZ16" i="78" s="1"/>
  <c r="L35" i="78"/>
  <c r="AH35" i="78" s="1"/>
  <c r="AH109" i="78" l="1"/>
  <c r="AH72" i="78"/>
  <c r="BD35" i="78"/>
  <c r="AH146" i="78"/>
  <c r="BO72" i="78"/>
  <c r="BO146" i="78"/>
  <c r="CK35" i="78"/>
  <c r="BO109" i="78"/>
  <c r="C6" i="16"/>
  <c r="D6" i="16"/>
  <c r="A477" i="76" s="1"/>
  <c r="E6" i="16"/>
  <c r="F6" i="16"/>
  <c r="B6" i="16"/>
  <c r="L1" i="16" l="1"/>
  <c r="L39" i="16" s="1"/>
  <c r="A1" i="16"/>
  <c r="M152" i="75"/>
  <c r="H80" i="16"/>
  <c r="M51" i="75" s="1"/>
  <c r="AE54" i="16"/>
  <c r="T52" i="16"/>
  <c r="T51" i="16"/>
  <c r="AE53" i="16"/>
  <c r="U53" i="16"/>
  <c r="AE51" i="16"/>
  <c r="AD51" i="16"/>
  <c r="AD47" i="16"/>
  <c r="AF47" i="16"/>
  <c r="T46" i="16"/>
  <c r="AE48" i="16"/>
  <c r="AF52" i="16"/>
  <c r="AF53" i="16"/>
  <c r="T50" i="16"/>
  <c r="AE47" i="16"/>
  <c r="U54" i="16"/>
  <c r="T48" i="16"/>
  <c r="U51" i="16"/>
  <c r="S47" i="16"/>
  <c r="AD46" i="16"/>
  <c r="T53" i="16"/>
  <c r="T54" i="16"/>
  <c r="S51" i="16"/>
  <c r="U49" i="16"/>
  <c r="U47" i="16"/>
  <c r="S46" i="16"/>
  <c r="AE52" i="16"/>
  <c r="AE50" i="16"/>
  <c r="U50" i="16"/>
  <c r="AF50" i="16"/>
  <c r="S49" i="16"/>
  <c r="T47" i="16"/>
  <c r="U48" i="16"/>
  <c r="AE49" i="16"/>
  <c r="T49" i="16"/>
  <c r="AD49" i="16"/>
  <c r="AE46" i="16"/>
  <c r="U56" i="16"/>
  <c r="U46" i="16"/>
  <c r="AD53" i="16"/>
  <c r="AD52" i="16"/>
  <c r="AF48" i="16"/>
  <c r="AE56" i="16"/>
  <c r="S48" i="16"/>
  <c r="S53" i="16"/>
  <c r="AF51" i="16"/>
  <c r="S52" i="16"/>
  <c r="S50" i="16"/>
  <c r="AD48" i="16"/>
  <c r="AD54" i="16"/>
  <c r="AF46" i="16"/>
  <c r="AF49" i="16"/>
  <c r="S54" i="16"/>
  <c r="AD50" i="16"/>
  <c r="U52" i="16"/>
  <c r="T56" i="16"/>
  <c r="AF54" i="16"/>
  <c r="AF56" i="16"/>
  <c r="AD56" i="16"/>
  <c r="S56" i="16"/>
  <c r="AA3" i="106"/>
  <c r="Y3" i="106"/>
  <c r="AB3" i="106"/>
  <c r="X3" i="106"/>
  <c r="W1" i="106" s="1"/>
  <c r="Z3" i="106"/>
  <c r="AC3" i="106"/>
  <c r="X1" i="106" s="1"/>
  <c r="CK72" i="78"/>
  <c r="CK146" i="78"/>
  <c r="CK109" i="78"/>
  <c r="BD72" i="78"/>
  <c r="BZ35" i="78"/>
  <c r="BD146" i="78"/>
  <c r="BD109" i="78"/>
  <c r="H79" i="16"/>
  <c r="H47" i="16"/>
  <c r="F50" i="16"/>
  <c r="F52" i="16"/>
  <c r="F54" i="16"/>
  <c r="H46" i="16"/>
  <c r="H48" i="16"/>
  <c r="F51" i="16"/>
  <c r="H49" i="16"/>
  <c r="H50" i="16"/>
  <c r="H51" i="16"/>
  <c r="F47" i="16"/>
  <c r="I81" i="16" s="1"/>
  <c r="N47" i="75" s="1"/>
  <c r="H52" i="16"/>
  <c r="F53" i="16"/>
  <c r="H53" i="16"/>
  <c r="F48" i="16"/>
  <c r="F46" i="16"/>
  <c r="I80" i="16" s="1"/>
  <c r="N51" i="75" s="1"/>
  <c r="F49" i="16"/>
  <c r="H54" i="16"/>
  <c r="I46" i="16"/>
  <c r="J54" i="16"/>
  <c r="I53" i="16"/>
  <c r="H82" i="16"/>
  <c r="M41" i="75" s="1"/>
  <c r="H84" i="16"/>
  <c r="M30" i="75" s="1"/>
  <c r="H85" i="16"/>
  <c r="M24" i="75" s="1"/>
  <c r="H83" i="16"/>
  <c r="M34" i="75" s="1"/>
  <c r="F62" i="16"/>
  <c r="N1" i="107" s="1"/>
  <c r="A1" i="107" s="1"/>
  <c r="H87" i="16"/>
  <c r="M15" i="75" s="1"/>
  <c r="H81" i="16"/>
  <c r="M47" i="75" s="1"/>
  <c r="H88" i="16"/>
  <c r="M11" i="75" s="1"/>
  <c r="F44" i="16"/>
  <c r="I79" i="16" s="1"/>
  <c r="H86" i="16"/>
  <c r="M19" i="75" s="1"/>
  <c r="H4" i="16"/>
  <c r="N152" i="75" s="1"/>
  <c r="C44" i="16"/>
  <c r="C62" i="16"/>
  <c r="A1" i="106" l="1"/>
  <c r="A150" i="75"/>
  <c r="P4" i="31"/>
  <c r="A1" i="31" s="1"/>
  <c r="P35" i="31"/>
  <c r="A34" i="31" s="1"/>
  <c r="BZ109" i="78"/>
  <c r="BZ72" i="78"/>
  <c r="BZ146" i="78"/>
  <c r="H42" i="16"/>
  <c r="H22" i="16"/>
  <c r="E65" i="16" l="1"/>
  <c r="B46" i="16"/>
  <c r="C72" i="16" l="1"/>
  <c r="C54" i="16"/>
  <c r="C69" i="16"/>
  <c r="C64" i="16"/>
  <c r="C46" i="16"/>
  <c r="C68" i="16"/>
  <c r="C50" i="16"/>
  <c r="C67" i="16"/>
  <c r="C49" i="16"/>
  <c r="C65" i="16"/>
  <c r="C47" i="16"/>
  <c r="C66" i="16"/>
  <c r="C48" i="16"/>
  <c r="C71" i="16"/>
  <c r="C53" i="16"/>
  <c r="C70" i="16"/>
  <c r="C52" i="16"/>
  <c r="C51" i="16"/>
  <c r="F18" i="16"/>
  <c r="F14" i="11"/>
  <c r="E14" i="11"/>
  <c r="D14" i="11"/>
  <c r="C14" i="11"/>
  <c r="D18" i="16"/>
  <c r="M163" i="75" s="1"/>
  <c r="E18" i="16"/>
  <c r="C18" i="16"/>
  <c r="Q40" i="80"/>
  <c r="E40" i="80"/>
  <c r="B41" i="80"/>
  <c r="B40" i="80"/>
  <c r="H27" i="11" l="1"/>
  <c r="I27" i="11"/>
  <c r="AB14" i="106"/>
  <c r="Y14" i="106"/>
  <c r="C51" i="18"/>
  <c r="I61" i="18" s="1"/>
  <c r="X14" i="106"/>
  <c r="AC14" i="106"/>
  <c r="AA14" i="106"/>
  <c r="E51" i="18"/>
  <c r="K61" i="18" s="1"/>
  <c r="Z14" i="106"/>
  <c r="F52" i="11"/>
  <c r="F41" i="11"/>
  <c r="D33" i="16"/>
  <c r="H36" i="16"/>
  <c r="H56" i="16" s="1"/>
  <c r="D51" i="18"/>
  <c r="H90" i="16"/>
  <c r="F74" i="16"/>
  <c r="N13" i="107" s="1"/>
  <c r="F51" i="18"/>
  <c r="F56" i="16"/>
  <c r="C86" i="12"/>
  <c r="C113" i="12"/>
  <c r="C74" i="16"/>
  <c r="C56" i="16"/>
  <c r="C52" i="11"/>
  <c r="C41" i="11"/>
  <c r="I60" i="18" l="1"/>
  <c r="J12" i="11"/>
  <c r="J25" i="11" s="1"/>
  <c r="K60" i="18"/>
  <c r="L51" i="18"/>
  <c r="L61" i="18"/>
  <c r="L60" i="18"/>
  <c r="J61" i="18"/>
  <c r="J60" i="18"/>
  <c r="D116" i="49"/>
  <c r="D117" i="49"/>
  <c r="D112" i="49"/>
  <c r="D113" i="49"/>
  <c r="D109" i="49"/>
  <c r="D103" i="49"/>
  <c r="D104" i="49"/>
  <c r="D98" i="49"/>
  <c r="D87" i="49"/>
  <c r="D88" i="49"/>
  <c r="D83" i="49"/>
  <c r="D84" i="49"/>
  <c r="D80" i="49"/>
  <c r="D74" i="49"/>
  <c r="D75" i="49"/>
  <c r="D69" i="49"/>
  <c r="D58" i="49"/>
  <c r="D59" i="49"/>
  <c r="D54" i="49"/>
  <c r="D55" i="49"/>
  <c r="D51" i="49"/>
  <c r="D45" i="49"/>
  <c r="D46" i="49"/>
  <c r="A97" i="49"/>
  <c r="A184" i="49" s="1"/>
  <c r="A271" i="49" s="1"/>
  <c r="A70" i="49"/>
  <c r="A157" i="49" s="1"/>
  <c r="A244" i="49" s="1"/>
  <c r="A47" i="49"/>
  <c r="A134" i="49" s="1"/>
  <c r="A221" i="49" s="1"/>
  <c r="A49" i="49"/>
  <c r="A136" i="49" s="1"/>
  <c r="A223" i="49" s="1"/>
  <c r="A81" i="49"/>
  <c r="A168" i="49" s="1"/>
  <c r="A255" i="49" s="1"/>
  <c r="A84" i="49"/>
  <c r="A171" i="49" s="1"/>
  <c r="A258" i="49" s="1"/>
  <c r="A86" i="49"/>
  <c r="A173" i="49" s="1"/>
  <c r="A260" i="49" s="1"/>
  <c r="D25" i="49" l="1"/>
  <c r="D26" i="49"/>
  <c r="D30" i="49"/>
  <c r="J14" i="11"/>
  <c r="J27" i="11" s="1"/>
  <c r="D22" i="49"/>
  <c r="D29" i="49"/>
  <c r="D17" i="49"/>
  <c r="D11" i="49"/>
  <c r="D16" i="49"/>
  <c r="A76" i="49"/>
  <c r="A163" i="49" s="1"/>
  <c r="A250" i="49" s="1"/>
  <c r="A55" i="49"/>
  <c r="A142" i="49" s="1"/>
  <c r="A229" i="49" s="1"/>
  <c r="A113" i="49"/>
  <c r="A200" i="49" s="1"/>
  <c r="A287" i="49" s="1"/>
  <c r="A102" i="49"/>
  <c r="A189" i="49" s="1"/>
  <c r="A276" i="49" s="1"/>
  <c r="A68" i="49"/>
  <c r="A155" i="49" s="1"/>
  <c r="A242" i="49" s="1"/>
  <c r="F80" i="49"/>
  <c r="F74" i="49"/>
  <c r="F55" i="49"/>
  <c r="F69" i="49"/>
  <c r="F75" i="49"/>
  <c r="F117" i="49"/>
  <c r="F84" i="49"/>
  <c r="F104" i="49"/>
  <c r="F112" i="49"/>
  <c r="F45" i="49"/>
  <c r="F116" i="49"/>
  <c r="F58" i="49"/>
  <c r="F113" i="49"/>
  <c r="A72" i="49"/>
  <c r="A159" i="49" s="1"/>
  <c r="A246" i="49" s="1"/>
  <c r="F59" i="49"/>
  <c r="F98" i="49"/>
  <c r="F51" i="49"/>
  <c r="F83" i="49"/>
  <c r="A105" i="49"/>
  <c r="A192" i="49" s="1"/>
  <c r="A279" i="49" s="1"/>
  <c r="F103" i="49"/>
  <c r="F88" i="49"/>
  <c r="A88" i="49"/>
  <c r="A175" i="49" s="1"/>
  <c r="A262" i="49" s="1"/>
  <c r="A39" i="49"/>
  <c r="A126" i="49" s="1"/>
  <c r="A213" i="49" s="1"/>
  <c r="F46" i="49"/>
  <c r="F54" i="49"/>
  <c r="F87" i="49"/>
  <c r="F109" i="49"/>
  <c r="A115" i="49"/>
  <c r="A202" i="49" s="1"/>
  <c r="A289" i="49" s="1"/>
  <c r="A107" i="49"/>
  <c r="A194" i="49" s="1"/>
  <c r="A281" i="49" s="1"/>
  <c r="A99" i="49"/>
  <c r="A186" i="49" s="1"/>
  <c r="A273" i="49" s="1"/>
  <c r="A78" i="49"/>
  <c r="A165" i="49" s="1"/>
  <c r="A252" i="49" s="1"/>
  <c r="A52" i="49"/>
  <c r="A139" i="49" s="1"/>
  <c r="A226" i="49" s="1"/>
  <c r="A110" i="49"/>
  <c r="A197" i="49" s="1"/>
  <c r="A284" i="49" s="1"/>
  <c r="A51" i="49"/>
  <c r="A138" i="49" s="1"/>
  <c r="A225" i="49" s="1"/>
  <c r="A89" i="49"/>
  <c r="A176" i="49" s="1"/>
  <c r="A263" i="49" s="1"/>
  <c r="A73" i="49"/>
  <c r="A160" i="49" s="1"/>
  <c r="A247" i="49" s="1"/>
  <c r="A109" i="49"/>
  <c r="A196" i="49" s="1"/>
  <c r="A283" i="49" s="1"/>
  <c r="A60" i="49"/>
  <c r="A147" i="49" s="1"/>
  <c r="A234" i="49" s="1"/>
  <c r="A44" i="49"/>
  <c r="A131" i="49" s="1"/>
  <c r="A218" i="49" s="1"/>
  <c r="A101" i="49"/>
  <c r="A188" i="49" s="1"/>
  <c r="A275" i="49" s="1"/>
  <c r="A59" i="49"/>
  <c r="A146" i="49" s="1"/>
  <c r="A233" i="49" s="1"/>
  <c r="A43" i="49"/>
  <c r="A130" i="49" s="1"/>
  <c r="A217" i="49" s="1"/>
  <c r="A118" i="49"/>
  <c r="A205" i="49" s="1"/>
  <c r="A292" i="49" s="1"/>
  <c r="A57" i="49"/>
  <c r="A144" i="49" s="1"/>
  <c r="A231" i="49" s="1"/>
  <c r="A41" i="49"/>
  <c r="A128" i="49" s="1"/>
  <c r="A215" i="49" s="1"/>
  <c r="A80" i="49"/>
  <c r="A167" i="49" s="1"/>
  <c r="A254" i="49" s="1"/>
  <c r="A117" i="49"/>
  <c r="A204" i="49" s="1"/>
  <c r="A291" i="49" s="1"/>
  <c r="A54" i="49"/>
  <c r="A141" i="49" s="1"/>
  <c r="A228" i="49" s="1"/>
  <c r="A46" i="49"/>
  <c r="A133" i="49" s="1"/>
  <c r="A220" i="49" s="1"/>
  <c r="A38" i="49"/>
  <c r="A125" i="49" s="1"/>
  <c r="A212" i="49" s="1"/>
  <c r="A83" i="49"/>
  <c r="A170" i="49" s="1"/>
  <c r="A257" i="49" s="1"/>
  <c r="A75" i="49"/>
  <c r="A162" i="49" s="1"/>
  <c r="A249" i="49" s="1"/>
  <c r="A67" i="49"/>
  <c r="A154" i="49" s="1"/>
  <c r="A241" i="49" s="1"/>
  <c r="A112" i="49"/>
  <c r="A199" i="49" s="1"/>
  <c r="A286" i="49" s="1"/>
  <c r="A104" i="49"/>
  <c r="A191" i="49" s="1"/>
  <c r="A278" i="49" s="1"/>
  <c r="A96" i="49"/>
  <c r="A183" i="49" s="1"/>
  <c r="A270" i="49" s="1"/>
  <c r="A53" i="49"/>
  <c r="A140" i="49" s="1"/>
  <c r="A227" i="49" s="1"/>
  <c r="A45" i="49"/>
  <c r="A132" i="49" s="1"/>
  <c r="A219" i="49" s="1"/>
  <c r="A37" i="49"/>
  <c r="A124" i="49" s="1"/>
  <c r="A211" i="49" s="1"/>
  <c r="A82" i="49"/>
  <c r="A169" i="49" s="1"/>
  <c r="A256" i="49" s="1"/>
  <c r="A74" i="49"/>
  <c r="A161" i="49" s="1"/>
  <c r="A248" i="49" s="1"/>
  <c r="A66" i="49"/>
  <c r="A153" i="49" s="1"/>
  <c r="A240" i="49" s="1"/>
  <c r="A111" i="49"/>
  <c r="A198" i="49" s="1"/>
  <c r="A285" i="49" s="1"/>
  <c r="A103" i="49"/>
  <c r="A190" i="49" s="1"/>
  <c r="A277" i="49" s="1"/>
  <c r="A95" i="49"/>
  <c r="A182" i="49" s="1"/>
  <c r="A269" i="49" s="1"/>
  <c r="A58" i="49"/>
  <c r="A145" i="49" s="1"/>
  <c r="A232" i="49" s="1"/>
  <c r="A50" i="49"/>
  <c r="A137" i="49" s="1"/>
  <c r="A224" i="49" s="1"/>
  <c r="A42" i="49"/>
  <c r="A129" i="49" s="1"/>
  <c r="A216" i="49" s="1"/>
  <c r="A87" i="49"/>
  <c r="A174" i="49" s="1"/>
  <c r="A261" i="49" s="1"/>
  <c r="A79" i="49"/>
  <c r="A166" i="49" s="1"/>
  <c r="A253" i="49" s="1"/>
  <c r="A71" i="49"/>
  <c r="A158" i="49" s="1"/>
  <c r="A245" i="49" s="1"/>
  <c r="A116" i="49"/>
  <c r="A203" i="49" s="1"/>
  <c r="A290" i="49" s="1"/>
  <c r="A108" i="49"/>
  <c r="A195" i="49" s="1"/>
  <c r="A282" i="49" s="1"/>
  <c r="A100" i="49"/>
  <c r="A187" i="49" s="1"/>
  <c r="A274" i="49" s="1"/>
  <c r="A56" i="49"/>
  <c r="A143" i="49" s="1"/>
  <c r="A230" i="49" s="1"/>
  <c r="A48" i="49"/>
  <c r="A135" i="49" s="1"/>
  <c r="A222" i="49" s="1"/>
  <c r="A40" i="49"/>
  <c r="A127" i="49" s="1"/>
  <c r="A214" i="49" s="1"/>
  <c r="A85" i="49"/>
  <c r="A172" i="49" s="1"/>
  <c r="A259" i="49" s="1"/>
  <c r="A77" i="49"/>
  <c r="A164" i="49" s="1"/>
  <c r="A251" i="49" s="1"/>
  <c r="A69" i="49"/>
  <c r="A156" i="49" s="1"/>
  <c r="A243" i="49" s="1"/>
  <c r="A114" i="49"/>
  <c r="A201" i="49" s="1"/>
  <c r="A288" i="49" s="1"/>
  <c r="A106" i="49"/>
  <c r="A193" i="49" s="1"/>
  <c r="A280" i="49" s="1"/>
  <c r="A98" i="49"/>
  <c r="A185" i="49" s="1"/>
  <c r="A272" i="49" s="1"/>
  <c r="F29" i="49" l="1"/>
  <c r="F22" i="49"/>
  <c r="F16" i="49"/>
  <c r="F30" i="49"/>
  <c r="F25" i="49"/>
  <c r="F17" i="49"/>
  <c r="F11" i="49"/>
  <c r="F26" i="49"/>
  <c r="A15" i="44" l="1"/>
  <c r="A6" i="44"/>
  <c r="A7" i="44"/>
  <c r="A5" i="44"/>
  <c r="A109" i="71"/>
  <c r="A120" i="71"/>
  <c r="A84" i="71"/>
  <c r="A85" i="71"/>
  <c r="A67" i="18"/>
  <c r="A50" i="71"/>
  <c r="A88" i="71"/>
  <c r="A126" i="71"/>
  <c r="A73" i="18"/>
  <c r="A74" i="18"/>
  <c r="A93" i="71"/>
  <c r="A131" i="71"/>
  <c r="A96" i="71"/>
  <c r="A134" i="71"/>
  <c r="A61" i="71"/>
  <c r="A136" i="71"/>
  <c r="A139" i="71"/>
  <c r="A104" i="71"/>
  <c r="A142" i="71"/>
  <c r="A119" i="71"/>
  <c r="A18" i="16"/>
  <c r="A9" i="16"/>
  <c r="A10" i="16"/>
  <c r="A11" i="16"/>
  <c r="A12" i="16"/>
  <c r="A13" i="16"/>
  <c r="A14" i="16"/>
  <c r="A15" i="16"/>
  <c r="A16" i="16"/>
  <c r="A8" i="16"/>
  <c r="L71" i="16" l="1"/>
  <c r="W71" i="16"/>
  <c r="L53" i="16"/>
  <c r="L33" i="16"/>
  <c r="W53" i="16"/>
  <c r="W33" i="16"/>
  <c r="L32" i="16"/>
  <c r="L70" i="16"/>
  <c r="W70" i="16"/>
  <c r="L52" i="16"/>
  <c r="W52" i="16"/>
  <c r="W32" i="16"/>
  <c r="L69" i="16"/>
  <c r="W69" i="16"/>
  <c r="L51" i="16"/>
  <c r="L31" i="16"/>
  <c r="W51" i="16"/>
  <c r="W31" i="16"/>
  <c r="L68" i="16"/>
  <c r="L30" i="16"/>
  <c r="W68" i="16"/>
  <c r="L50" i="16"/>
  <c r="W50" i="16"/>
  <c r="W30" i="16"/>
  <c r="L67" i="16"/>
  <c r="W67" i="16"/>
  <c r="L49" i="16"/>
  <c r="L29" i="16"/>
  <c r="W49" i="16"/>
  <c r="W29" i="16"/>
  <c r="W48" i="16"/>
  <c r="W28" i="16"/>
  <c r="L66" i="16"/>
  <c r="W66" i="16"/>
  <c r="L48" i="16"/>
  <c r="L28" i="16"/>
  <c r="W64" i="16"/>
  <c r="L46" i="16"/>
  <c r="L26" i="16"/>
  <c r="W46" i="16"/>
  <c r="W26" i="16"/>
  <c r="L64" i="16"/>
  <c r="L47" i="16"/>
  <c r="L27" i="16"/>
  <c r="W47" i="16"/>
  <c r="W27" i="16"/>
  <c r="L65" i="16"/>
  <c r="W65" i="16"/>
  <c r="W72" i="16"/>
  <c r="L54" i="16"/>
  <c r="L34" i="16"/>
  <c r="W54" i="16"/>
  <c r="W34" i="16"/>
  <c r="L72" i="16"/>
  <c r="A51" i="18"/>
  <c r="L56" i="16"/>
  <c r="L36" i="16"/>
  <c r="W56" i="16"/>
  <c r="W36" i="16"/>
  <c r="L74" i="16"/>
  <c r="W74" i="16"/>
  <c r="A56" i="71"/>
  <c r="A49" i="71"/>
  <c r="L14" i="75"/>
  <c r="A103" i="71"/>
  <c r="A90" i="71"/>
  <c r="A87" i="71"/>
  <c r="A133" i="71"/>
  <c r="A65" i="71"/>
  <c r="A141" i="71"/>
  <c r="A57" i="71"/>
  <c r="A102" i="71"/>
  <c r="A135" i="71"/>
  <c r="A125" i="71"/>
  <c r="A143" i="71"/>
  <c r="A86" i="71"/>
  <c r="A72" i="71"/>
  <c r="A106" i="71"/>
  <c r="A45" i="71"/>
  <c r="A54" i="71"/>
  <c r="A132" i="71"/>
  <c r="A146" i="71"/>
  <c r="A69" i="71"/>
  <c r="A53" i="71"/>
  <c r="A99" i="71"/>
  <c r="A83" i="71"/>
  <c r="A130" i="71"/>
  <c r="A66" i="18"/>
  <c r="A98" i="71"/>
  <c r="A127" i="71"/>
  <c r="A64" i="71"/>
  <c r="A48" i="71"/>
  <c r="A95" i="71"/>
  <c r="A25" i="18"/>
  <c r="A62" i="71"/>
  <c r="A46" i="71"/>
  <c r="A94" i="71"/>
  <c r="A140" i="71"/>
  <c r="A124" i="71"/>
  <c r="A82" i="71"/>
  <c r="A91" i="71"/>
  <c r="A138" i="71"/>
  <c r="A122" i="71"/>
  <c r="A64" i="18"/>
  <c r="A72" i="18"/>
  <c r="A63" i="71"/>
  <c r="A55" i="71"/>
  <c r="A47" i="71"/>
  <c r="A101" i="71"/>
  <c r="A123" i="71"/>
  <c r="A71" i="18"/>
  <c r="A137" i="71"/>
  <c r="A129" i="71"/>
  <c r="A121" i="71"/>
  <c r="A65" i="18"/>
  <c r="A68" i="71"/>
  <c r="A60" i="71"/>
  <c r="A52" i="71"/>
  <c r="A128" i="71"/>
  <c r="A100" i="71"/>
  <c r="A92" i="71"/>
  <c r="A67" i="71"/>
  <c r="A59" i="71"/>
  <c r="A51" i="71"/>
  <c r="A105" i="71"/>
  <c r="A97" i="71"/>
  <c r="A89" i="71"/>
  <c r="A66" i="71"/>
  <c r="A58" i="71"/>
  <c r="L49" i="76" l="1"/>
  <c r="L96" i="76"/>
  <c r="L23" i="76"/>
  <c r="L70" i="76"/>
  <c r="L23" i="75"/>
  <c r="A87" i="18"/>
  <c r="A96" i="18"/>
  <c r="L18" i="75"/>
  <c r="A92" i="18"/>
  <c r="L17" i="75"/>
  <c r="A93" i="18"/>
  <c r="A81" i="18"/>
  <c r="L29" i="75"/>
  <c r="A100" i="18"/>
  <c r="L10" i="75"/>
  <c r="A77" i="18"/>
  <c r="L33" i="75"/>
  <c r="A70" i="18"/>
  <c r="L40" i="75"/>
  <c r="L4" i="83" l="1"/>
  <c r="O4" i="83" s="1"/>
  <c r="R4" i="83" s="1"/>
  <c r="F4" i="83"/>
  <c r="E4" i="83"/>
  <c r="H4" i="83" l="1"/>
  <c r="AM5" i="80"/>
  <c r="Z5" i="80"/>
  <c r="K4" i="83" l="1"/>
  <c r="N4" i="83" s="1"/>
  <c r="Q4" i="83" s="1"/>
  <c r="A67" i="80" l="1"/>
  <c r="A66" i="80"/>
  <c r="A65" i="80"/>
  <c r="A64" i="80"/>
  <c r="A63" i="80"/>
  <c r="A62" i="80"/>
  <c r="A61" i="80"/>
  <c r="A59" i="80"/>
  <c r="A58" i="80"/>
  <c r="A57" i="80"/>
  <c r="A56" i="80"/>
  <c r="A55" i="80"/>
  <c r="A54" i="80"/>
  <c r="A53" i="80"/>
  <c r="A51" i="80"/>
  <c r="A50" i="80"/>
  <c r="A49" i="80"/>
  <c r="A48" i="80"/>
  <c r="A47" i="80"/>
  <c r="A46" i="80"/>
  <c r="A45" i="80"/>
  <c r="A44" i="80"/>
  <c r="A71" i="80"/>
  <c r="I41" i="80"/>
  <c r="C41" i="80"/>
  <c r="A41" i="80"/>
  <c r="N40" i="80"/>
  <c r="K40" i="80"/>
  <c r="H40" i="80"/>
  <c r="K39" i="80"/>
  <c r="A35" i="80"/>
  <c r="AT14" i="80"/>
  <c r="AT12" i="80"/>
  <c r="AT10" i="80"/>
  <c r="AT8" i="80"/>
  <c r="L5" i="80"/>
  <c r="O5" i="80" s="1"/>
  <c r="R5" i="80" s="1"/>
  <c r="F5" i="80"/>
  <c r="F41" i="80" s="1"/>
  <c r="E5" i="80"/>
  <c r="E41" i="80" s="1"/>
  <c r="H55" i="80" l="1"/>
  <c r="I63" i="80"/>
  <c r="R65" i="80"/>
  <c r="I46" i="80"/>
  <c r="I65" i="80"/>
  <c r="H65" i="80"/>
  <c r="R68" i="80"/>
  <c r="R60" i="80"/>
  <c r="R59" i="80"/>
  <c r="R52" i="80"/>
  <c r="R51" i="80"/>
  <c r="I61" i="80"/>
  <c r="I53" i="80"/>
  <c r="I45" i="80"/>
  <c r="R63" i="80"/>
  <c r="H57" i="80"/>
  <c r="H51" i="80"/>
  <c r="I47" i="80"/>
  <c r="R66" i="80"/>
  <c r="R67" i="80"/>
  <c r="R50" i="80"/>
  <c r="I62" i="80"/>
  <c r="I58" i="80"/>
  <c r="I54" i="80"/>
  <c r="H67" i="80"/>
  <c r="R61" i="80"/>
  <c r="R62" i="80"/>
  <c r="H58" i="80"/>
  <c r="I56" i="80"/>
  <c r="R55" i="80"/>
  <c r="I55" i="80"/>
  <c r="R54" i="80"/>
  <c r="R53" i="80"/>
  <c r="R47" i="80"/>
  <c r="I48" i="80"/>
  <c r="R46" i="80"/>
  <c r="I51" i="80"/>
  <c r="I59" i="80"/>
  <c r="I67" i="80"/>
  <c r="R48" i="80"/>
  <c r="R56" i="80"/>
  <c r="R64" i="80"/>
  <c r="I64" i="80"/>
  <c r="I57" i="80"/>
  <c r="I50" i="80"/>
  <c r="F64" i="80"/>
  <c r="I52" i="80"/>
  <c r="I60" i="80"/>
  <c r="I68" i="80"/>
  <c r="R49" i="80"/>
  <c r="R57" i="80"/>
  <c r="I49" i="80"/>
  <c r="H59" i="80"/>
  <c r="C61" i="80"/>
  <c r="I66" i="80"/>
  <c r="H62" i="80"/>
  <c r="R58" i="80"/>
  <c r="H49" i="80"/>
  <c r="H48" i="80"/>
  <c r="H60" i="80"/>
  <c r="H52" i="80"/>
  <c r="H68" i="80"/>
  <c r="H66" i="80"/>
  <c r="H47" i="80"/>
  <c r="H50" i="80"/>
  <c r="H56" i="80"/>
  <c r="H63" i="80"/>
  <c r="H54" i="80"/>
  <c r="H45" i="80"/>
  <c r="H53" i="80"/>
  <c r="H61" i="80"/>
  <c r="H46" i="80"/>
  <c r="H64" i="80"/>
  <c r="H5" i="80"/>
  <c r="H41" i="80" s="1"/>
  <c r="I40" i="80"/>
  <c r="A37" i="80" s="1"/>
  <c r="A52" i="80"/>
  <c r="A60" i="80"/>
  <c r="A68" i="80"/>
  <c r="I4" i="80"/>
  <c r="A1" i="80" s="1"/>
  <c r="L41" i="80"/>
  <c r="O41" i="80" s="1"/>
  <c r="R41" i="80" s="1"/>
  <c r="A37" i="79"/>
  <c r="A112" i="78"/>
  <c r="Z132" i="78"/>
  <c r="Z120" i="78"/>
  <c r="X120" i="78"/>
  <c r="M132" i="78"/>
  <c r="O126" i="78"/>
  <c r="M121" i="78"/>
  <c r="D95" i="78"/>
  <c r="E84" i="78"/>
  <c r="B126" i="78"/>
  <c r="B124" i="78"/>
  <c r="D121" i="78"/>
  <c r="Z95" i="78"/>
  <c r="Y43" i="78"/>
  <c r="A106" i="78"/>
  <c r="L106" i="78" s="1"/>
  <c r="AH106" i="78" s="1"/>
  <c r="BD106" i="78" s="1"/>
  <c r="BZ106" i="78" s="1"/>
  <c r="A142" i="78"/>
  <c r="L142" i="78" s="1"/>
  <c r="AH142" i="78" s="1"/>
  <c r="BD142" i="78" s="1"/>
  <c r="BZ142" i="78" s="1"/>
  <c r="A103" i="78"/>
  <c r="W103" i="78" s="1"/>
  <c r="AS103" i="78" s="1"/>
  <c r="BO103" i="78" s="1"/>
  <c r="CK103" i="78" s="1"/>
  <c r="A63" i="78"/>
  <c r="L63" i="78" s="1"/>
  <c r="AH63" i="78" s="1"/>
  <c r="BD63" i="78" s="1"/>
  <c r="BZ63" i="78" s="1"/>
  <c r="A98" i="78"/>
  <c r="L98" i="78" s="1"/>
  <c r="AH98" i="78" s="1"/>
  <c r="BD98" i="78" s="1"/>
  <c r="BZ98" i="78" s="1"/>
  <c r="A95" i="78"/>
  <c r="W95" i="78" s="1"/>
  <c r="AS95" i="78" s="1"/>
  <c r="BO95" i="78" s="1"/>
  <c r="CK95" i="78" s="1"/>
  <c r="A55" i="78"/>
  <c r="L55" i="78" s="1"/>
  <c r="AH55" i="78" s="1"/>
  <c r="BD55" i="78" s="1"/>
  <c r="BZ55" i="78" s="1"/>
  <c r="A90" i="78"/>
  <c r="L90" i="78" s="1"/>
  <c r="AH90" i="78" s="1"/>
  <c r="BD90" i="78" s="1"/>
  <c r="BZ90" i="78" s="1"/>
  <c r="A126" i="78"/>
  <c r="L126" i="78" s="1"/>
  <c r="AH126" i="78" s="1"/>
  <c r="BD126" i="78" s="1"/>
  <c r="BZ126" i="78" s="1"/>
  <c r="A87" i="78"/>
  <c r="W87" i="78" s="1"/>
  <c r="AS87" i="78" s="1"/>
  <c r="BO87" i="78" s="1"/>
  <c r="CK87" i="78" s="1"/>
  <c r="A47" i="78"/>
  <c r="L47" i="78" s="1"/>
  <c r="AH47" i="78" s="1"/>
  <c r="BD47" i="78" s="1"/>
  <c r="BZ47" i="78" s="1"/>
  <c r="A83" i="78"/>
  <c r="L83" i="78" s="1"/>
  <c r="AH83" i="78" s="1"/>
  <c r="BD83" i="78" s="1"/>
  <c r="BZ83" i="78" s="1"/>
  <c r="A119" i="78"/>
  <c r="L119" i="78" s="1"/>
  <c r="AH119" i="78" s="1"/>
  <c r="BD119" i="78" s="1"/>
  <c r="BZ119" i="78" s="1"/>
  <c r="W146" i="78"/>
  <c r="L146" i="78"/>
  <c r="A146" i="78"/>
  <c r="Z133" i="78"/>
  <c r="AA131" i="78"/>
  <c r="M126" i="78"/>
  <c r="O124" i="78"/>
  <c r="AA119" i="78"/>
  <c r="X119" i="78"/>
  <c r="Z117" i="78"/>
  <c r="E117" i="78"/>
  <c r="W109" i="78"/>
  <c r="L109" i="78"/>
  <c r="A109" i="78"/>
  <c r="Z96" i="78"/>
  <c r="O87" i="78"/>
  <c r="Z84" i="78"/>
  <c r="E80" i="78"/>
  <c r="W72" i="78"/>
  <c r="L72" i="78"/>
  <c r="A72" i="78"/>
  <c r="AA43" i="78"/>
  <c r="Z43" i="78"/>
  <c r="U43" i="78"/>
  <c r="U80" i="78" s="1"/>
  <c r="T43" i="78"/>
  <c r="T80" i="78" s="1"/>
  <c r="S43" i="78"/>
  <c r="S80" i="78" s="1"/>
  <c r="P43" i="78"/>
  <c r="O43" i="78"/>
  <c r="J43" i="78"/>
  <c r="J80" i="78" s="1"/>
  <c r="I43" i="78"/>
  <c r="I80" i="78" s="1"/>
  <c r="H43" i="78"/>
  <c r="H80" i="78" s="1"/>
  <c r="F43" i="78"/>
  <c r="E43" i="78"/>
  <c r="D43" i="78"/>
  <c r="U42" i="78"/>
  <c r="U79" i="78" s="1"/>
  <c r="T42" i="78"/>
  <c r="T79" i="78" s="1"/>
  <c r="S42" i="78"/>
  <c r="S79" i="78" s="1"/>
  <c r="J42" i="78"/>
  <c r="J79" i="78" s="1"/>
  <c r="I42" i="78"/>
  <c r="I79" i="78" s="1"/>
  <c r="H42" i="78"/>
  <c r="H79" i="78" s="1"/>
  <c r="H78" i="78"/>
  <c r="Z80" i="78" l="1"/>
  <c r="X87" i="78"/>
  <c r="AB43" i="78"/>
  <c r="AA96" i="78"/>
  <c r="AA117" i="78"/>
  <c r="P82" i="78"/>
  <c r="Q43" i="78"/>
  <c r="W75" i="78"/>
  <c r="AA94" i="78"/>
  <c r="AA80" i="78"/>
  <c r="AA95" i="78"/>
  <c r="P117" i="78"/>
  <c r="X43" i="78"/>
  <c r="M43" i="78"/>
  <c r="M117" i="78"/>
  <c r="X82" i="78"/>
  <c r="X117" i="78"/>
  <c r="X80" i="78"/>
  <c r="AA86" i="78"/>
  <c r="A128" i="78"/>
  <c r="L128" i="78" s="1"/>
  <c r="AH128" i="78" s="1"/>
  <c r="BD128" i="78" s="1"/>
  <c r="BZ128" i="78" s="1"/>
  <c r="A136" i="78"/>
  <c r="L136" i="78" s="1"/>
  <c r="AH136" i="78" s="1"/>
  <c r="BD136" i="78" s="1"/>
  <c r="BZ136" i="78" s="1"/>
  <c r="W119" i="78"/>
  <c r="AS119" i="78" s="1"/>
  <c r="BO119" i="78" s="1"/>
  <c r="CK119" i="78" s="1"/>
  <c r="A127" i="78"/>
  <c r="W127" i="78" s="1"/>
  <c r="AS127" i="78" s="1"/>
  <c r="BO127" i="78" s="1"/>
  <c r="CK127" i="78" s="1"/>
  <c r="A135" i="78"/>
  <c r="W135" i="78" s="1"/>
  <c r="AS135" i="78" s="1"/>
  <c r="BO135" i="78" s="1"/>
  <c r="CK135" i="78" s="1"/>
  <c r="W83" i="78"/>
  <c r="AS83" i="78" s="1"/>
  <c r="BO83" i="78" s="1"/>
  <c r="CK83" i="78" s="1"/>
  <c r="L87" i="78"/>
  <c r="AH87" i="78" s="1"/>
  <c r="BD87" i="78" s="1"/>
  <c r="BZ87" i="78" s="1"/>
  <c r="W98" i="78"/>
  <c r="AS98" i="78" s="1"/>
  <c r="BO98" i="78" s="1"/>
  <c r="CK98" i="78" s="1"/>
  <c r="A120" i="78"/>
  <c r="L120" i="78" s="1"/>
  <c r="AH120" i="78" s="1"/>
  <c r="BD120" i="78" s="1"/>
  <c r="BZ120" i="78" s="1"/>
  <c r="W106" i="78"/>
  <c r="AS106" i="78" s="1"/>
  <c r="BO106" i="78" s="1"/>
  <c r="CK106" i="78" s="1"/>
  <c r="A85" i="78"/>
  <c r="L85" i="78" s="1"/>
  <c r="AH85" i="78" s="1"/>
  <c r="BD85" i="78" s="1"/>
  <c r="BZ85" i="78" s="1"/>
  <c r="L95" i="78"/>
  <c r="AH95" i="78" s="1"/>
  <c r="BD95" i="78" s="1"/>
  <c r="BZ95" i="78" s="1"/>
  <c r="A92" i="78"/>
  <c r="L92" i="78" s="1"/>
  <c r="AH92" i="78" s="1"/>
  <c r="BD92" i="78" s="1"/>
  <c r="BZ92" i="78" s="1"/>
  <c r="A130" i="78"/>
  <c r="L103" i="78"/>
  <c r="AH103" i="78" s="1"/>
  <c r="BD103" i="78" s="1"/>
  <c r="BZ103" i="78" s="1"/>
  <c r="W90" i="78"/>
  <c r="AS90" i="78" s="1"/>
  <c r="BO90" i="78" s="1"/>
  <c r="CK90" i="78" s="1"/>
  <c r="A138" i="78"/>
  <c r="A84" i="78"/>
  <c r="L84" i="78" s="1"/>
  <c r="AH84" i="78" s="1"/>
  <c r="BD84" i="78" s="1"/>
  <c r="BZ84" i="78" s="1"/>
  <c r="W47" i="78"/>
  <c r="AS47" i="78" s="1"/>
  <c r="BO47" i="78" s="1"/>
  <c r="CK47" i="78" s="1"/>
  <c r="W55" i="78"/>
  <c r="AS55" i="78" s="1"/>
  <c r="BO55" i="78" s="1"/>
  <c r="CK55" i="78" s="1"/>
  <c r="A122" i="78"/>
  <c r="W63" i="78"/>
  <c r="AS63" i="78" s="1"/>
  <c r="BO63" i="78" s="1"/>
  <c r="CK63" i="78" s="1"/>
  <c r="A56" i="78"/>
  <c r="A143" i="78"/>
  <c r="L143" i="78" s="1"/>
  <c r="AH143" i="78" s="1"/>
  <c r="BD143" i="78" s="1"/>
  <c r="BZ143" i="78" s="1"/>
  <c r="A104" i="78"/>
  <c r="A141" i="78"/>
  <c r="A52" i="78"/>
  <c r="A60" i="78"/>
  <c r="A68" i="78"/>
  <c r="W142" i="78"/>
  <c r="AS142" i="78" s="1"/>
  <c r="BO142" i="78" s="1"/>
  <c r="CK142" i="78" s="1"/>
  <c r="A125" i="78"/>
  <c r="A96" i="78"/>
  <c r="A133" i="78"/>
  <c r="A134" i="78"/>
  <c r="W126" i="78"/>
  <c r="AS126" i="78" s="1"/>
  <c r="BO126" i="78" s="1"/>
  <c r="CK126" i="78" s="1"/>
  <c r="A48" i="78"/>
  <c r="A93" i="78"/>
  <c r="A121" i="78"/>
  <c r="A129" i="78"/>
  <c r="A137" i="78"/>
  <c r="A64" i="78"/>
  <c r="A101" i="78"/>
  <c r="A123" i="78"/>
  <c r="A131" i="78"/>
  <c r="A139" i="78"/>
  <c r="A100" i="78"/>
  <c r="A124" i="78"/>
  <c r="A132" i="78"/>
  <c r="A140" i="78"/>
  <c r="F46" i="80"/>
  <c r="F57" i="80"/>
  <c r="F61" i="80"/>
  <c r="F45" i="80"/>
  <c r="F47" i="80"/>
  <c r="F49" i="80"/>
  <c r="K61" i="80"/>
  <c r="K48" i="80"/>
  <c r="L48" i="80" s="1"/>
  <c r="K53" i="80"/>
  <c r="C59" i="80"/>
  <c r="K59" i="80"/>
  <c r="K68" i="80"/>
  <c r="K66" i="80"/>
  <c r="C45" i="80"/>
  <c r="K62" i="80"/>
  <c r="K65" i="80"/>
  <c r="C67" i="80"/>
  <c r="K56" i="80"/>
  <c r="L56" i="80" s="1"/>
  <c r="K58" i="80"/>
  <c r="N58" i="80" s="1"/>
  <c r="O58" i="80" s="1"/>
  <c r="K49" i="80"/>
  <c r="C49" i="80"/>
  <c r="K54" i="80"/>
  <c r="K55" i="80"/>
  <c r="N55" i="80" s="1"/>
  <c r="O55" i="80" s="1"/>
  <c r="K63" i="80"/>
  <c r="L63" i="80" s="1"/>
  <c r="K67" i="80"/>
  <c r="C62" i="80"/>
  <c r="K50" i="80"/>
  <c r="H71" i="80"/>
  <c r="K51" i="80"/>
  <c r="C55" i="80"/>
  <c r="C54" i="80"/>
  <c r="C63" i="80"/>
  <c r="C52" i="80"/>
  <c r="K45" i="80"/>
  <c r="K47" i="80"/>
  <c r="K57" i="80"/>
  <c r="K60" i="80"/>
  <c r="N60" i="80" s="1"/>
  <c r="O60" i="80" s="1"/>
  <c r="C68" i="80"/>
  <c r="X13" i="79"/>
  <c r="AA126" i="78"/>
  <c r="AA124" i="78"/>
  <c r="AA121" i="78"/>
  <c r="Z83" i="78"/>
  <c r="Z126" i="78"/>
  <c r="X125" i="78"/>
  <c r="X94" i="78"/>
  <c r="O95" i="78"/>
  <c r="P119" i="78"/>
  <c r="O119" i="78"/>
  <c r="M131" i="78"/>
  <c r="E131" i="78"/>
  <c r="E124" i="78"/>
  <c r="E121" i="78"/>
  <c r="E120" i="78"/>
  <c r="E132" i="78"/>
  <c r="D124" i="78"/>
  <c r="B133" i="78"/>
  <c r="B120" i="78"/>
  <c r="B131" i="78"/>
  <c r="D80" i="78"/>
  <c r="B43" i="78"/>
  <c r="B83" i="78"/>
  <c r="P96" i="78"/>
  <c r="P80" i="78"/>
  <c r="O80" i="78"/>
  <c r="O82" i="78"/>
  <c r="O117" i="78"/>
  <c r="P88" i="78"/>
  <c r="L38" i="78"/>
  <c r="M84" i="78"/>
  <c r="X22" i="79"/>
  <c r="AA132" i="78"/>
  <c r="AA84" i="78"/>
  <c r="AA120" i="78"/>
  <c r="AA83" i="78"/>
  <c r="Z121" i="78"/>
  <c r="Z88" i="78"/>
  <c r="Z125" i="78"/>
  <c r="X131" i="78"/>
  <c r="X89" i="78"/>
  <c r="X126" i="78"/>
  <c r="X83" i="78"/>
  <c r="P91" i="78"/>
  <c r="P131" i="78"/>
  <c r="O132" i="78"/>
  <c r="O131" i="78"/>
  <c r="M124" i="78"/>
  <c r="E133" i="78"/>
  <c r="E126" i="78"/>
  <c r="E125" i="78"/>
  <c r="E119" i="78"/>
  <c r="D133" i="78"/>
  <c r="E94" i="78"/>
  <c r="D125" i="78"/>
  <c r="D120" i="78"/>
  <c r="E83" i="78"/>
  <c r="D132" i="78"/>
  <c r="D131" i="78"/>
  <c r="D126" i="78"/>
  <c r="B132" i="78"/>
  <c r="B125" i="78"/>
  <c r="B87" i="78"/>
  <c r="B121" i="78"/>
  <c r="E89" i="78"/>
  <c r="D87" i="78"/>
  <c r="E95" i="78"/>
  <c r="E87" i="78"/>
  <c r="E88" i="78"/>
  <c r="E96" i="78"/>
  <c r="D89" i="78"/>
  <c r="D83" i="78"/>
  <c r="D96" i="78"/>
  <c r="D94" i="78"/>
  <c r="D84" i="78"/>
  <c r="D88" i="78"/>
  <c r="B117" i="78"/>
  <c r="B95" i="78"/>
  <c r="C43" i="78"/>
  <c r="B88" i="78"/>
  <c r="B94" i="78"/>
  <c r="B96" i="78"/>
  <c r="B89" i="78"/>
  <c r="B84" i="78"/>
  <c r="K46" i="80"/>
  <c r="K64" i="80"/>
  <c r="N64" i="80" s="1"/>
  <c r="O64" i="80" s="1"/>
  <c r="C60" i="80"/>
  <c r="F48" i="80"/>
  <c r="C66" i="80"/>
  <c r="C46" i="80"/>
  <c r="C53" i="80"/>
  <c r="F51" i="80"/>
  <c r="C71" i="80"/>
  <c r="I71" i="80"/>
  <c r="C65" i="80"/>
  <c r="C50" i="80"/>
  <c r="C58" i="80"/>
  <c r="C64" i="80"/>
  <c r="C47" i="80"/>
  <c r="K52" i="80"/>
  <c r="F66" i="80"/>
  <c r="F65" i="80"/>
  <c r="F63" i="80"/>
  <c r="F59" i="80"/>
  <c r="F68" i="80"/>
  <c r="F62" i="80"/>
  <c r="F54" i="80"/>
  <c r="F53" i="80"/>
  <c r="F71" i="80"/>
  <c r="F58" i="80"/>
  <c r="F60" i="80"/>
  <c r="F55" i="80"/>
  <c r="F67" i="80"/>
  <c r="F52" i="80"/>
  <c r="C56" i="80"/>
  <c r="F50" i="80"/>
  <c r="C51" i="80"/>
  <c r="F56" i="80"/>
  <c r="C57" i="80"/>
  <c r="C48" i="80"/>
  <c r="K5" i="80"/>
  <c r="N5" i="80" s="1"/>
  <c r="Q5" i="80" s="1"/>
  <c r="Q41" i="80" s="1"/>
  <c r="D93" i="78"/>
  <c r="M141" i="78"/>
  <c r="M134" i="78"/>
  <c r="P135" i="78"/>
  <c r="AA136" i="78"/>
  <c r="O127" i="78"/>
  <c r="M142" i="78"/>
  <c r="P130" i="78"/>
  <c r="O102" i="78"/>
  <c r="P85" i="78"/>
  <c r="O143" i="78"/>
  <c r="K41" i="80"/>
  <c r="N41" i="80" s="1"/>
  <c r="X127" i="78"/>
  <c r="X102" i="78"/>
  <c r="B102" i="78"/>
  <c r="X90" i="78"/>
  <c r="AA91" i="78"/>
  <c r="X139" i="78"/>
  <c r="O137" i="78"/>
  <c r="AA130" i="78"/>
  <c r="Z139" i="78"/>
  <c r="D129" i="78"/>
  <c r="O140" i="78"/>
  <c r="X142" i="78"/>
  <c r="D106" i="78"/>
  <c r="P122" i="78"/>
  <c r="O106" i="78"/>
  <c r="X136" i="78"/>
  <c r="AA140" i="78"/>
  <c r="X101" i="78"/>
  <c r="P123" i="78"/>
  <c r="O103" i="78"/>
  <c r="B123" i="78"/>
  <c r="B127" i="78"/>
  <c r="B135" i="78"/>
  <c r="B139" i="78"/>
  <c r="E130" i="78"/>
  <c r="E134" i="78"/>
  <c r="E142" i="78"/>
  <c r="M139" i="78"/>
  <c r="B91" i="78"/>
  <c r="F55" i="78"/>
  <c r="X128" i="78"/>
  <c r="D90" i="78"/>
  <c r="B92" i="78"/>
  <c r="B100" i="78"/>
  <c r="E91" i="78"/>
  <c r="E103" i="78"/>
  <c r="M140" i="78"/>
  <c r="O86" i="78"/>
  <c r="P138" i="78"/>
  <c r="AA99" i="78"/>
  <c r="X106" i="78"/>
  <c r="Z97" i="78"/>
  <c r="B97" i="78"/>
  <c r="B138" i="78"/>
  <c r="E141" i="78"/>
  <c r="B86" i="78"/>
  <c r="B90" i="78"/>
  <c r="B98" i="78"/>
  <c r="E93" i="78"/>
  <c r="E101" i="78"/>
  <c r="E105" i="78"/>
  <c r="X28" i="79"/>
  <c r="D91" i="78"/>
  <c r="E140" i="78"/>
  <c r="P106" i="78"/>
  <c r="P143" i="78"/>
  <c r="D128" i="78"/>
  <c r="E128" i="78"/>
  <c r="X98" i="78"/>
  <c r="X135" i="78"/>
  <c r="Z102" i="78"/>
  <c r="X105" i="78"/>
  <c r="AA143" i="78"/>
  <c r="O90" i="78"/>
  <c r="O130" i="78"/>
  <c r="P93" i="78"/>
  <c r="Z103" i="78"/>
  <c r="B129" i="78"/>
  <c r="B137" i="78"/>
  <c r="B104" i="78"/>
  <c r="X86" i="78"/>
  <c r="AA127" i="78"/>
  <c r="X138" i="78"/>
  <c r="AA139" i="78"/>
  <c r="B85" i="78"/>
  <c r="B101" i="78"/>
  <c r="E92" i="78"/>
  <c r="D141" i="78"/>
  <c r="O138" i="78"/>
  <c r="M104" i="78"/>
  <c r="M122" i="78"/>
  <c r="O134" i="78"/>
  <c r="M137" i="78"/>
  <c r="D136" i="78"/>
  <c r="E122" i="78"/>
  <c r="B141" i="78"/>
  <c r="Z99" i="78"/>
  <c r="AA142" i="78"/>
  <c r="B103" i="78"/>
  <c r="E90" i="78"/>
  <c r="X18" i="79"/>
  <c r="O28" i="79"/>
  <c r="D85" i="78"/>
  <c r="D139" i="78"/>
  <c r="E102" i="78"/>
  <c r="D100" i="78"/>
  <c r="P101" i="78"/>
  <c r="X85" i="78"/>
  <c r="X122" i="78"/>
  <c r="D86" i="78"/>
  <c r="D101" i="78"/>
  <c r="B128" i="78"/>
  <c r="B136" i="78"/>
  <c r="E123" i="78"/>
  <c r="E127" i="78"/>
  <c r="E139" i="78"/>
  <c r="E143" i="78"/>
  <c r="D104" i="78"/>
  <c r="D127" i="78"/>
  <c r="O85" i="78"/>
  <c r="D123" i="78"/>
  <c r="D135" i="78"/>
  <c r="E98" i="78"/>
  <c r="E106" i="78"/>
  <c r="D143" i="78"/>
  <c r="E104" i="78"/>
  <c r="D98" i="78"/>
  <c r="D92" i="78"/>
  <c r="D105" i="78"/>
  <c r="M129" i="78"/>
  <c r="M92" i="78"/>
  <c r="Z140" i="78"/>
  <c r="AA103" i="78"/>
  <c r="E135" i="78"/>
  <c r="B140" i="78"/>
  <c r="B105" i="78"/>
  <c r="E100" i="78"/>
  <c r="D137" i="78"/>
  <c r="M100" i="78"/>
  <c r="Z104" i="78"/>
  <c r="B130" i="78"/>
  <c r="B134" i="78"/>
  <c r="B142" i="78"/>
  <c r="E129" i="78"/>
  <c r="E137" i="78"/>
  <c r="E86" i="78"/>
  <c r="B93" i="78"/>
  <c r="B99" i="78"/>
  <c r="D102" i="78"/>
  <c r="B122" i="78"/>
  <c r="M123" i="78"/>
  <c r="P127" i="78"/>
  <c r="O135" i="78"/>
  <c r="M29" i="79"/>
  <c r="D142" i="78"/>
  <c r="D122" i="78"/>
  <c r="D130" i="78"/>
  <c r="D134" i="78"/>
  <c r="D97" i="78"/>
  <c r="D99" i="78"/>
  <c r="B106" i="78"/>
  <c r="D138" i="78"/>
  <c r="O142" i="78"/>
  <c r="P102" i="78"/>
  <c r="Z136" i="78"/>
  <c r="D60" i="78"/>
  <c r="D140" i="78"/>
  <c r="C66" i="78"/>
  <c r="B143" i="78"/>
  <c r="E138" i="78"/>
  <c r="E85" i="78"/>
  <c r="E97" i="78"/>
  <c r="E99" i="78"/>
  <c r="E136" i="78"/>
  <c r="AA123" i="78"/>
  <c r="AA129" i="78"/>
  <c r="Z91" i="78"/>
  <c r="X93" i="78"/>
  <c r="Z141" i="78"/>
  <c r="X143" i="78"/>
  <c r="N50" i="78"/>
  <c r="AA134" i="78"/>
  <c r="AA137" i="78"/>
  <c r="M136" i="78"/>
  <c r="P99" i="78"/>
  <c r="P104" i="78"/>
  <c r="AA92" i="78"/>
  <c r="X134" i="78"/>
  <c r="AA105" i="78"/>
  <c r="D103" i="78"/>
  <c r="Z129" i="78"/>
  <c r="Z92" i="78"/>
  <c r="X91" i="78"/>
  <c r="Z128" i="78"/>
  <c r="X130" i="78"/>
  <c r="Z123" i="78"/>
  <c r="X123" i="78"/>
  <c r="AA128" i="78"/>
  <c r="Z137" i="78"/>
  <c r="AA102" i="78"/>
  <c r="Z82" i="78"/>
  <c r="Z57" i="78"/>
  <c r="X121" i="78"/>
  <c r="X84" i="78"/>
  <c r="AA85" i="78"/>
  <c r="Z85" i="78"/>
  <c r="Z122" i="78"/>
  <c r="X124" i="78"/>
  <c r="AA88" i="78"/>
  <c r="AA125" i="78"/>
  <c r="Z90" i="78"/>
  <c r="X92" i="78"/>
  <c r="Z130" i="78"/>
  <c r="AA93" i="78"/>
  <c r="Z93" i="78"/>
  <c r="X95" i="78"/>
  <c r="X132" i="78"/>
  <c r="AA133" i="78"/>
  <c r="Z98" i="78"/>
  <c r="X100" i="78"/>
  <c r="Z138" i="78"/>
  <c r="AA101" i="78"/>
  <c r="Z101" i="78"/>
  <c r="X140" i="78"/>
  <c r="X103" i="78"/>
  <c r="AA141" i="78"/>
  <c r="AA104" i="78"/>
  <c r="Z106" i="78"/>
  <c r="Z119" i="78"/>
  <c r="Z127" i="78"/>
  <c r="X129" i="78"/>
  <c r="Z135" i="78"/>
  <c r="Z87" i="78"/>
  <c r="X97" i="78"/>
  <c r="AA122" i="78"/>
  <c r="Z86" i="78"/>
  <c r="AA87" i="78"/>
  <c r="Z94" i="78"/>
  <c r="AA98" i="78"/>
  <c r="X104" i="78"/>
  <c r="Z105" i="78"/>
  <c r="X141" i="78"/>
  <c r="Z142" i="78"/>
  <c r="Z143" i="78"/>
  <c r="AA106" i="78"/>
  <c r="Z124" i="78"/>
  <c r="X137" i="78"/>
  <c r="AA82" i="78"/>
  <c r="X96" i="78"/>
  <c r="AA97" i="78"/>
  <c r="X99" i="78"/>
  <c r="Z131" i="78"/>
  <c r="Z134" i="78"/>
  <c r="AA135" i="78"/>
  <c r="AA138" i="78"/>
  <c r="X88" i="78"/>
  <c r="Z89" i="78"/>
  <c r="AA90" i="78"/>
  <c r="Z100" i="78"/>
  <c r="X133" i="78"/>
  <c r="AA89" i="78"/>
  <c r="AA100" i="78"/>
  <c r="O101" i="78"/>
  <c r="O122" i="78"/>
  <c r="O98" i="78"/>
  <c r="P90" i="78"/>
  <c r="P98" i="78"/>
  <c r="P139" i="78"/>
  <c r="Q62" i="78"/>
  <c r="M135" i="78"/>
  <c r="O120" i="78"/>
  <c r="M101" i="78"/>
  <c r="O91" i="78"/>
  <c r="O104" i="78"/>
  <c r="P86" i="78"/>
  <c r="P84" i="78"/>
  <c r="M88" i="78"/>
  <c r="P92" i="78"/>
  <c r="M69" i="78"/>
  <c r="M82" i="78"/>
  <c r="M130" i="78"/>
  <c r="O88" i="78"/>
  <c r="M119" i="78"/>
  <c r="O83" i="78"/>
  <c r="M125" i="78"/>
  <c r="P126" i="78"/>
  <c r="P94" i="78"/>
  <c r="P134" i="78"/>
  <c r="O99" i="78"/>
  <c r="P142" i="78"/>
  <c r="O125" i="78"/>
  <c r="O133" i="78"/>
  <c r="O141" i="78"/>
  <c r="O93" i="78"/>
  <c r="P125" i="78"/>
  <c r="P133" i="78"/>
  <c r="P141" i="78"/>
  <c r="D117" i="78"/>
  <c r="S78" i="78"/>
  <c r="H41" i="78"/>
  <c r="B80" i="78"/>
  <c r="S41" i="78"/>
  <c r="D82" i="78"/>
  <c r="E82" i="78"/>
  <c r="D119" i="78"/>
  <c r="M83" i="78"/>
  <c r="O89" i="78"/>
  <c r="P95" i="78"/>
  <c r="M99" i="78"/>
  <c r="O105" i="78"/>
  <c r="M138" i="78"/>
  <c r="O84" i="78"/>
  <c r="P89" i="78"/>
  <c r="O94" i="78"/>
  <c r="M98" i="78"/>
  <c r="O100" i="78"/>
  <c r="P105" i="78"/>
  <c r="O123" i="78"/>
  <c r="P124" i="78"/>
  <c r="P132" i="78"/>
  <c r="O139" i="78"/>
  <c r="P140" i="78"/>
  <c r="M120" i="78"/>
  <c r="P83" i="78"/>
  <c r="O121" i="78"/>
  <c r="P87" i="78"/>
  <c r="M91" i="78"/>
  <c r="M96" i="78"/>
  <c r="O97" i="78"/>
  <c r="P103" i="78"/>
  <c r="P121" i="78"/>
  <c r="O128" i="78"/>
  <c r="P129" i="78"/>
  <c r="O136" i="78"/>
  <c r="P137" i="78"/>
  <c r="M128" i="78"/>
  <c r="O129" i="78"/>
  <c r="M143" i="78"/>
  <c r="M90" i="78"/>
  <c r="O92" i="78"/>
  <c r="P97" i="78"/>
  <c r="M106" i="78"/>
  <c r="P120" i="78"/>
  <c r="P128" i="78"/>
  <c r="M133" i="78"/>
  <c r="P136" i="78"/>
  <c r="P100" i="78"/>
  <c r="M127" i="78"/>
  <c r="O96" i="78"/>
  <c r="M80" i="78"/>
  <c r="M89" i="78"/>
  <c r="M97" i="78"/>
  <c r="M105" i="78"/>
  <c r="N43" i="78"/>
  <c r="M87" i="78"/>
  <c r="M95" i="78"/>
  <c r="M103" i="78"/>
  <c r="M86" i="78"/>
  <c r="M94" i="78"/>
  <c r="M102" i="78"/>
  <c r="M85" i="78"/>
  <c r="M93" i="78"/>
  <c r="A49" i="78"/>
  <c r="A65" i="78"/>
  <c r="A50" i="78"/>
  <c r="A58" i="78"/>
  <c r="A66" i="78"/>
  <c r="A86" i="78"/>
  <c r="A94" i="78"/>
  <c r="A102" i="78"/>
  <c r="A45" i="78"/>
  <c r="A53" i="78"/>
  <c r="A61" i="78"/>
  <c r="A69" i="78"/>
  <c r="A89" i="78"/>
  <c r="A97" i="78"/>
  <c r="A105" i="78"/>
  <c r="A46" i="78"/>
  <c r="A54" i="78"/>
  <c r="A62" i="78"/>
  <c r="A82" i="78"/>
  <c r="A57" i="78"/>
  <c r="A51" i="78"/>
  <c r="A59" i="78"/>
  <c r="A67" i="78"/>
  <c r="A88" i="78"/>
  <c r="A91" i="78"/>
  <c r="A99" i="78"/>
  <c r="A75" i="78"/>
  <c r="A38" i="78"/>
  <c r="L127" i="78" l="1"/>
  <c r="AH127" i="78" s="1"/>
  <c r="BD127" i="78" s="1"/>
  <c r="BZ127" i="78" s="1"/>
  <c r="W85" i="78"/>
  <c r="AS85" i="78" s="1"/>
  <c r="BO85" i="78" s="1"/>
  <c r="CK85" i="78" s="1"/>
  <c r="W112" i="78"/>
  <c r="W38" i="78"/>
  <c r="W136" i="78"/>
  <c r="AS136" i="78" s="1"/>
  <c r="BO136" i="78" s="1"/>
  <c r="CK136" i="78" s="1"/>
  <c r="W128" i="78"/>
  <c r="AS128" i="78" s="1"/>
  <c r="BO128" i="78" s="1"/>
  <c r="CK128" i="78" s="1"/>
  <c r="W120" i="78"/>
  <c r="AS120" i="78" s="1"/>
  <c r="BO120" i="78" s="1"/>
  <c r="CK120" i="78" s="1"/>
  <c r="W84" i="78"/>
  <c r="AS84" i="78" s="1"/>
  <c r="BO84" i="78" s="1"/>
  <c r="CK84" i="78" s="1"/>
  <c r="L135" i="78"/>
  <c r="AH135" i="78" s="1"/>
  <c r="BD135" i="78" s="1"/>
  <c r="BZ135" i="78" s="1"/>
  <c r="W143" i="78"/>
  <c r="AS143" i="78" s="1"/>
  <c r="BO143" i="78" s="1"/>
  <c r="CK143" i="78" s="1"/>
  <c r="W138" i="78"/>
  <c r="AS138" i="78" s="1"/>
  <c r="BO138" i="78" s="1"/>
  <c r="CK138" i="78" s="1"/>
  <c r="L138" i="78"/>
  <c r="AH138" i="78" s="1"/>
  <c r="BD138" i="78" s="1"/>
  <c r="BZ138" i="78" s="1"/>
  <c r="W122" i="78"/>
  <c r="AS122" i="78" s="1"/>
  <c r="BO122" i="78" s="1"/>
  <c r="CK122" i="78" s="1"/>
  <c r="L122" i="78"/>
  <c r="AH122" i="78" s="1"/>
  <c r="BD122" i="78" s="1"/>
  <c r="BZ122" i="78" s="1"/>
  <c r="W92" i="78"/>
  <c r="AS92" i="78" s="1"/>
  <c r="BO92" i="78" s="1"/>
  <c r="CK92" i="78" s="1"/>
  <c r="W130" i="78"/>
  <c r="AS130" i="78" s="1"/>
  <c r="BO130" i="78" s="1"/>
  <c r="CK130" i="78" s="1"/>
  <c r="L130" i="78"/>
  <c r="AH130" i="78" s="1"/>
  <c r="BD130" i="78" s="1"/>
  <c r="BZ130" i="78" s="1"/>
  <c r="L56" i="78"/>
  <c r="AH56" i="78" s="1"/>
  <c r="BD56" i="78" s="1"/>
  <c r="BZ56" i="78" s="1"/>
  <c r="W56" i="78"/>
  <c r="AS56" i="78" s="1"/>
  <c r="BO56" i="78" s="1"/>
  <c r="CK56" i="78" s="1"/>
  <c r="L82" i="78"/>
  <c r="AH82" i="78" s="1"/>
  <c r="BD82" i="78" s="1"/>
  <c r="BZ82" i="78" s="1"/>
  <c r="W82" i="78"/>
  <c r="AS82" i="78" s="1"/>
  <c r="BO82" i="78" s="1"/>
  <c r="CK82" i="78" s="1"/>
  <c r="W50" i="78"/>
  <c r="AS50" i="78" s="1"/>
  <c r="BO50" i="78" s="1"/>
  <c r="CK50" i="78" s="1"/>
  <c r="L50" i="78"/>
  <c r="AH50" i="78" s="1"/>
  <c r="BD50" i="78" s="1"/>
  <c r="BZ50" i="78" s="1"/>
  <c r="L64" i="78"/>
  <c r="AH64" i="78" s="1"/>
  <c r="BD64" i="78" s="1"/>
  <c r="BZ64" i="78" s="1"/>
  <c r="W64" i="78"/>
  <c r="AS64" i="78" s="1"/>
  <c r="BO64" i="78" s="1"/>
  <c r="CK64" i="78" s="1"/>
  <c r="L129" i="78"/>
  <c r="AH129" i="78" s="1"/>
  <c r="BD129" i="78" s="1"/>
  <c r="BZ129" i="78" s="1"/>
  <c r="W129" i="78"/>
  <c r="AS129" i="78" s="1"/>
  <c r="BO129" i="78" s="1"/>
  <c r="CK129" i="78" s="1"/>
  <c r="L52" i="78"/>
  <c r="AH52" i="78" s="1"/>
  <c r="BD52" i="78" s="1"/>
  <c r="BZ52" i="78" s="1"/>
  <c r="W52" i="78"/>
  <c r="AS52" i="78" s="1"/>
  <c r="BO52" i="78" s="1"/>
  <c r="CK52" i="78" s="1"/>
  <c r="L88" i="78"/>
  <c r="AH88" i="78" s="1"/>
  <c r="BD88" i="78" s="1"/>
  <c r="BZ88" i="78" s="1"/>
  <c r="W88" i="78"/>
  <c r="AS88" i="78" s="1"/>
  <c r="BO88" i="78" s="1"/>
  <c r="CK88" i="78" s="1"/>
  <c r="W89" i="78"/>
  <c r="AS89" i="78" s="1"/>
  <c r="BO89" i="78" s="1"/>
  <c r="CK89" i="78" s="1"/>
  <c r="L89" i="78"/>
  <c r="AH89" i="78" s="1"/>
  <c r="BD89" i="78" s="1"/>
  <c r="BZ89" i="78" s="1"/>
  <c r="W102" i="78"/>
  <c r="AS102" i="78" s="1"/>
  <c r="BO102" i="78" s="1"/>
  <c r="CK102" i="78" s="1"/>
  <c r="L102" i="78"/>
  <c r="AH102" i="78" s="1"/>
  <c r="BD102" i="78" s="1"/>
  <c r="BZ102" i="78" s="1"/>
  <c r="L121" i="78"/>
  <c r="AH121" i="78" s="1"/>
  <c r="BD121" i="78" s="1"/>
  <c r="BZ121" i="78" s="1"/>
  <c r="W121" i="78"/>
  <c r="AS121" i="78" s="1"/>
  <c r="BO121" i="78" s="1"/>
  <c r="CK121" i="78" s="1"/>
  <c r="W125" i="78"/>
  <c r="AS125" i="78" s="1"/>
  <c r="BO125" i="78" s="1"/>
  <c r="CK125" i="78" s="1"/>
  <c r="L125" i="78"/>
  <c r="AH125" i="78" s="1"/>
  <c r="BD125" i="78" s="1"/>
  <c r="BZ125" i="78" s="1"/>
  <c r="L57" i="78"/>
  <c r="AH57" i="78" s="1"/>
  <c r="BD57" i="78" s="1"/>
  <c r="BZ57" i="78" s="1"/>
  <c r="W57" i="78"/>
  <c r="AS57" i="78" s="1"/>
  <c r="BO57" i="78" s="1"/>
  <c r="CK57" i="78" s="1"/>
  <c r="W132" i="78"/>
  <c r="AS132" i="78" s="1"/>
  <c r="BO132" i="78" s="1"/>
  <c r="CK132" i="78" s="1"/>
  <c r="L132" i="78"/>
  <c r="AH132" i="78" s="1"/>
  <c r="BD132" i="78" s="1"/>
  <c r="BZ132" i="78" s="1"/>
  <c r="L99" i="78"/>
  <c r="AH99" i="78" s="1"/>
  <c r="BD99" i="78" s="1"/>
  <c r="BZ99" i="78" s="1"/>
  <c r="W99" i="78"/>
  <c r="AS99" i="78" s="1"/>
  <c r="BO99" i="78" s="1"/>
  <c r="CK99" i="78" s="1"/>
  <c r="W58" i="78"/>
  <c r="AS58" i="78" s="1"/>
  <c r="BO58" i="78" s="1"/>
  <c r="CK58" i="78" s="1"/>
  <c r="L58" i="78"/>
  <c r="AH58" i="78" s="1"/>
  <c r="BD58" i="78" s="1"/>
  <c r="BZ58" i="78" s="1"/>
  <c r="L101" i="78"/>
  <c r="AH101" i="78" s="1"/>
  <c r="BD101" i="78" s="1"/>
  <c r="BZ101" i="78" s="1"/>
  <c r="W101" i="78"/>
  <c r="AS101" i="78" s="1"/>
  <c r="BO101" i="78" s="1"/>
  <c r="CK101" i="78" s="1"/>
  <c r="L91" i="78"/>
  <c r="AH91" i="78" s="1"/>
  <c r="BD91" i="78" s="1"/>
  <c r="BZ91" i="78" s="1"/>
  <c r="W91" i="78"/>
  <c r="AS91" i="78" s="1"/>
  <c r="BO91" i="78" s="1"/>
  <c r="CK91" i="78" s="1"/>
  <c r="L62" i="78"/>
  <c r="AH62" i="78" s="1"/>
  <c r="BD62" i="78" s="1"/>
  <c r="BZ62" i="78" s="1"/>
  <c r="W62" i="78"/>
  <c r="AS62" i="78" s="1"/>
  <c r="BO62" i="78" s="1"/>
  <c r="CK62" i="78" s="1"/>
  <c r="W94" i="78"/>
  <c r="AS94" i="78" s="1"/>
  <c r="BO94" i="78" s="1"/>
  <c r="CK94" i="78" s="1"/>
  <c r="L94" i="78"/>
  <c r="AH94" i="78" s="1"/>
  <c r="BD94" i="78" s="1"/>
  <c r="BZ94" i="78" s="1"/>
  <c r="L93" i="78"/>
  <c r="AH93" i="78" s="1"/>
  <c r="BD93" i="78" s="1"/>
  <c r="BZ93" i="78" s="1"/>
  <c r="W93" i="78"/>
  <c r="AS93" i="78" s="1"/>
  <c r="BO93" i="78" s="1"/>
  <c r="CK93" i="78" s="1"/>
  <c r="L67" i="78"/>
  <c r="AH67" i="78" s="1"/>
  <c r="BD67" i="78" s="1"/>
  <c r="BZ67" i="78" s="1"/>
  <c r="W67" i="78"/>
  <c r="AS67" i="78" s="1"/>
  <c r="BO67" i="78" s="1"/>
  <c r="CK67" i="78" s="1"/>
  <c r="L54" i="78"/>
  <c r="AH54" i="78" s="1"/>
  <c r="BD54" i="78" s="1"/>
  <c r="BZ54" i="78" s="1"/>
  <c r="W54" i="78"/>
  <c r="AS54" i="78" s="1"/>
  <c r="BO54" i="78" s="1"/>
  <c r="CK54" i="78" s="1"/>
  <c r="W86" i="78"/>
  <c r="AS86" i="78" s="1"/>
  <c r="BO86" i="78" s="1"/>
  <c r="CK86" i="78" s="1"/>
  <c r="L86" i="78"/>
  <c r="AH86" i="78" s="1"/>
  <c r="BD86" i="78" s="1"/>
  <c r="BZ86" i="78" s="1"/>
  <c r="L65" i="78"/>
  <c r="AH65" i="78" s="1"/>
  <c r="BD65" i="78" s="1"/>
  <c r="BZ65" i="78" s="1"/>
  <c r="W65" i="78"/>
  <c r="AS65" i="78" s="1"/>
  <c r="BO65" i="78" s="1"/>
  <c r="CK65" i="78" s="1"/>
  <c r="L48" i="78"/>
  <c r="AH48" i="78" s="1"/>
  <c r="BD48" i="78" s="1"/>
  <c r="BZ48" i="78" s="1"/>
  <c r="W48" i="78"/>
  <c r="AS48" i="78" s="1"/>
  <c r="BO48" i="78" s="1"/>
  <c r="CK48" i="78" s="1"/>
  <c r="W96" i="78"/>
  <c r="AS96" i="78" s="1"/>
  <c r="BO96" i="78" s="1"/>
  <c r="CK96" i="78" s="1"/>
  <c r="L96" i="78"/>
  <c r="AH96" i="78" s="1"/>
  <c r="BD96" i="78" s="1"/>
  <c r="BZ96" i="78" s="1"/>
  <c r="W66" i="78"/>
  <c r="AS66" i="78" s="1"/>
  <c r="BO66" i="78" s="1"/>
  <c r="CK66" i="78" s="1"/>
  <c r="L66" i="78"/>
  <c r="AH66" i="78" s="1"/>
  <c r="BD66" i="78" s="1"/>
  <c r="BZ66" i="78" s="1"/>
  <c r="L123" i="78"/>
  <c r="AH123" i="78" s="1"/>
  <c r="BD123" i="78" s="1"/>
  <c r="BZ123" i="78" s="1"/>
  <c r="W123" i="78"/>
  <c r="AS123" i="78" s="1"/>
  <c r="BO123" i="78" s="1"/>
  <c r="CK123" i="78" s="1"/>
  <c r="W60" i="78"/>
  <c r="AS60" i="78" s="1"/>
  <c r="BO60" i="78" s="1"/>
  <c r="CK60" i="78" s="1"/>
  <c r="L60" i="78"/>
  <c r="AH60" i="78" s="1"/>
  <c r="BD60" i="78" s="1"/>
  <c r="BZ60" i="78" s="1"/>
  <c r="W105" i="78"/>
  <c r="AS105" i="78" s="1"/>
  <c r="BO105" i="78" s="1"/>
  <c r="CK105" i="78" s="1"/>
  <c r="L105" i="78"/>
  <c r="AH105" i="78" s="1"/>
  <c r="BD105" i="78" s="1"/>
  <c r="BZ105" i="78" s="1"/>
  <c r="L137" i="78"/>
  <c r="AH137" i="78" s="1"/>
  <c r="BD137" i="78" s="1"/>
  <c r="BZ137" i="78" s="1"/>
  <c r="W137" i="78"/>
  <c r="AS137" i="78" s="1"/>
  <c r="BO137" i="78" s="1"/>
  <c r="CK137" i="78" s="1"/>
  <c r="W97" i="78"/>
  <c r="AS97" i="78" s="1"/>
  <c r="BO97" i="78" s="1"/>
  <c r="CK97" i="78" s="1"/>
  <c r="L97" i="78"/>
  <c r="AH97" i="78" s="1"/>
  <c r="BD97" i="78" s="1"/>
  <c r="BZ97" i="78" s="1"/>
  <c r="W133" i="78"/>
  <c r="AS133" i="78" s="1"/>
  <c r="BO133" i="78" s="1"/>
  <c r="CK133" i="78" s="1"/>
  <c r="L133" i="78"/>
  <c r="AH133" i="78" s="1"/>
  <c r="BD133" i="78" s="1"/>
  <c r="BZ133" i="78" s="1"/>
  <c r="W59" i="78"/>
  <c r="AS59" i="78" s="1"/>
  <c r="BO59" i="78" s="1"/>
  <c r="CK59" i="78" s="1"/>
  <c r="L59" i="78"/>
  <c r="AH59" i="78" s="1"/>
  <c r="BD59" i="78" s="1"/>
  <c r="BZ59" i="78" s="1"/>
  <c r="L46" i="78"/>
  <c r="AH46" i="78" s="1"/>
  <c r="BD46" i="78" s="1"/>
  <c r="BZ46" i="78" s="1"/>
  <c r="W46" i="78"/>
  <c r="AS46" i="78" s="1"/>
  <c r="BO46" i="78" s="1"/>
  <c r="CK46" i="78" s="1"/>
  <c r="W69" i="78"/>
  <c r="AS69" i="78" s="1"/>
  <c r="BO69" i="78" s="1"/>
  <c r="CK69" i="78" s="1"/>
  <c r="L69" i="78"/>
  <c r="AH69" i="78" s="1"/>
  <c r="BD69" i="78" s="1"/>
  <c r="BZ69" i="78" s="1"/>
  <c r="L49" i="78"/>
  <c r="AH49" i="78" s="1"/>
  <c r="BD49" i="78" s="1"/>
  <c r="BZ49" i="78" s="1"/>
  <c r="W49" i="78"/>
  <c r="AS49" i="78" s="1"/>
  <c r="BO49" i="78" s="1"/>
  <c r="CK49" i="78" s="1"/>
  <c r="L100" i="78"/>
  <c r="AH100" i="78" s="1"/>
  <c r="BD100" i="78" s="1"/>
  <c r="BZ100" i="78" s="1"/>
  <c r="W100" i="78"/>
  <c r="AS100" i="78" s="1"/>
  <c r="BO100" i="78" s="1"/>
  <c r="CK100" i="78" s="1"/>
  <c r="W139" i="78"/>
  <c r="AS139" i="78" s="1"/>
  <c r="BO139" i="78" s="1"/>
  <c r="CK139" i="78" s="1"/>
  <c r="L139" i="78"/>
  <c r="AH139" i="78" s="1"/>
  <c r="BD139" i="78" s="1"/>
  <c r="BZ139" i="78" s="1"/>
  <c r="L68" i="78"/>
  <c r="AH68" i="78" s="1"/>
  <c r="BD68" i="78" s="1"/>
  <c r="BZ68" i="78" s="1"/>
  <c r="W68" i="78"/>
  <c r="AS68" i="78" s="1"/>
  <c r="BO68" i="78" s="1"/>
  <c r="CK68" i="78" s="1"/>
  <c r="W141" i="78"/>
  <c r="AS141" i="78" s="1"/>
  <c r="BO141" i="78" s="1"/>
  <c r="CK141" i="78" s="1"/>
  <c r="L141" i="78"/>
  <c r="AH141" i="78" s="1"/>
  <c r="BD141" i="78" s="1"/>
  <c r="BZ141" i="78" s="1"/>
  <c r="W53" i="78"/>
  <c r="AS53" i="78" s="1"/>
  <c r="BO53" i="78" s="1"/>
  <c r="CK53" i="78" s="1"/>
  <c r="L53" i="78"/>
  <c r="AH53" i="78" s="1"/>
  <c r="BD53" i="78" s="1"/>
  <c r="BZ53" i="78" s="1"/>
  <c r="L134" i="78"/>
  <c r="AH134" i="78" s="1"/>
  <c r="BD134" i="78" s="1"/>
  <c r="BZ134" i="78" s="1"/>
  <c r="W134" i="78"/>
  <c r="AS134" i="78" s="1"/>
  <c r="BO134" i="78" s="1"/>
  <c r="CK134" i="78" s="1"/>
  <c r="W45" i="78"/>
  <c r="AS45" i="78" s="1"/>
  <c r="BO45" i="78" s="1"/>
  <c r="CK45" i="78" s="1"/>
  <c r="L45" i="78"/>
  <c r="AH45" i="78" s="1"/>
  <c r="BD45" i="78" s="1"/>
  <c r="BZ45" i="78" s="1"/>
  <c r="L124" i="78"/>
  <c r="AH124" i="78" s="1"/>
  <c r="BD124" i="78" s="1"/>
  <c r="BZ124" i="78" s="1"/>
  <c r="W124" i="78"/>
  <c r="AS124" i="78" s="1"/>
  <c r="BO124" i="78" s="1"/>
  <c r="CK124" i="78" s="1"/>
  <c r="W51" i="78"/>
  <c r="AS51" i="78" s="1"/>
  <c r="BO51" i="78" s="1"/>
  <c r="CK51" i="78" s="1"/>
  <c r="L51" i="78"/>
  <c r="AH51" i="78" s="1"/>
  <c r="BD51" i="78" s="1"/>
  <c r="BZ51" i="78" s="1"/>
  <c r="W61" i="78"/>
  <c r="AS61" i="78" s="1"/>
  <c r="BO61" i="78" s="1"/>
  <c r="CK61" i="78" s="1"/>
  <c r="L61" i="78"/>
  <c r="AH61" i="78" s="1"/>
  <c r="BD61" i="78" s="1"/>
  <c r="BZ61" i="78" s="1"/>
  <c r="L140" i="78"/>
  <c r="AH140" i="78" s="1"/>
  <c r="BD140" i="78" s="1"/>
  <c r="BZ140" i="78" s="1"/>
  <c r="W140" i="78"/>
  <c r="AS140" i="78" s="1"/>
  <c r="BO140" i="78" s="1"/>
  <c r="CK140" i="78" s="1"/>
  <c r="W131" i="78"/>
  <c r="AS131" i="78" s="1"/>
  <c r="BO131" i="78" s="1"/>
  <c r="CK131" i="78" s="1"/>
  <c r="L131" i="78"/>
  <c r="AH131" i="78" s="1"/>
  <c r="BD131" i="78" s="1"/>
  <c r="BZ131" i="78" s="1"/>
  <c r="L104" i="78"/>
  <c r="AH104" i="78" s="1"/>
  <c r="BD104" i="78" s="1"/>
  <c r="BZ104" i="78" s="1"/>
  <c r="W104" i="78"/>
  <c r="AS104" i="78" s="1"/>
  <c r="BO104" i="78" s="1"/>
  <c r="CK104" i="78" s="1"/>
  <c r="L66" i="80"/>
  <c r="N62" i="80"/>
  <c r="O62" i="80" s="1"/>
  <c r="L61" i="80"/>
  <c r="N61" i="80"/>
  <c r="O61" i="80" s="1"/>
  <c r="N66" i="80"/>
  <c r="O66" i="80" s="1"/>
  <c r="N48" i="80"/>
  <c r="O48" i="80" s="1"/>
  <c r="N53" i="80"/>
  <c r="O53" i="80" s="1"/>
  <c r="L53" i="80"/>
  <c r="L47" i="80"/>
  <c r="N68" i="80"/>
  <c r="O68" i="80" s="1"/>
  <c r="N54" i="80"/>
  <c r="O54" i="80" s="1"/>
  <c r="N59" i="80"/>
  <c r="O59" i="80" s="1"/>
  <c r="L51" i="80"/>
  <c r="L45" i="80"/>
  <c r="L59" i="80"/>
  <c r="N56" i="80"/>
  <c r="O56" i="80" s="1"/>
  <c r="L68" i="80"/>
  <c r="L49" i="80"/>
  <c r="L50" i="80"/>
  <c r="N65" i="80"/>
  <c r="O65" i="80" s="1"/>
  <c r="N63" i="80"/>
  <c r="O63" i="80" s="1"/>
  <c r="N45" i="80"/>
  <c r="O45" i="80" s="1"/>
  <c r="N50" i="80"/>
  <c r="O50" i="80" s="1"/>
  <c r="N49" i="80"/>
  <c r="O49" i="80" s="1"/>
  <c r="L62" i="80"/>
  <c r="N51" i="80"/>
  <c r="O51" i="80" s="1"/>
  <c r="L54" i="80"/>
  <c r="L58" i="80"/>
  <c r="L65" i="80"/>
  <c r="L55" i="80"/>
  <c r="N47" i="80"/>
  <c r="O47" i="80" s="1"/>
  <c r="N67" i="80"/>
  <c r="O67" i="80" s="1"/>
  <c r="L67" i="80"/>
  <c r="L64" i="80"/>
  <c r="L60" i="80"/>
  <c r="L57" i="80"/>
  <c r="N46" i="80"/>
  <c r="O46" i="80" s="1"/>
  <c r="N57" i="80"/>
  <c r="O57" i="80" s="1"/>
  <c r="X21" i="79"/>
  <c r="X14" i="79"/>
  <c r="X15" i="79"/>
  <c r="N9" i="79"/>
  <c r="X10" i="79"/>
  <c r="X20" i="79"/>
  <c r="C72" i="78"/>
  <c r="L75" i="78"/>
  <c r="L112" i="78"/>
  <c r="X9" i="79"/>
  <c r="Z55" i="78"/>
  <c r="F58" i="78"/>
  <c r="L46" i="80"/>
  <c r="L52" i="80"/>
  <c r="N52" i="80"/>
  <c r="O52" i="80" s="1"/>
  <c r="F54" i="78"/>
  <c r="N19" i="79"/>
  <c r="O16" i="79"/>
  <c r="M54" i="78"/>
  <c r="N16" i="79"/>
  <c r="P61" i="78"/>
  <c r="D65" i="78"/>
  <c r="O12" i="79"/>
  <c r="N31" i="79"/>
  <c r="F72" i="78"/>
  <c r="F66" i="78"/>
  <c r="F51" i="78"/>
  <c r="N15" i="79"/>
  <c r="F49" i="78"/>
  <c r="N25" i="79"/>
  <c r="F50" i="78"/>
  <c r="N8" i="79"/>
  <c r="N29" i="79"/>
  <c r="N26" i="79"/>
  <c r="N67" i="78"/>
  <c r="N35" i="79"/>
  <c r="O61" i="78"/>
  <c r="F62" i="78"/>
  <c r="F52" i="78"/>
  <c r="O64" i="78"/>
  <c r="O65" i="78"/>
  <c r="P57" i="78"/>
  <c r="O56" i="78"/>
  <c r="D72" i="78"/>
  <c r="F60" i="78"/>
  <c r="F57" i="78"/>
  <c r="D46" i="78"/>
  <c r="F56" i="78"/>
  <c r="F67" i="78"/>
  <c r="D69" i="78"/>
  <c r="D109" i="78"/>
  <c r="F48" i="78"/>
  <c r="F65" i="78"/>
  <c r="Q57" i="78"/>
  <c r="N63" i="78"/>
  <c r="Q47" i="78"/>
  <c r="D56" i="78"/>
  <c r="N13" i="79"/>
  <c r="F47" i="78"/>
  <c r="N14" i="79"/>
  <c r="F45" i="78"/>
  <c r="N54" i="78"/>
  <c r="F68" i="78"/>
  <c r="N22" i="79"/>
  <c r="N32" i="79"/>
  <c r="N21" i="79"/>
  <c r="F63" i="78"/>
  <c r="N57" i="78"/>
  <c r="Q55" i="78"/>
  <c r="N18" i="79"/>
  <c r="N17" i="79"/>
  <c r="D68" i="78"/>
  <c r="X30" i="79"/>
  <c r="F64" i="78"/>
  <c r="N24" i="79"/>
  <c r="F59" i="78"/>
  <c r="N30" i="79"/>
  <c r="N10" i="79"/>
  <c r="N20" i="79"/>
  <c r="Z58" i="78"/>
  <c r="D64" i="78"/>
  <c r="N28" i="79"/>
  <c r="X27" i="79"/>
  <c r="N12" i="79"/>
  <c r="N27" i="79"/>
  <c r="F61" i="78"/>
  <c r="F46" i="78"/>
  <c r="N11" i="79"/>
  <c r="N23" i="79"/>
  <c r="B64" i="78"/>
  <c r="O45" i="78"/>
  <c r="M27" i="79"/>
  <c r="B69" i="78"/>
  <c r="M45" i="78"/>
  <c r="P58" i="78"/>
  <c r="O55" i="78"/>
  <c r="O69" i="78"/>
  <c r="D66" i="78"/>
  <c r="C55" i="78"/>
  <c r="F69" i="78"/>
  <c r="F53" i="78"/>
  <c r="O48" i="78"/>
  <c r="O60" i="78"/>
  <c r="O58" i="78"/>
  <c r="O52" i="78"/>
  <c r="O59" i="78"/>
  <c r="O47" i="78"/>
  <c r="N52" i="78"/>
  <c r="Z61" i="78"/>
  <c r="O51" i="78"/>
  <c r="O50" i="78"/>
  <c r="B53" i="78"/>
  <c r="N64" i="78"/>
  <c r="O46" i="78"/>
  <c r="O49" i="78"/>
  <c r="O62" i="78"/>
  <c r="O68" i="78"/>
  <c r="O63" i="78"/>
  <c r="O53" i="78"/>
  <c r="AA69" i="78"/>
  <c r="Z66" i="78"/>
  <c r="Z69" i="78"/>
  <c r="X31" i="79"/>
  <c r="O66" i="78"/>
  <c r="O67" i="78"/>
  <c r="N69" i="78"/>
  <c r="O57" i="78"/>
  <c r="O72" i="78"/>
  <c r="M25" i="79"/>
  <c r="P64" i="78"/>
  <c r="P54" i="78"/>
  <c r="C45" i="78"/>
  <c r="P59" i="78"/>
  <c r="O146" i="78"/>
  <c r="P66" i="78"/>
  <c r="P48" i="78"/>
  <c r="O24" i="79"/>
  <c r="C56" i="78"/>
  <c r="P49" i="78"/>
  <c r="P67" i="78"/>
  <c r="P45" i="78"/>
  <c r="P69" i="78"/>
  <c r="P52" i="78"/>
  <c r="P56" i="78"/>
  <c r="P68" i="78"/>
  <c r="O30" i="79"/>
  <c r="C54" i="78"/>
  <c r="P72" i="78"/>
  <c r="P55" i="78"/>
  <c r="P46" i="78"/>
  <c r="P60" i="78"/>
  <c r="P50" i="78"/>
  <c r="P65" i="78"/>
  <c r="P51" i="78"/>
  <c r="P53" i="78"/>
  <c r="P63" i="78"/>
  <c r="P62" i="78"/>
  <c r="P47" i="78"/>
  <c r="AA48" i="78"/>
  <c r="AA64" i="78"/>
  <c r="AA58" i="78"/>
  <c r="X23" i="79"/>
  <c r="N66" i="78"/>
  <c r="D58" i="78"/>
  <c r="D57" i="78"/>
  <c r="D52" i="78"/>
  <c r="D48" i="78"/>
  <c r="D54" i="78"/>
  <c r="D50" i="78"/>
  <c r="D49" i="78"/>
  <c r="D45" i="78"/>
  <c r="D61" i="78"/>
  <c r="D59" i="78"/>
  <c r="D67" i="78"/>
  <c r="D63" i="78"/>
  <c r="D51" i="78"/>
  <c r="D55" i="78"/>
  <c r="D53" i="78"/>
  <c r="D62" i="78"/>
  <c r="D47" i="78"/>
  <c r="X26" i="79"/>
  <c r="X47" i="78"/>
  <c r="N65" i="78"/>
  <c r="N47" i="78"/>
  <c r="N68" i="78"/>
  <c r="N45" i="78"/>
  <c r="N51" i="78"/>
  <c r="N62" i="78"/>
  <c r="N46" i="78"/>
  <c r="N53" i="78"/>
  <c r="N56" i="78"/>
  <c r="N59" i="78"/>
  <c r="N55" i="78"/>
  <c r="N72" i="78"/>
  <c r="N58" i="78"/>
  <c r="N48" i="78"/>
  <c r="V23" i="79"/>
  <c r="X11" i="79"/>
  <c r="N49" i="78"/>
  <c r="X12" i="79"/>
  <c r="E66" i="78"/>
  <c r="E57" i="78"/>
  <c r="E50" i="78"/>
  <c r="E59" i="78"/>
  <c r="E52" i="78"/>
  <c r="E58" i="78"/>
  <c r="E109" i="78"/>
  <c r="E51" i="78"/>
  <c r="E67" i="78"/>
  <c r="E56" i="78"/>
  <c r="E48" i="78"/>
  <c r="E62" i="78"/>
  <c r="E55" i="78"/>
  <c r="E54" i="78"/>
  <c r="E47" i="78"/>
  <c r="E60" i="78"/>
  <c r="E46" i="78"/>
  <c r="E64" i="78"/>
  <c r="E53" i="78"/>
  <c r="E61" i="78"/>
  <c r="E63" i="78"/>
  <c r="E68" i="78"/>
  <c r="E69" i="78"/>
  <c r="E65" i="78"/>
  <c r="N61" i="78"/>
  <c r="M48" i="78"/>
  <c r="M46" i="78"/>
  <c r="N60" i="78"/>
  <c r="X25" i="79"/>
  <c r="E49" i="78"/>
  <c r="M21" i="79"/>
  <c r="M15" i="79"/>
  <c r="M13" i="79"/>
  <c r="M9" i="79"/>
  <c r="M20" i="79"/>
  <c r="M14" i="79"/>
  <c r="M32" i="79"/>
  <c r="M30" i="79"/>
  <c r="M16" i="79"/>
  <c r="M24" i="79"/>
  <c r="M22" i="79"/>
  <c r="M10" i="79"/>
  <c r="M28" i="79"/>
  <c r="M18" i="79"/>
  <c r="M12" i="79"/>
  <c r="M35" i="79"/>
  <c r="M23" i="79"/>
  <c r="Z45" i="78"/>
  <c r="O18" i="79"/>
  <c r="M31" i="79"/>
  <c r="M11" i="79"/>
  <c r="C48" i="78"/>
  <c r="B48" i="78"/>
  <c r="X19" i="79"/>
  <c r="B55" i="78"/>
  <c r="B49" i="78"/>
  <c r="B59" i="78"/>
  <c r="B67" i="78"/>
  <c r="B63" i="78"/>
  <c r="B52" i="78"/>
  <c r="B57" i="78"/>
  <c r="B68" i="78"/>
  <c r="B58" i="78"/>
  <c r="B51" i="78"/>
  <c r="B47" i="78"/>
  <c r="B65" i="78"/>
  <c r="B50" i="78"/>
  <c r="X17" i="79"/>
  <c r="X32" i="79"/>
  <c r="O26" i="79"/>
  <c r="C57" i="78"/>
  <c r="C50" i="78"/>
  <c r="C47" i="78"/>
  <c r="C67" i="78"/>
  <c r="C52" i="78"/>
  <c r="C49" i="78"/>
  <c r="C59" i="78"/>
  <c r="C62" i="78"/>
  <c r="C58" i="78"/>
  <c r="C51" i="78"/>
  <c r="C61" i="78"/>
  <c r="C46" i="78"/>
  <c r="C53" i="78"/>
  <c r="C69" i="78"/>
  <c r="C65" i="78"/>
  <c r="C68" i="78"/>
  <c r="C60" i="78"/>
  <c r="B62" i="78"/>
  <c r="O19" i="79"/>
  <c r="M19" i="79"/>
  <c r="O11" i="79"/>
  <c r="C63" i="78"/>
  <c r="B66" i="78"/>
  <c r="B54" i="78"/>
  <c r="B60" i="78"/>
  <c r="X16" i="79"/>
  <c r="O8" i="79"/>
  <c r="O22" i="79"/>
  <c r="O20" i="79"/>
  <c r="O14" i="79"/>
  <c r="O10" i="79"/>
  <c r="O35" i="79"/>
  <c r="O31" i="79"/>
  <c r="O27" i="79"/>
  <c r="O23" i="79"/>
  <c r="O15" i="79"/>
  <c r="O13" i="79"/>
  <c r="O17" i="79"/>
  <c r="O25" i="79"/>
  <c r="O21" i="79"/>
  <c r="O29" i="79"/>
  <c r="O9" i="79"/>
  <c r="B45" i="78"/>
  <c r="Y60" i="78"/>
  <c r="M17" i="79"/>
  <c r="B61" i="78"/>
  <c r="M26" i="79"/>
  <c r="B56" i="78"/>
  <c r="C64" i="78"/>
  <c r="O32" i="79"/>
  <c r="X24" i="79"/>
  <c r="X57" i="78"/>
  <c r="X65" i="78"/>
  <c r="Z49" i="78"/>
  <c r="X68" i="78"/>
  <c r="X60" i="78"/>
  <c r="X51" i="78"/>
  <c r="X63" i="78"/>
  <c r="Z63" i="78"/>
  <c r="X67" i="78"/>
  <c r="X59" i="78"/>
  <c r="AB57" i="78"/>
  <c r="AB54" i="78"/>
  <c r="AB66" i="78"/>
  <c r="AB60" i="78"/>
  <c r="AB46" i="78"/>
  <c r="AB61" i="78"/>
  <c r="AB52" i="78"/>
  <c r="AB53" i="78"/>
  <c r="AB49" i="78"/>
  <c r="AB58" i="78"/>
  <c r="AB72" i="78"/>
  <c r="AB50" i="78"/>
  <c r="AB45" i="78"/>
  <c r="AB59" i="78"/>
  <c r="AA146" i="78"/>
  <c r="AB68" i="78"/>
  <c r="AB62" i="78"/>
  <c r="AB65" i="78"/>
  <c r="AB48" i="78"/>
  <c r="AB67" i="78"/>
  <c r="AB51" i="78"/>
  <c r="Y72" i="78"/>
  <c r="Y56" i="78"/>
  <c r="Y53" i="78"/>
  <c r="Y51" i="78"/>
  <c r="Y65" i="78"/>
  <c r="Y59" i="78"/>
  <c r="Y45" i="78"/>
  <c r="Y57" i="78"/>
  <c r="Y49" i="78"/>
  <c r="X146" i="78"/>
  <c r="Y48" i="78"/>
  <c r="Y54" i="78"/>
  <c r="Y69" i="78"/>
  <c r="Y58" i="78"/>
  <c r="Y52" i="78"/>
  <c r="Y47" i="78"/>
  <c r="Y67" i="78"/>
  <c r="Y61" i="78"/>
  <c r="Y64" i="78"/>
  <c r="Y50" i="78"/>
  <c r="AA60" i="78"/>
  <c r="AA52" i="78"/>
  <c r="AB69" i="78"/>
  <c r="Y63" i="78"/>
  <c r="X72" i="78"/>
  <c r="X56" i="78"/>
  <c r="X53" i="78"/>
  <c r="X50" i="78"/>
  <c r="X48" i="78"/>
  <c r="X66" i="78"/>
  <c r="X109" i="78"/>
  <c r="X62" i="78"/>
  <c r="X45" i="78"/>
  <c r="X69" i="78"/>
  <c r="X46" i="78"/>
  <c r="X54" i="78"/>
  <c r="X64" i="78"/>
  <c r="X58" i="78"/>
  <c r="X52" i="78"/>
  <c r="X55" i="78"/>
  <c r="X49" i="78"/>
  <c r="X61" i="78"/>
  <c r="AB64" i="78"/>
  <c r="Y68" i="78"/>
  <c r="AA68" i="78"/>
  <c r="AA66" i="78"/>
  <c r="Y66" i="78"/>
  <c r="Z109" i="78"/>
  <c r="Z62" i="78"/>
  <c r="Z59" i="78"/>
  <c r="Z60" i="78"/>
  <c r="Z46" i="78"/>
  <c r="Z68" i="78"/>
  <c r="Z48" i="78"/>
  <c r="Z54" i="78"/>
  <c r="Z51" i="78"/>
  <c r="Z64" i="78"/>
  <c r="Z52" i="78"/>
  <c r="Z67" i="78"/>
  <c r="Z50" i="78"/>
  <c r="Z47" i="78"/>
  <c r="Z53" i="78"/>
  <c r="Z72" i="78"/>
  <c r="Z56" i="78"/>
  <c r="Z146" i="78"/>
  <c r="AA55" i="78"/>
  <c r="AA63" i="78"/>
  <c r="AA57" i="78"/>
  <c r="AA54" i="78"/>
  <c r="AA51" i="78"/>
  <c r="AA67" i="78"/>
  <c r="AA72" i="78"/>
  <c r="AA46" i="78"/>
  <c r="AA49" i="78"/>
  <c r="AA47" i="78"/>
  <c r="AA59" i="78"/>
  <c r="AA45" i="78"/>
  <c r="AA65" i="78"/>
  <c r="AA56" i="78"/>
  <c r="AA50" i="78"/>
  <c r="AA62" i="78"/>
  <c r="AA53" i="78"/>
  <c r="AA109" i="78"/>
  <c r="AB63" i="78"/>
  <c r="AB56" i="78"/>
  <c r="AB47" i="78"/>
  <c r="Z65" i="78"/>
  <c r="Y62" i="78"/>
  <c r="Y55" i="78"/>
  <c r="AA61" i="78"/>
  <c r="Y46" i="78"/>
  <c r="AB55" i="78"/>
  <c r="Q46" i="78"/>
  <c r="M67" i="78"/>
  <c r="M56" i="78"/>
  <c r="O54" i="78"/>
  <c r="O109" i="78"/>
  <c r="Q65" i="78"/>
  <c r="Q49" i="78"/>
  <c r="M61" i="78"/>
  <c r="M146" i="78"/>
  <c r="M62" i="78"/>
  <c r="Q50" i="78"/>
  <c r="M53" i="78"/>
  <c r="Q48" i="78"/>
  <c r="Q45" i="78"/>
  <c r="Q51" i="78"/>
  <c r="Q69" i="78"/>
  <c r="Q64" i="78"/>
  <c r="Q61" i="78"/>
  <c r="Q53" i="78"/>
  <c r="P146" i="78"/>
  <c r="Q67" i="78"/>
  <c r="Q72" i="78"/>
  <c r="Q60" i="78"/>
  <c r="Q56" i="78"/>
  <c r="Q59" i="78"/>
  <c r="P109" i="78"/>
  <c r="Q54" i="78"/>
  <c r="Q58" i="78"/>
  <c r="Q63" i="78"/>
  <c r="Q52" i="78"/>
  <c r="M51" i="78"/>
  <c r="Q68" i="78"/>
  <c r="M60" i="78"/>
  <c r="M55" i="78"/>
  <c r="M109" i="78"/>
  <c r="M72" i="78"/>
  <c r="M49" i="78"/>
  <c r="M52" i="78"/>
  <c r="M64" i="78"/>
  <c r="M65" i="78"/>
  <c r="M63" i="78"/>
  <c r="M66" i="78"/>
  <c r="M47" i="78"/>
  <c r="M57" i="78"/>
  <c r="M68" i="78"/>
  <c r="M59" i="78"/>
  <c r="M58" i="78"/>
  <c r="M50" i="78"/>
  <c r="Q66" i="78"/>
  <c r="E72" i="78"/>
  <c r="E45" i="78"/>
  <c r="D146" i="78"/>
  <c r="E146" i="78"/>
  <c r="V32" i="79" l="1"/>
  <c r="V29" i="79"/>
  <c r="V12" i="79"/>
  <c r="V26" i="79"/>
  <c r="V11" i="79"/>
  <c r="V22" i="79"/>
  <c r="V20" i="79"/>
  <c r="V14" i="79"/>
  <c r="V10" i="79"/>
  <c r="V21" i="79"/>
  <c r="V15" i="79"/>
  <c r="V13" i="79"/>
  <c r="V9" i="79"/>
  <c r="V35" i="79"/>
  <c r="V27" i="79"/>
  <c r="V28" i="79"/>
  <c r="V30" i="79"/>
  <c r="V18" i="79"/>
  <c r="V31" i="79"/>
  <c r="V25" i="79"/>
  <c r="V24" i="79"/>
  <c r="V16" i="79"/>
  <c r="V17" i="79"/>
  <c r="V19" i="79"/>
  <c r="O2" i="76"/>
  <c r="A197" i="76" l="1"/>
  <c r="A1" i="76"/>
  <c r="A162" i="76"/>
  <c r="A267" i="76"/>
  <c r="A407" i="76"/>
  <c r="A372" i="76"/>
  <c r="A116" i="76"/>
  <c r="A58" i="76"/>
  <c r="A232" i="76"/>
  <c r="A337" i="76"/>
  <c r="A442" i="76"/>
  <c r="A302" i="76"/>
  <c r="J12" i="78"/>
  <c r="J49" i="78" s="1"/>
  <c r="J86" i="78" s="1"/>
  <c r="U18" i="78"/>
  <c r="U55" i="78" s="1"/>
  <c r="U92" i="78" s="1"/>
  <c r="J18" i="78"/>
  <c r="J55" i="78" s="1"/>
  <c r="J92" i="78" s="1"/>
  <c r="J17" i="78"/>
  <c r="J54" i="78" s="1"/>
  <c r="J91" i="78" s="1"/>
  <c r="J31" i="78"/>
  <c r="J68" i="78" s="1"/>
  <c r="J105" i="78" s="1"/>
  <c r="J23" i="78"/>
  <c r="J60" i="78" s="1"/>
  <c r="J97" i="78" s="1"/>
  <c r="L43" i="75"/>
  <c r="L44" i="75"/>
  <c r="L45" i="75"/>
  <c r="L46" i="75"/>
  <c r="L36" i="75"/>
  <c r="L37" i="75"/>
  <c r="L38" i="75"/>
  <c r="L39" i="75"/>
  <c r="L32" i="75"/>
  <c r="L26" i="75"/>
  <c r="L27" i="75"/>
  <c r="L28" i="75"/>
  <c r="L22" i="75"/>
  <c r="L13" i="75"/>
  <c r="L9" i="75"/>
  <c r="J26" i="78" l="1"/>
  <c r="J63" i="78" s="1"/>
  <c r="J100" i="78" s="1"/>
  <c r="U26" i="78"/>
  <c r="U63" i="78" s="1"/>
  <c r="U100" i="78" s="1"/>
  <c r="J30" i="78"/>
  <c r="J67" i="78" s="1"/>
  <c r="J104" i="78" s="1"/>
  <c r="J27" i="78"/>
  <c r="J64" i="78" s="1"/>
  <c r="J101" i="78" s="1"/>
  <c r="U31" i="78"/>
  <c r="U68" i="78" s="1"/>
  <c r="U105" i="78" s="1"/>
  <c r="U12" i="78"/>
  <c r="U49" i="78" s="1"/>
  <c r="U86" i="78" s="1"/>
  <c r="A101" i="18"/>
  <c r="A97" i="18"/>
  <c r="A88" i="18"/>
  <c r="A84" i="18"/>
  <c r="A83" i="18"/>
  <c r="A82" i="18"/>
  <c r="A78" i="18"/>
  <c r="F26" i="18"/>
  <c r="E26" i="18"/>
  <c r="C26" i="18"/>
  <c r="F25" i="18"/>
  <c r="E25" i="18"/>
  <c r="C25" i="18"/>
  <c r="B25" i="18"/>
  <c r="B26" i="18"/>
  <c r="I48" i="18" l="1"/>
  <c r="I13" i="18"/>
  <c r="I49" i="18"/>
  <c r="I20" i="18"/>
  <c r="D26" i="18"/>
  <c r="I26" i="18" s="1"/>
  <c r="I19" i="18"/>
  <c r="I18" i="18"/>
  <c r="I12" i="18"/>
  <c r="U23" i="78"/>
  <c r="U60" i="78" s="1"/>
  <c r="U97" i="78" s="1"/>
  <c r="I35" i="18"/>
  <c r="I22" i="18"/>
  <c r="I32" i="18"/>
  <c r="U30" i="78"/>
  <c r="U67" i="78" s="1"/>
  <c r="U104" i="78" s="1"/>
  <c r="I21" i="18"/>
  <c r="U27" i="78"/>
  <c r="U64" i="78" s="1"/>
  <c r="U101" i="78" s="1"/>
  <c r="I15" i="18"/>
  <c r="I31" i="18"/>
  <c r="D25" i="18"/>
  <c r="I25" i="18" s="1"/>
  <c r="I30" i="18"/>
  <c r="I36" i="18"/>
  <c r="I29" i="18"/>
  <c r="H22" i="18"/>
  <c r="K31" i="18"/>
  <c r="H15" i="18"/>
  <c r="H31" i="18"/>
  <c r="K32" i="18"/>
  <c r="K15" i="18"/>
  <c r="H32" i="18"/>
  <c r="K22" i="18"/>
  <c r="E143" i="71"/>
  <c r="D143" i="71"/>
  <c r="B143" i="71"/>
  <c r="E142" i="71"/>
  <c r="D142" i="71"/>
  <c r="B142" i="71"/>
  <c r="E141" i="71"/>
  <c r="D141" i="71"/>
  <c r="B141" i="71"/>
  <c r="E140" i="71"/>
  <c r="D140" i="71"/>
  <c r="B140" i="71"/>
  <c r="E139" i="71"/>
  <c r="D139" i="71"/>
  <c r="B139" i="71"/>
  <c r="E138" i="71"/>
  <c r="D138" i="71"/>
  <c r="B138" i="71"/>
  <c r="E137" i="71"/>
  <c r="D137" i="71"/>
  <c r="B137" i="71"/>
  <c r="E136" i="71"/>
  <c r="D136" i="71"/>
  <c r="B136" i="71"/>
  <c r="E135" i="71"/>
  <c r="D135" i="71"/>
  <c r="B135" i="71"/>
  <c r="E134" i="71"/>
  <c r="D134" i="71"/>
  <c r="B134" i="71"/>
  <c r="E133" i="71"/>
  <c r="D133" i="71"/>
  <c r="B133" i="71"/>
  <c r="E132" i="71"/>
  <c r="D132" i="71"/>
  <c r="B132" i="71"/>
  <c r="E131" i="71"/>
  <c r="D131" i="71"/>
  <c r="B131" i="71"/>
  <c r="E130" i="71"/>
  <c r="D130" i="71"/>
  <c r="B130" i="71"/>
  <c r="E129" i="71"/>
  <c r="D129" i="71"/>
  <c r="B129" i="71"/>
  <c r="E128" i="71"/>
  <c r="D128" i="71"/>
  <c r="B128" i="71"/>
  <c r="E127" i="71"/>
  <c r="D127" i="71"/>
  <c r="B127" i="71"/>
  <c r="E126" i="71"/>
  <c r="D126" i="71"/>
  <c r="B126" i="71"/>
  <c r="E125" i="71"/>
  <c r="D125" i="71"/>
  <c r="B125" i="71"/>
  <c r="E124" i="71"/>
  <c r="D124" i="71"/>
  <c r="B124" i="71"/>
  <c r="E123" i="71"/>
  <c r="D123" i="71"/>
  <c r="B123" i="71"/>
  <c r="E122" i="71"/>
  <c r="D122" i="71"/>
  <c r="B122" i="71"/>
  <c r="E121" i="71"/>
  <c r="D121" i="71"/>
  <c r="B121" i="71"/>
  <c r="E120" i="71"/>
  <c r="D120" i="71"/>
  <c r="B120" i="71"/>
  <c r="E119" i="71"/>
  <c r="D119" i="71"/>
  <c r="B119" i="71"/>
  <c r="E117" i="71"/>
  <c r="D117" i="71"/>
  <c r="B117" i="71"/>
  <c r="E106" i="71"/>
  <c r="D106" i="71"/>
  <c r="E105" i="71"/>
  <c r="D105" i="71"/>
  <c r="B105" i="71"/>
  <c r="E104" i="71"/>
  <c r="D104" i="71"/>
  <c r="B104" i="71"/>
  <c r="E103" i="71"/>
  <c r="D103" i="71"/>
  <c r="B103" i="71"/>
  <c r="E102" i="71"/>
  <c r="D102" i="71"/>
  <c r="B102" i="71"/>
  <c r="E101" i="71"/>
  <c r="D101" i="71"/>
  <c r="B101" i="71"/>
  <c r="E100" i="71"/>
  <c r="D100" i="71"/>
  <c r="B100" i="71"/>
  <c r="E99" i="71"/>
  <c r="D99" i="71"/>
  <c r="B99" i="71"/>
  <c r="E98" i="71"/>
  <c r="D98" i="71"/>
  <c r="B98" i="71"/>
  <c r="E97" i="71"/>
  <c r="D97" i="71"/>
  <c r="B97" i="71"/>
  <c r="E96" i="71"/>
  <c r="D96" i="71"/>
  <c r="B96" i="71"/>
  <c r="E95" i="71"/>
  <c r="D95" i="71"/>
  <c r="B95" i="71"/>
  <c r="E94" i="71"/>
  <c r="D94" i="71"/>
  <c r="B94" i="71"/>
  <c r="E93" i="71"/>
  <c r="D93" i="71"/>
  <c r="B93" i="71"/>
  <c r="E92" i="71"/>
  <c r="D92" i="71"/>
  <c r="B92" i="71"/>
  <c r="E91" i="71"/>
  <c r="D91" i="71"/>
  <c r="B91" i="71"/>
  <c r="E90" i="71"/>
  <c r="D90" i="71"/>
  <c r="B90" i="71"/>
  <c r="E89" i="71"/>
  <c r="D89" i="71"/>
  <c r="B89" i="71"/>
  <c r="E88" i="71"/>
  <c r="D88" i="71"/>
  <c r="B88" i="71"/>
  <c r="E87" i="71"/>
  <c r="D87" i="71"/>
  <c r="B87" i="71"/>
  <c r="E86" i="71"/>
  <c r="D86" i="71"/>
  <c r="B86" i="71"/>
  <c r="E85" i="71"/>
  <c r="D85" i="71"/>
  <c r="B85" i="71"/>
  <c r="E84" i="71"/>
  <c r="D84" i="71"/>
  <c r="B84" i="71"/>
  <c r="E83" i="71"/>
  <c r="D83" i="71"/>
  <c r="B83" i="71"/>
  <c r="E82" i="71"/>
  <c r="D82" i="71"/>
  <c r="E80" i="71"/>
  <c r="D80" i="71"/>
  <c r="B80" i="71"/>
  <c r="D72" i="71"/>
  <c r="D69" i="71"/>
  <c r="D68" i="71"/>
  <c r="D67" i="71"/>
  <c r="D66" i="71"/>
  <c r="D65" i="71"/>
  <c r="E64" i="71"/>
  <c r="D64" i="71"/>
  <c r="D63" i="71"/>
  <c r="D62" i="71"/>
  <c r="D61" i="71"/>
  <c r="D60" i="71"/>
  <c r="D59" i="71"/>
  <c r="D58" i="71"/>
  <c r="D57" i="71"/>
  <c r="D56" i="71"/>
  <c r="D55" i="71"/>
  <c r="E54" i="71"/>
  <c r="D54" i="71"/>
  <c r="D53" i="71"/>
  <c r="D52" i="71"/>
  <c r="D51" i="71"/>
  <c r="D50" i="71"/>
  <c r="B50" i="71"/>
  <c r="D49" i="71"/>
  <c r="D48" i="71"/>
  <c r="D47" i="71"/>
  <c r="D46" i="71"/>
  <c r="D45" i="71"/>
  <c r="J43" i="71"/>
  <c r="J80" i="71" s="1"/>
  <c r="I43" i="71"/>
  <c r="I80" i="71" s="1"/>
  <c r="H43" i="71"/>
  <c r="H80" i="71" s="1"/>
  <c r="F43" i="71"/>
  <c r="E43" i="71"/>
  <c r="D43" i="71"/>
  <c r="C43" i="71"/>
  <c r="B43" i="71"/>
  <c r="J42" i="71"/>
  <c r="J79" i="71" s="1"/>
  <c r="I42" i="71"/>
  <c r="I79" i="71" s="1"/>
  <c r="H42" i="71"/>
  <c r="H79" i="71" s="1"/>
  <c r="H41" i="71"/>
  <c r="A112" i="71"/>
  <c r="L25" i="18" l="1"/>
  <c r="L26" i="18"/>
  <c r="I45" i="18"/>
  <c r="I44" i="18"/>
  <c r="I14" i="18"/>
  <c r="H78" i="71"/>
  <c r="C52" i="71"/>
  <c r="B58" i="71"/>
  <c r="E50" i="71"/>
  <c r="C68" i="71"/>
  <c r="E67" i="71"/>
  <c r="E45" i="71"/>
  <c r="E63" i="71"/>
  <c r="E51" i="71"/>
  <c r="C56" i="71"/>
  <c r="E59" i="71"/>
  <c r="E72" i="71"/>
  <c r="E56" i="71"/>
  <c r="E49" i="71"/>
  <c r="E60" i="71"/>
  <c r="E69" i="71"/>
  <c r="E53" i="71"/>
  <c r="E57" i="71"/>
  <c r="E61" i="71"/>
  <c r="E66" i="71"/>
  <c r="C47" i="71"/>
  <c r="C50" i="71"/>
  <c r="C66" i="71"/>
  <c r="C46" i="71"/>
  <c r="C48" i="71"/>
  <c r="C45" i="71"/>
  <c r="C54" i="71"/>
  <c r="C49" i="71"/>
  <c r="E48" i="71"/>
  <c r="E46" i="71"/>
  <c r="F54" i="71"/>
  <c r="F57" i="71"/>
  <c r="F64" i="71"/>
  <c r="D146" i="71"/>
  <c r="E52" i="71"/>
  <c r="E55" i="71"/>
  <c r="E65" i="71"/>
  <c r="E68" i="71"/>
  <c r="E47" i="71"/>
  <c r="E58" i="71"/>
  <c r="E62" i="71"/>
  <c r="D109" i="71"/>
  <c r="F61" i="71"/>
  <c r="F67" i="71"/>
  <c r="F66" i="71"/>
  <c r="F50" i="71"/>
  <c r="F56" i="71"/>
  <c r="F62" i="71"/>
  <c r="F46" i="71"/>
  <c r="F48" i="71"/>
  <c r="F52" i="71"/>
  <c r="F59" i="71"/>
  <c r="F69" i="71"/>
  <c r="F55" i="71"/>
  <c r="F53" i="71"/>
  <c r="F60" i="71"/>
  <c r="F72" i="71"/>
  <c r="E109" i="71"/>
  <c r="F65" i="71"/>
  <c r="E146" i="71"/>
  <c r="F45" i="71"/>
  <c r="F47" i="71"/>
  <c r="F49" i="71"/>
  <c r="F51" i="71"/>
  <c r="F63" i="71"/>
  <c r="F58" i="71"/>
  <c r="F68" i="71"/>
  <c r="C58" i="71"/>
  <c r="C60" i="71"/>
  <c r="C62" i="71"/>
  <c r="C64" i="71"/>
  <c r="B66" i="71"/>
  <c r="C51" i="71"/>
  <c r="C53" i="71"/>
  <c r="C55" i="71"/>
  <c r="C57" i="71"/>
  <c r="C59" i="71"/>
  <c r="C61" i="71"/>
  <c r="C63" i="71"/>
  <c r="C65" i="71"/>
  <c r="C67" i="71"/>
  <c r="C69" i="71"/>
  <c r="B52" i="71"/>
  <c r="B60" i="71"/>
  <c r="B68" i="71"/>
  <c r="B49" i="71"/>
  <c r="B57" i="71"/>
  <c r="B65" i="71"/>
  <c r="B55" i="71"/>
  <c r="B63" i="71"/>
  <c r="B51" i="71"/>
  <c r="B59" i="71"/>
  <c r="B67" i="71"/>
  <c r="B47" i="71"/>
  <c r="B46" i="71"/>
  <c r="B54" i="71"/>
  <c r="B62" i="71"/>
  <c r="B48" i="71"/>
  <c r="B56" i="71"/>
  <c r="B64" i="71"/>
  <c r="B45" i="71"/>
  <c r="B53" i="71"/>
  <c r="B61" i="71"/>
  <c r="B69" i="71"/>
  <c r="J15" i="18"/>
  <c r="J31" i="18"/>
  <c r="J32" i="18"/>
  <c r="J27" i="71"/>
  <c r="J17" i="71"/>
  <c r="J26" i="71"/>
  <c r="J18" i="71"/>
  <c r="J12" i="71"/>
  <c r="J30" i="71"/>
  <c r="J22" i="18"/>
  <c r="J23" i="71"/>
  <c r="J31" i="71"/>
  <c r="A75" i="71"/>
  <c r="A38" i="71"/>
  <c r="J55" i="71" l="1"/>
  <c r="J92" i="71" s="1"/>
  <c r="Q47" i="31"/>
  <c r="J63" i="71"/>
  <c r="J100" i="71" s="1"/>
  <c r="Q55" i="31"/>
  <c r="J54" i="71"/>
  <c r="J91" i="71" s="1"/>
  <c r="Q46" i="31"/>
  <c r="J64" i="71"/>
  <c r="J101" i="71" s="1"/>
  <c r="Q56" i="31"/>
  <c r="J68" i="71"/>
  <c r="J105" i="71" s="1"/>
  <c r="Q60" i="31"/>
  <c r="J60" i="71"/>
  <c r="J97" i="71" s="1"/>
  <c r="Q52" i="31"/>
  <c r="J67" i="71"/>
  <c r="J104" i="71" s="1"/>
  <c r="Q59" i="31"/>
  <c r="J49" i="71"/>
  <c r="J86" i="71" s="1"/>
  <c r="Q41" i="31"/>
  <c r="C3" i="83" l="1"/>
  <c r="I3" i="83" s="1"/>
  <c r="A1" i="83" s="1"/>
  <c r="A20" i="62" l="1"/>
  <c r="A18" i="62"/>
  <c r="A17" i="62"/>
  <c r="A16" i="62"/>
  <c r="A14" i="62"/>
  <c r="A13" i="62"/>
  <c r="A12" i="62"/>
  <c r="A10" i="62"/>
  <c r="A9" i="62"/>
  <c r="A8" i="62"/>
  <c r="A7" i="62"/>
  <c r="A23" i="62"/>
  <c r="K20" i="62" l="1"/>
  <c r="J20" i="62"/>
  <c r="I20" i="62"/>
  <c r="H20" i="62"/>
  <c r="L18" i="62"/>
  <c r="K18" i="62"/>
  <c r="J18" i="62"/>
  <c r="I18" i="62"/>
  <c r="H18" i="62"/>
  <c r="L17" i="62"/>
  <c r="K17" i="62"/>
  <c r="J17" i="62"/>
  <c r="I17" i="62"/>
  <c r="H17" i="62"/>
  <c r="L16" i="62"/>
  <c r="J16" i="62"/>
  <c r="I16" i="62"/>
  <c r="H16" i="62"/>
  <c r="L14" i="62"/>
  <c r="K14" i="62"/>
  <c r="J14" i="62"/>
  <c r="I14" i="62"/>
  <c r="H14" i="62"/>
  <c r="L13" i="62"/>
  <c r="K13" i="62"/>
  <c r="J13" i="62"/>
  <c r="I13" i="62"/>
  <c r="H13" i="62"/>
  <c r="L12" i="62"/>
  <c r="K12" i="62"/>
  <c r="J12" i="62"/>
  <c r="I12" i="62"/>
  <c r="H12" i="62"/>
  <c r="L10" i="62"/>
  <c r="K10" i="62"/>
  <c r="J10" i="62"/>
  <c r="I10" i="62"/>
  <c r="H10" i="62"/>
  <c r="L9" i="62"/>
  <c r="K9" i="62"/>
  <c r="J9" i="62"/>
  <c r="I9" i="62"/>
  <c r="H9" i="62"/>
  <c r="L8" i="62"/>
  <c r="K8" i="62"/>
  <c r="J8" i="62"/>
  <c r="I8" i="62"/>
  <c r="H8" i="62"/>
  <c r="L7" i="62"/>
  <c r="J7" i="62"/>
  <c r="I7" i="62"/>
  <c r="H7" i="62"/>
  <c r="L5" i="62"/>
  <c r="K5" i="62"/>
  <c r="J5" i="62"/>
  <c r="I5" i="62"/>
  <c r="H5" i="62"/>
  <c r="A1" i="62"/>
  <c r="K7" i="62" l="1"/>
  <c r="K16" i="62"/>
  <c r="L20" i="62"/>
  <c r="DP82" i="60" l="1"/>
  <c r="CR82" i="60"/>
  <c r="BT82" i="60"/>
  <c r="AV82" i="60"/>
  <c r="X82" i="60"/>
  <c r="DP55" i="60"/>
  <c r="CR55" i="60"/>
  <c r="BT55" i="60"/>
  <c r="AV55" i="60"/>
  <c r="X55" i="60"/>
  <c r="DP3" i="60"/>
  <c r="CR3" i="60"/>
  <c r="BT3" i="60"/>
  <c r="AV3" i="60"/>
  <c r="L9" i="60"/>
  <c r="L10" i="60"/>
  <c r="L11" i="60"/>
  <c r="L12" i="60"/>
  <c r="L13" i="60"/>
  <c r="L14" i="60"/>
  <c r="L15" i="60"/>
  <c r="L16" i="60"/>
  <c r="L17" i="60"/>
  <c r="L18" i="60"/>
  <c r="L19" i="60"/>
  <c r="L20" i="60"/>
  <c r="L21" i="60"/>
  <c r="L22" i="60"/>
  <c r="L23" i="60"/>
  <c r="L24" i="60"/>
  <c r="L25" i="60"/>
  <c r="L26" i="60"/>
  <c r="L27" i="60"/>
  <c r="L28" i="60"/>
  <c r="L29" i="60"/>
  <c r="L30" i="60"/>
  <c r="L31" i="60"/>
  <c r="L32" i="60"/>
  <c r="L33" i="60"/>
  <c r="L34" i="60"/>
  <c r="L35" i="60"/>
  <c r="L36" i="60"/>
  <c r="L37" i="60"/>
  <c r="L38" i="60"/>
  <c r="L39" i="60"/>
  <c r="L40" i="60"/>
  <c r="L41" i="60"/>
  <c r="L42" i="60"/>
  <c r="L43" i="60"/>
  <c r="L44" i="60"/>
  <c r="L45" i="60"/>
  <c r="L46" i="60"/>
  <c r="L47" i="60"/>
  <c r="L48" i="60"/>
  <c r="DP50" i="60"/>
  <c r="DP77" i="60" s="1"/>
  <c r="DJ50" i="60"/>
  <c r="DJ94" i="60" s="1"/>
  <c r="DD50" i="60"/>
  <c r="CX50" i="60"/>
  <c r="CR50" i="60"/>
  <c r="CR94" i="60" s="1"/>
  <c r="CL50" i="60"/>
  <c r="CL77" i="60" s="1"/>
  <c r="CF50" i="60"/>
  <c r="CF94" i="60" s="1"/>
  <c r="BZ50" i="60"/>
  <c r="BZ94" i="60" s="1"/>
  <c r="BT50" i="60"/>
  <c r="BT94" i="60" s="1"/>
  <c r="BN50" i="60"/>
  <c r="BN77" i="60" s="1"/>
  <c r="BH50" i="60"/>
  <c r="BB50" i="60"/>
  <c r="AV50" i="60"/>
  <c r="AV94" i="60" s="1"/>
  <c r="AP50" i="60"/>
  <c r="AP94" i="60" s="1"/>
  <c r="AJ50" i="60"/>
  <c r="AJ77" i="60" s="1"/>
  <c r="AD50" i="60"/>
  <c r="AD94" i="60" s="1"/>
  <c r="X50" i="60"/>
  <c r="X94" i="60" s="1"/>
  <c r="R50" i="60"/>
  <c r="R94" i="60" s="1"/>
  <c r="L50" i="60"/>
  <c r="F50" i="60"/>
  <c r="DP48" i="60"/>
  <c r="DP47" i="60"/>
  <c r="DP46" i="60"/>
  <c r="DP45" i="60"/>
  <c r="DP44" i="60"/>
  <c r="DP43" i="60"/>
  <c r="DP42" i="60"/>
  <c r="DP41" i="60"/>
  <c r="DP40" i="60"/>
  <c r="DP39" i="60"/>
  <c r="DP38" i="60"/>
  <c r="DP37" i="60"/>
  <c r="DP36" i="60"/>
  <c r="DP35" i="60"/>
  <c r="DP34" i="60"/>
  <c r="DP33" i="60"/>
  <c r="DP32" i="60"/>
  <c r="DP31" i="60"/>
  <c r="DP30" i="60"/>
  <c r="DP29" i="60"/>
  <c r="DP28" i="60"/>
  <c r="DP27" i="60"/>
  <c r="DP26" i="60"/>
  <c r="DP25" i="60"/>
  <c r="DP24" i="60"/>
  <c r="DP23" i="60"/>
  <c r="DP22" i="60"/>
  <c r="DP21" i="60"/>
  <c r="DP20" i="60"/>
  <c r="DP19" i="60"/>
  <c r="DP18" i="60"/>
  <c r="DP17" i="60"/>
  <c r="DP16" i="60"/>
  <c r="DP15" i="60"/>
  <c r="DP14" i="60"/>
  <c r="DP13" i="60"/>
  <c r="DP12" i="60"/>
  <c r="DP11" i="60"/>
  <c r="DP10" i="60"/>
  <c r="DP9" i="60"/>
  <c r="DP8" i="60"/>
  <c r="DJ48" i="60"/>
  <c r="DJ47" i="60"/>
  <c r="DJ46" i="60"/>
  <c r="DJ45" i="60"/>
  <c r="DJ44" i="60"/>
  <c r="DJ43" i="60"/>
  <c r="DJ42" i="60"/>
  <c r="DJ41" i="60"/>
  <c r="DJ40" i="60"/>
  <c r="DJ39" i="60"/>
  <c r="DJ38" i="60"/>
  <c r="DJ37" i="60"/>
  <c r="DJ36" i="60"/>
  <c r="DJ35" i="60"/>
  <c r="DJ34" i="60"/>
  <c r="DJ33" i="60"/>
  <c r="DJ32" i="60"/>
  <c r="DJ31" i="60"/>
  <c r="DJ30" i="60"/>
  <c r="DJ29" i="60"/>
  <c r="DJ28" i="60"/>
  <c r="DJ27" i="60"/>
  <c r="DJ26" i="60"/>
  <c r="DJ25" i="60"/>
  <c r="DJ24" i="60"/>
  <c r="DJ23" i="60"/>
  <c r="DJ22" i="60"/>
  <c r="DJ21" i="60"/>
  <c r="DJ20" i="60"/>
  <c r="DJ19" i="60"/>
  <c r="DJ18" i="60"/>
  <c r="DJ17" i="60"/>
  <c r="DJ16" i="60"/>
  <c r="DJ15" i="60"/>
  <c r="DJ14" i="60"/>
  <c r="DJ13" i="60"/>
  <c r="DJ12" i="60"/>
  <c r="DJ11" i="60"/>
  <c r="DJ10" i="60"/>
  <c r="DJ9" i="60"/>
  <c r="DJ8" i="60"/>
  <c r="DD48" i="60"/>
  <c r="DD47" i="60"/>
  <c r="DD46" i="60"/>
  <c r="DD45" i="60"/>
  <c r="DD44" i="60"/>
  <c r="DD43" i="60"/>
  <c r="DD42" i="60"/>
  <c r="DD41" i="60"/>
  <c r="DD40" i="60"/>
  <c r="DD39" i="60"/>
  <c r="DD38" i="60"/>
  <c r="DD37" i="60"/>
  <c r="DD36" i="60"/>
  <c r="DD35" i="60"/>
  <c r="DD34" i="60"/>
  <c r="DD33" i="60"/>
  <c r="DD32" i="60"/>
  <c r="DD31" i="60"/>
  <c r="DD30" i="60"/>
  <c r="DD29" i="60"/>
  <c r="DD28" i="60"/>
  <c r="DD27" i="60"/>
  <c r="DD26" i="60"/>
  <c r="DD25" i="60"/>
  <c r="DD24" i="60"/>
  <c r="DD23" i="60"/>
  <c r="DD22" i="60"/>
  <c r="DD21" i="60"/>
  <c r="DD20" i="60"/>
  <c r="DD19" i="60"/>
  <c r="DD18" i="60"/>
  <c r="DD17" i="60"/>
  <c r="DD16" i="60"/>
  <c r="DD15" i="60"/>
  <c r="DD14" i="60"/>
  <c r="DD13" i="60"/>
  <c r="DD12" i="60"/>
  <c r="DD11" i="60"/>
  <c r="DD10" i="60"/>
  <c r="DD9" i="60"/>
  <c r="DD8" i="60"/>
  <c r="CX48" i="60"/>
  <c r="CX47" i="60"/>
  <c r="CX46" i="60"/>
  <c r="CX45" i="60"/>
  <c r="CX44" i="60"/>
  <c r="CX43" i="60"/>
  <c r="CX42" i="60"/>
  <c r="CX41" i="60"/>
  <c r="CX40" i="60"/>
  <c r="CX39" i="60"/>
  <c r="CX38" i="60"/>
  <c r="CX37" i="60"/>
  <c r="CX36" i="60"/>
  <c r="CX35" i="60"/>
  <c r="CX34" i="60"/>
  <c r="CX33" i="60"/>
  <c r="CX32" i="60"/>
  <c r="CX31" i="60"/>
  <c r="CX30" i="60"/>
  <c r="CX29" i="60"/>
  <c r="CX28" i="60"/>
  <c r="CX27" i="60"/>
  <c r="CX26" i="60"/>
  <c r="CX25" i="60"/>
  <c r="CX24" i="60"/>
  <c r="CX23" i="60"/>
  <c r="CX22" i="60"/>
  <c r="CX21" i="60"/>
  <c r="CX20" i="60"/>
  <c r="CX19" i="60"/>
  <c r="CX18" i="60"/>
  <c r="CX17" i="60"/>
  <c r="CX16" i="60"/>
  <c r="CX15" i="60"/>
  <c r="CX14" i="60"/>
  <c r="CX13" i="60"/>
  <c r="CX12" i="60"/>
  <c r="CX11" i="60"/>
  <c r="CX10" i="60"/>
  <c r="CX9" i="60"/>
  <c r="CX8" i="60"/>
  <c r="CR48" i="60"/>
  <c r="CR47" i="60"/>
  <c r="CR46" i="60"/>
  <c r="CR45" i="60"/>
  <c r="CR44" i="60"/>
  <c r="CR43" i="60"/>
  <c r="CR42" i="60"/>
  <c r="CR41" i="60"/>
  <c r="CR40" i="60"/>
  <c r="CR39" i="60"/>
  <c r="CR38" i="60"/>
  <c r="CR37" i="60"/>
  <c r="CR36" i="60"/>
  <c r="CR35" i="60"/>
  <c r="CR34" i="60"/>
  <c r="CR33" i="60"/>
  <c r="CR32" i="60"/>
  <c r="CR31" i="60"/>
  <c r="CR30" i="60"/>
  <c r="CR29" i="60"/>
  <c r="CR28" i="60"/>
  <c r="CR27" i="60"/>
  <c r="CR26" i="60"/>
  <c r="CR25" i="60"/>
  <c r="CR24" i="60"/>
  <c r="CR23" i="60"/>
  <c r="CR22" i="60"/>
  <c r="CR21" i="60"/>
  <c r="CR20" i="60"/>
  <c r="CR19" i="60"/>
  <c r="CR18" i="60"/>
  <c r="CR17" i="60"/>
  <c r="CR16" i="60"/>
  <c r="CR15" i="60"/>
  <c r="CR14" i="60"/>
  <c r="CR13" i="60"/>
  <c r="CR12" i="60"/>
  <c r="CR11" i="60"/>
  <c r="CR10" i="60"/>
  <c r="CR9" i="60"/>
  <c r="CR8" i="60"/>
  <c r="CL48" i="60"/>
  <c r="CL47" i="60"/>
  <c r="CL46" i="60"/>
  <c r="CL45" i="60"/>
  <c r="CL44" i="60"/>
  <c r="CL43" i="60"/>
  <c r="CL42" i="60"/>
  <c r="CL41" i="60"/>
  <c r="CL40" i="60"/>
  <c r="CL39" i="60"/>
  <c r="CL38" i="60"/>
  <c r="CL37" i="60"/>
  <c r="CL36" i="60"/>
  <c r="CL35" i="60"/>
  <c r="CL34" i="60"/>
  <c r="CL33" i="60"/>
  <c r="CL32" i="60"/>
  <c r="CL31" i="60"/>
  <c r="CL30" i="60"/>
  <c r="CL29" i="60"/>
  <c r="CL28" i="60"/>
  <c r="CL27" i="60"/>
  <c r="CL26" i="60"/>
  <c r="CL25" i="60"/>
  <c r="CL24" i="60"/>
  <c r="CL23" i="60"/>
  <c r="CL22" i="60"/>
  <c r="CL21" i="60"/>
  <c r="CL20" i="60"/>
  <c r="CL19" i="60"/>
  <c r="CL18" i="60"/>
  <c r="CL17" i="60"/>
  <c r="CL16" i="60"/>
  <c r="CL15" i="60"/>
  <c r="CL14" i="60"/>
  <c r="CL13" i="60"/>
  <c r="CL12" i="60"/>
  <c r="CL11" i="60"/>
  <c r="CL10" i="60"/>
  <c r="CL9" i="60"/>
  <c r="CL8" i="60"/>
  <c r="CF48" i="60"/>
  <c r="CF47" i="60"/>
  <c r="CF46" i="60"/>
  <c r="CF45" i="60"/>
  <c r="CF44" i="60"/>
  <c r="CF43" i="60"/>
  <c r="CF42" i="60"/>
  <c r="CF41" i="60"/>
  <c r="CF40" i="60"/>
  <c r="CF39" i="60"/>
  <c r="CF38" i="60"/>
  <c r="CF37" i="60"/>
  <c r="CF36" i="60"/>
  <c r="CF35" i="60"/>
  <c r="CF34" i="60"/>
  <c r="CF33" i="60"/>
  <c r="CF32" i="60"/>
  <c r="CF31" i="60"/>
  <c r="CF30" i="60"/>
  <c r="CF29" i="60"/>
  <c r="CF28" i="60"/>
  <c r="CF27" i="60"/>
  <c r="CF26" i="60"/>
  <c r="CF25" i="60"/>
  <c r="CF24" i="60"/>
  <c r="CF23" i="60"/>
  <c r="CF22" i="60"/>
  <c r="CF21" i="60"/>
  <c r="CF20" i="60"/>
  <c r="CF19" i="60"/>
  <c r="CF18" i="60"/>
  <c r="CF17" i="60"/>
  <c r="CF16" i="60"/>
  <c r="CF15" i="60"/>
  <c r="CF14" i="60"/>
  <c r="CF13" i="60"/>
  <c r="CF12" i="60"/>
  <c r="CF11" i="60"/>
  <c r="CF10" i="60"/>
  <c r="CF9" i="60"/>
  <c r="CF8" i="60"/>
  <c r="BZ48" i="60"/>
  <c r="BZ47" i="60"/>
  <c r="BZ46" i="60"/>
  <c r="BZ45" i="60"/>
  <c r="BZ44" i="60"/>
  <c r="BZ43" i="60"/>
  <c r="BZ42" i="60"/>
  <c r="BZ41" i="60"/>
  <c r="BZ40" i="60"/>
  <c r="BZ39" i="60"/>
  <c r="BZ38" i="60"/>
  <c r="BZ37" i="60"/>
  <c r="BZ36" i="60"/>
  <c r="BZ35" i="60"/>
  <c r="BZ34" i="60"/>
  <c r="BZ33" i="60"/>
  <c r="BZ32" i="60"/>
  <c r="BZ31" i="60"/>
  <c r="BZ30" i="60"/>
  <c r="BZ29" i="60"/>
  <c r="BZ28" i="60"/>
  <c r="BZ27" i="60"/>
  <c r="BZ26" i="60"/>
  <c r="BZ25" i="60"/>
  <c r="BZ24" i="60"/>
  <c r="BZ23" i="60"/>
  <c r="BZ22" i="60"/>
  <c r="BZ21" i="60"/>
  <c r="BZ20" i="60"/>
  <c r="BZ19" i="60"/>
  <c r="BZ18" i="60"/>
  <c r="BZ17" i="60"/>
  <c r="BZ16" i="60"/>
  <c r="BZ15" i="60"/>
  <c r="BZ14" i="60"/>
  <c r="BZ13" i="60"/>
  <c r="BZ12" i="60"/>
  <c r="BZ11" i="60"/>
  <c r="BZ10" i="60"/>
  <c r="BZ9" i="60"/>
  <c r="BZ8" i="60"/>
  <c r="BT48" i="60"/>
  <c r="BT47" i="60"/>
  <c r="BT46" i="60"/>
  <c r="BT45" i="60"/>
  <c r="BT44" i="60"/>
  <c r="BT43" i="60"/>
  <c r="BT42" i="60"/>
  <c r="BT41" i="60"/>
  <c r="BT40" i="60"/>
  <c r="BT39" i="60"/>
  <c r="BT38" i="60"/>
  <c r="BT37" i="60"/>
  <c r="BT36" i="60"/>
  <c r="BT35" i="60"/>
  <c r="BT34" i="60"/>
  <c r="BT33" i="60"/>
  <c r="BT32" i="60"/>
  <c r="BT31" i="60"/>
  <c r="BT30" i="60"/>
  <c r="BT29" i="60"/>
  <c r="BT28" i="60"/>
  <c r="BT27" i="60"/>
  <c r="BT26" i="60"/>
  <c r="BT25" i="60"/>
  <c r="BT24" i="60"/>
  <c r="BT23" i="60"/>
  <c r="BT22" i="60"/>
  <c r="BT21" i="60"/>
  <c r="BT20" i="60"/>
  <c r="BT19" i="60"/>
  <c r="BT18" i="60"/>
  <c r="BT17" i="60"/>
  <c r="BT16" i="60"/>
  <c r="BT15" i="60"/>
  <c r="BT14" i="60"/>
  <c r="BT13" i="60"/>
  <c r="BT12" i="60"/>
  <c r="BT11" i="60"/>
  <c r="BT10" i="60"/>
  <c r="BT9" i="60"/>
  <c r="BT8" i="60"/>
  <c r="BN48" i="60"/>
  <c r="BN47" i="60"/>
  <c r="BN46" i="60"/>
  <c r="BN45" i="60"/>
  <c r="BN44" i="60"/>
  <c r="BN43" i="60"/>
  <c r="BN42" i="60"/>
  <c r="BN41" i="60"/>
  <c r="BN40" i="60"/>
  <c r="BN39" i="60"/>
  <c r="BN38" i="60"/>
  <c r="BN37" i="60"/>
  <c r="BN36" i="60"/>
  <c r="BN35" i="60"/>
  <c r="BN34" i="60"/>
  <c r="BN33" i="60"/>
  <c r="BN32" i="60"/>
  <c r="BN31" i="60"/>
  <c r="BN30" i="60"/>
  <c r="BN29" i="60"/>
  <c r="BN28" i="60"/>
  <c r="BN27" i="60"/>
  <c r="BN26" i="60"/>
  <c r="BN25" i="60"/>
  <c r="BN24" i="60"/>
  <c r="BN23" i="60"/>
  <c r="BN22" i="60"/>
  <c r="BN21" i="60"/>
  <c r="BN20" i="60"/>
  <c r="BN19" i="60"/>
  <c r="BN18" i="60"/>
  <c r="BN17" i="60"/>
  <c r="BN16" i="60"/>
  <c r="BN15" i="60"/>
  <c r="BN14" i="60"/>
  <c r="BN13" i="60"/>
  <c r="BN12" i="60"/>
  <c r="BN11" i="60"/>
  <c r="BN10" i="60"/>
  <c r="BN9" i="60"/>
  <c r="BN8" i="60"/>
  <c r="BH48" i="60"/>
  <c r="BH47" i="60"/>
  <c r="BH46" i="60"/>
  <c r="BH45" i="60"/>
  <c r="BH44" i="60"/>
  <c r="BH43" i="60"/>
  <c r="BH42" i="60"/>
  <c r="BH41" i="60"/>
  <c r="BH40" i="60"/>
  <c r="BH39" i="60"/>
  <c r="BH38" i="60"/>
  <c r="BH37" i="60"/>
  <c r="BH36" i="60"/>
  <c r="BH35" i="60"/>
  <c r="BH34" i="60"/>
  <c r="BH33" i="60"/>
  <c r="BH32" i="60"/>
  <c r="BH31" i="60"/>
  <c r="BH30" i="60"/>
  <c r="BH29" i="60"/>
  <c r="BH28" i="60"/>
  <c r="BH27" i="60"/>
  <c r="BH26" i="60"/>
  <c r="BH25" i="60"/>
  <c r="BH24" i="60"/>
  <c r="BH23" i="60"/>
  <c r="BH22" i="60"/>
  <c r="BH21" i="60"/>
  <c r="BH20" i="60"/>
  <c r="BH19" i="60"/>
  <c r="BH18" i="60"/>
  <c r="BH17" i="60"/>
  <c r="BH16" i="60"/>
  <c r="BH15" i="60"/>
  <c r="BH14" i="60"/>
  <c r="BH13" i="60"/>
  <c r="BH12" i="60"/>
  <c r="BH11" i="60"/>
  <c r="BH10" i="60"/>
  <c r="BH9" i="60"/>
  <c r="BH8" i="60"/>
  <c r="BB48" i="60"/>
  <c r="BB47" i="60"/>
  <c r="BB46" i="60"/>
  <c r="BB45" i="60"/>
  <c r="BB44" i="60"/>
  <c r="BB43" i="60"/>
  <c r="BB42" i="60"/>
  <c r="BB41" i="60"/>
  <c r="BB40" i="60"/>
  <c r="BB39" i="60"/>
  <c r="BB38" i="60"/>
  <c r="BB37" i="60"/>
  <c r="BB36" i="60"/>
  <c r="BB35" i="60"/>
  <c r="BB34" i="60"/>
  <c r="BB33" i="60"/>
  <c r="BB32" i="60"/>
  <c r="BB31" i="60"/>
  <c r="BB30" i="60"/>
  <c r="BB29" i="60"/>
  <c r="BB28" i="60"/>
  <c r="BB27" i="60"/>
  <c r="BB26" i="60"/>
  <c r="BB25" i="60"/>
  <c r="BB24" i="60"/>
  <c r="BB23" i="60"/>
  <c r="BB22" i="60"/>
  <c r="BB21" i="60"/>
  <c r="BB20" i="60"/>
  <c r="BB19" i="60"/>
  <c r="BB18" i="60"/>
  <c r="BB17" i="60"/>
  <c r="BB16" i="60"/>
  <c r="BB15" i="60"/>
  <c r="BB14" i="60"/>
  <c r="BB13" i="60"/>
  <c r="BB12" i="60"/>
  <c r="BB11" i="60"/>
  <c r="BB10" i="60"/>
  <c r="BB9" i="60"/>
  <c r="BB8" i="60"/>
  <c r="AV48" i="60"/>
  <c r="AV47" i="60"/>
  <c r="AV46" i="60"/>
  <c r="AV45" i="60"/>
  <c r="AV44" i="60"/>
  <c r="AV43" i="60"/>
  <c r="AV42" i="60"/>
  <c r="AV41" i="60"/>
  <c r="AV40" i="60"/>
  <c r="AV39" i="60"/>
  <c r="AV38" i="60"/>
  <c r="AV37" i="60"/>
  <c r="AV36" i="60"/>
  <c r="AV35" i="60"/>
  <c r="AV34" i="60"/>
  <c r="AV33" i="60"/>
  <c r="AV32" i="60"/>
  <c r="AV31" i="60"/>
  <c r="AV30" i="60"/>
  <c r="AV29" i="60"/>
  <c r="AV28" i="60"/>
  <c r="AV27" i="60"/>
  <c r="AV26" i="60"/>
  <c r="AV25" i="60"/>
  <c r="AV24" i="60"/>
  <c r="AV23" i="60"/>
  <c r="AV22" i="60"/>
  <c r="AV21" i="60"/>
  <c r="AV20" i="60"/>
  <c r="AV19" i="60"/>
  <c r="AV18" i="60"/>
  <c r="AV17" i="60"/>
  <c r="AV16" i="60"/>
  <c r="AV15" i="60"/>
  <c r="AV14" i="60"/>
  <c r="AV13" i="60"/>
  <c r="AV12" i="60"/>
  <c r="AV11" i="60"/>
  <c r="AV10" i="60"/>
  <c r="AV9" i="60"/>
  <c r="AV8" i="60"/>
  <c r="AP48" i="60"/>
  <c r="AP47" i="60"/>
  <c r="AP46" i="60"/>
  <c r="AP45" i="60"/>
  <c r="AP44" i="60"/>
  <c r="AP43" i="60"/>
  <c r="AP42" i="60"/>
  <c r="AP41" i="60"/>
  <c r="AP40" i="60"/>
  <c r="AP39" i="60"/>
  <c r="AP38" i="60"/>
  <c r="AP37" i="60"/>
  <c r="AP36" i="60"/>
  <c r="AP35" i="60"/>
  <c r="AP34" i="60"/>
  <c r="AP33" i="60"/>
  <c r="AP32" i="60"/>
  <c r="AP31" i="60"/>
  <c r="AP30" i="60"/>
  <c r="AP29" i="60"/>
  <c r="AP28" i="60"/>
  <c r="AP27" i="60"/>
  <c r="AP26" i="60"/>
  <c r="AP25" i="60"/>
  <c r="AP24" i="60"/>
  <c r="AP23" i="60"/>
  <c r="AP22" i="60"/>
  <c r="AP21" i="60"/>
  <c r="AP20" i="60"/>
  <c r="AP19" i="60"/>
  <c r="AP18" i="60"/>
  <c r="AP17" i="60"/>
  <c r="AP16" i="60"/>
  <c r="AP15" i="60"/>
  <c r="AP14" i="60"/>
  <c r="AP13" i="60"/>
  <c r="AP12" i="60"/>
  <c r="AP11" i="60"/>
  <c r="AP10" i="60"/>
  <c r="AP9" i="60"/>
  <c r="AP8" i="60"/>
  <c r="AJ48" i="60"/>
  <c r="AJ47" i="60"/>
  <c r="AJ46" i="60"/>
  <c r="AJ45" i="60"/>
  <c r="AJ44" i="60"/>
  <c r="AJ43" i="60"/>
  <c r="AJ42" i="60"/>
  <c r="AJ41" i="60"/>
  <c r="AJ40" i="60"/>
  <c r="AJ39" i="60"/>
  <c r="AJ38" i="60"/>
  <c r="AJ37" i="60"/>
  <c r="AJ36" i="60"/>
  <c r="AJ35" i="60"/>
  <c r="AJ34" i="60"/>
  <c r="AJ33" i="60"/>
  <c r="AJ32" i="60"/>
  <c r="AJ31" i="60"/>
  <c r="AJ30" i="60"/>
  <c r="AJ29" i="60"/>
  <c r="AJ28" i="60"/>
  <c r="AJ27" i="60"/>
  <c r="AJ26" i="60"/>
  <c r="AJ25" i="60"/>
  <c r="AJ24" i="60"/>
  <c r="AJ23" i="60"/>
  <c r="AJ22" i="60"/>
  <c r="AJ21" i="60"/>
  <c r="AJ20" i="60"/>
  <c r="AJ19" i="60"/>
  <c r="AJ18" i="60"/>
  <c r="AJ17" i="60"/>
  <c r="AJ16" i="60"/>
  <c r="AJ15" i="60"/>
  <c r="AJ14" i="60"/>
  <c r="AJ13" i="60"/>
  <c r="AJ12" i="60"/>
  <c r="AJ11" i="60"/>
  <c r="AJ10" i="60"/>
  <c r="AJ9" i="60"/>
  <c r="AJ8" i="60"/>
  <c r="AD48" i="60"/>
  <c r="AD47" i="60"/>
  <c r="AD46" i="60"/>
  <c r="AD45" i="60"/>
  <c r="AD44" i="60"/>
  <c r="AD43" i="60"/>
  <c r="AD42" i="60"/>
  <c r="AD41" i="60"/>
  <c r="AD40" i="60"/>
  <c r="AD39" i="60"/>
  <c r="AD38" i="60"/>
  <c r="AD37" i="60"/>
  <c r="AD36" i="60"/>
  <c r="AD35" i="60"/>
  <c r="AD34" i="60"/>
  <c r="AD33" i="60"/>
  <c r="AD32" i="60"/>
  <c r="AD31" i="60"/>
  <c r="AD30" i="60"/>
  <c r="AD29" i="60"/>
  <c r="AD28" i="60"/>
  <c r="AD27" i="60"/>
  <c r="AD26" i="60"/>
  <c r="AD25" i="60"/>
  <c r="AD24" i="60"/>
  <c r="AD23" i="60"/>
  <c r="AD22" i="60"/>
  <c r="AD21" i="60"/>
  <c r="AD20" i="60"/>
  <c r="AD19" i="60"/>
  <c r="AD18" i="60"/>
  <c r="AD17" i="60"/>
  <c r="AD16" i="60"/>
  <c r="AD15" i="60"/>
  <c r="AD14" i="60"/>
  <c r="AD13" i="60"/>
  <c r="AD12" i="60"/>
  <c r="AD11" i="60"/>
  <c r="AD10" i="60"/>
  <c r="AD9" i="60"/>
  <c r="AD8" i="60"/>
  <c r="X48" i="60"/>
  <c r="X47" i="60"/>
  <c r="X46" i="60"/>
  <c r="X45" i="60"/>
  <c r="X44" i="60"/>
  <c r="X43" i="60"/>
  <c r="X42" i="60"/>
  <c r="X41" i="60"/>
  <c r="X40" i="60"/>
  <c r="X39" i="60"/>
  <c r="X38" i="60"/>
  <c r="X37" i="60"/>
  <c r="X36" i="60"/>
  <c r="X35" i="60"/>
  <c r="X34" i="60"/>
  <c r="X33" i="60"/>
  <c r="X32" i="60"/>
  <c r="X31" i="60"/>
  <c r="X30" i="60"/>
  <c r="X29" i="60"/>
  <c r="X28" i="60"/>
  <c r="X27" i="60"/>
  <c r="X26" i="60"/>
  <c r="X25" i="60"/>
  <c r="X24" i="60"/>
  <c r="X23" i="60"/>
  <c r="X22" i="60"/>
  <c r="X21" i="60"/>
  <c r="X20" i="60"/>
  <c r="X19" i="60"/>
  <c r="X18" i="60"/>
  <c r="X17" i="60"/>
  <c r="X16" i="60"/>
  <c r="X15" i="60"/>
  <c r="X14" i="60"/>
  <c r="X13" i="60"/>
  <c r="X12" i="60"/>
  <c r="X11" i="60"/>
  <c r="X10" i="60"/>
  <c r="X9" i="60"/>
  <c r="X8" i="60"/>
  <c r="R48" i="60"/>
  <c r="R47" i="60"/>
  <c r="R46" i="60"/>
  <c r="R45" i="60"/>
  <c r="R44" i="60"/>
  <c r="R43" i="60"/>
  <c r="R42" i="60"/>
  <c r="R41" i="60"/>
  <c r="R40" i="60"/>
  <c r="R39" i="60"/>
  <c r="R38" i="60"/>
  <c r="R37" i="60"/>
  <c r="R36" i="60"/>
  <c r="R35" i="60"/>
  <c r="R34" i="60"/>
  <c r="R33" i="60"/>
  <c r="R32" i="60"/>
  <c r="R31" i="60"/>
  <c r="R30" i="60"/>
  <c r="R29" i="60"/>
  <c r="R28" i="60"/>
  <c r="R27" i="60"/>
  <c r="R26" i="60"/>
  <c r="R25" i="60"/>
  <c r="R24" i="60"/>
  <c r="R23" i="60"/>
  <c r="R22" i="60"/>
  <c r="R21" i="60"/>
  <c r="R20" i="60"/>
  <c r="R19" i="60"/>
  <c r="R18" i="60"/>
  <c r="R17" i="60"/>
  <c r="R16" i="60"/>
  <c r="R15" i="60"/>
  <c r="R14" i="60"/>
  <c r="R13" i="60"/>
  <c r="R12" i="60"/>
  <c r="R11" i="60"/>
  <c r="R10" i="60"/>
  <c r="R9" i="60"/>
  <c r="R8" i="60"/>
  <c r="L8" i="60"/>
  <c r="F9" i="60"/>
  <c r="F10" i="60"/>
  <c r="F11" i="60"/>
  <c r="F12" i="60"/>
  <c r="F13" i="60"/>
  <c r="F14" i="60"/>
  <c r="F15" i="60"/>
  <c r="F16" i="60"/>
  <c r="F17" i="60"/>
  <c r="F18" i="60"/>
  <c r="F19" i="60"/>
  <c r="F20" i="60"/>
  <c r="F21" i="60"/>
  <c r="F22" i="60"/>
  <c r="F23" i="60"/>
  <c r="F24" i="60"/>
  <c r="F25" i="60"/>
  <c r="F26" i="60"/>
  <c r="F27" i="60"/>
  <c r="F28" i="60"/>
  <c r="F29" i="60"/>
  <c r="F30" i="60"/>
  <c r="F31" i="60"/>
  <c r="F32" i="60"/>
  <c r="F33" i="60"/>
  <c r="F34" i="60"/>
  <c r="F35" i="60"/>
  <c r="F36" i="60"/>
  <c r="F37" i="60"/>
  <c r="F38" i="60"/>
  <c r="F39" i="60"/>
  <c r="F40" i="60"/>
  <c r="F41" i="60"/>
  <c r="F42" i="60"/>
  <c r="F43" i="60"/>
  <c r="F44" i="60"/>
  <c r="F45" i="60"/>
  <c r="F46" i="60"/>
  <c r="F47" i="60"/>
  <c r="F48" i="60"/>
  <c r="F8" i="60"/>
  <c r="DP94" i="60"/>
  <c r="DO94" i="60"/>
  <c r="DN94" i="60"/>
  <c r="DM94" i="60"/>
  <c r="DI94" i="60"/>
  <c r="DH94" i="60"/>
  <c r="DG94" i="60"/>
  <c r="DD94" i="60"/>
  <c r="DC94" i="60"/>
  <c r="DB94" i="60"/>
  <c r="DA94" i="60"/>
  <c r="CX94" i="60"/>
  <c r="CW94" i="60"/>
  <c r="CV94" i="60"/>
  <c r="CU94" i="60"/>
  <c r="DO87" i="60" a="1"/>
  <c r="DO92" i="60" s="1"/>
  <c r="DN87" i="60" a="1"/>
  <c r="DN91" i="60" s="1"/>
  <c r="DM87" i="60" a="1"/>
  <c r="DM92" i="60" s="1"/>
  <c r="DI87" i="60" a="1"/>
  <c r="DI91" i="60" s="1"/>
  <c r="DH87" i="60" a="1"/>
  <c r="DH92" i="60" s="1"/>
  <c r="DG87" i="60" a="1"/>
  <c r="DG91" i="60" s="1"/>
  <c r="DC87" i="60" a="1"/>
  <c r="DC92" i="60" s="1"/>
  <c r="DB87" i="60" a="1"/>
  <c r="DB91" i="60" s="1"/>
  <c r="DA87" i="60" a="1"/>
  <c r="DA92" i="60" s="1"/>
  <c r="CW87" i="60" a="1"/>
  <c r="CW91" i="60" s="1"/>
  <c r="CV87" i="60" a="1"/>
  <c r="CV92" i="60" s="1"/>
  <c r="CU87" i="60" a="1"/>
  <c r="CU91" i="60" s="1"/>
  <c r="CX85" i="60"/>
  <c r="DD85" i="60" s="1"/>
  <c r="DJ85" i="60" s="1"/>
  <c r="DP85" i="60" s="1"/>
  <c r="CW85" i="60"/>
  <c r="DC85" i="60" s="1"/>
  <c r="DI85" i="60" s="1"/>
  <c r="DO85" i="60" s="1"/>
  <c r="CV85" i="60"/>
  <c r="DB85" i="60" s="1"/>
  <c r="DH85" i="60" s="1"/>
  <c r="DN85" i="60" s="1"/>
  <c r="CT85" i="60"/>
  <c r="CZ85" i="60" s="1"/>
  <c r="DF85" i="60" s="1"/>
  <c r="DL85" i="60" s="1"/>
  <c r="DO77" i="60"/>
  <c r="DN77" i="60"/>
  <c r="DM77" i="60"/>
  <c r="DI77" i="60"/>
  <c r="DH77" i="60"/>
  <c r="DG77" i="60"/>
  <c r="DD77" i="60"/>
  <c r="DC77" i="60"/>
  <c r="DB77" i="60"/>
  <c r="DA77" i="60"/>
  <c r="CX77" i="60"/>
  <c r="CW77" i="60"/>
  <c r="CV77" i="60"/>
  <c r="CU77" i="60"/>
  <c r="DO60" i="60" a="1"/>
  <c r="DO75" i="60" s="1"/>
  <c r="DN60" i="60" a="1"/>
  <c r="DN74" i="60" s="1"/>
  <c r="DM60" i="60" a="1"/>
  <c r="DM75" i="60" s="1"/>
  <c r="DI60" i="60" a="1"/>
  <c r="DI74" i="60" s="1"/>
  <c r="DH60" i="60" a="1"/>
  <c r="DH75" i="60" s="1"/>
  <c r="DG60" i="60" a="1"/>
  <c r="DG74" i="60" s="1"/>
  <c r="DC60" i="60" a="1"/>
  <c r="DC75" i="60" s="1"/>
  <c r="DB60" i="60" a="1"/>
  <c r="DB74" i="60" s="1"/>
  <c r="DA60" i="60" a="1"/>
  <c r="DA75" i="60" s="1"/>
  <c r="CW60" i="60" a="1"/>
  <c r="CW74" i="60" s="1"/>
  <c r="CV60" i="60" a="1"/>
  <c r="CV75" i="60" s="1"/>
  <c r="CU60" i="60" a="1"/>
  <c r="CU74" i="60" s="1"/>
  <c r="CX58" i="60"/>
  <c r="DD58" i="60" s="1"/>
  <c r="DJ58" i="60" s="1"/>
  <c r="DP58" i="60" s="1"/>
  <c r="CW58" i="60"/>
  <c r="DC58" i="60" s="1"/>
  <c r="DI58" i="60" s="1"/>
  <c r="DO58" i="60" s="1"/>
  <c r="CV58" i="60"/>
  <c r="DB58" i="60" s="1"/>
  <c r="DH58" i="60" s="1"/>
  <c r="DN58" i="60" s="1"/>
  <c r="CT58" i="60"/>
  <c r="CZ58" i="60" s="1"/>
  <c r="DF58" i="60" s="1"/>
  <c r="DL58" i="60" s="1"/>
  <c r="DD6" i="60"/>
  <c r="DJ6" i="60" s="1"/>
  <c r="DP6" i="60" s="1"/>
  <c r="DC6" i="60"/>
  <c r="DI6" i="60" s="1"/>
  <c r="DO6" i="60" s="1"/>
  <c r="DB6" i="60"/>
  <c r="DH6" i="60" s="1"/>
  <c r="DN6" i="60" s="1"/>
  <c r="CZ6" i="60"/>
  <c r="DF6" i="60" s="1"/>
  <c r="DL6" i="60" s="1"/>
  <c r="CQ94" i="60"/>
  <c r="CP94" i="60"/>
  <c r="CO94" i="60"/>
  <c r="CK94" i="60"/>
  <c r="CJ94" i="60"/>
  <c r="CI94" i="60"/>
  <c r="CE94" i="60"/>
  <c r="CD94" i="60"/>
  <c r="CC94" i="60"/>
  <c r="BY94" i="60"/>
  <c r="BX94" i="60"/>
  <c r="BW94" i="60"/>
  <c r="CQ87" i="60" a="1"/>
  <c r="CQ92" i="60" s="1"/>
  <c r="CP87" i="60" a="1"/>
  <c r="CP91" i="60" s="1"/>
  <c r="CO87" i="60" a="1"/>
  <c r="CO92" i="60" s="1"/>
  <c r="CK87" i="60" a="1"/>
  <c r="CK91" i="60" s="1"/>
  <c r="CJ87" i="60" a="1"/>
  <c r="CJ92" i="60" s="1"/>
  <c r="CI87" i="60" a="1"/>
  <c r="CI92" i="60" s="1"/>
  <c r="CE87" i="60" a="1"/>
  <c r="CE92" i="60" s="1"/>
  <c r="CD87" i="60" a="1"/>
  <c r="CD91" i="60" s="1"/>
  <c r="CC87" i="60" a="1"/>
  <c r="CC92" i="60" s="1"/>
  <c r="BY87" i="60" a="1"/>
  <c r="BY92" i="60" s="1"/>
  <c r="BX87" i="60" a="1"/>
  <c r="BX92" i="60" s="1"/>
  <c r="BW87" i="60" a="1"/>
  <c r="BW92" i="60" s="1"/>
  <c r="BZ85" i="60"/>
  <c r="CF85" i="60" s="1"/>
  <c r="CL85" i="60" s="1"/>
  <c r="CR85" i="60" s="1"/>
  <c r="BY85" i="60"/>
  <c r="CE85" i="60" s="1"/>
  <c r="CK85" i="60" s="1"/>
  <c r="CQ85" i="60" s="1"/>
  <c r="BX85" i="60"/>
  <c r="CD85" i="60" s="1"/>
  <c r="CJ85" i="60" s="1"/>
  <c r="CP85" i="60" s="1"/>
  <c r="BV85" i="60"/>
  <c r="CB85" i="60" s="1"/>
  <c r="CH85" i="60" s="1"/>
  <c r="CN85" i="60" s="1"/>
  <c r="CQ77" i="60"/>
  <c r="CP77" i="60"/>
  <c r="CO77" i="60"/>
  <c r="CK77" i="60"/>
  <c r="CJ77" i="60"/>
  <c r="CI77" i="60"/>
  <c r="CE77" i="60"/>
  <c r="CD77" i="60"/>
  <c r="CC77" i="60"/>
  <c r="BY77" i="60"/>
  <c r="BX77" i="60"/>
  <c r="BW77" i="60"/>
  <c r="CQ60" i="60" a="1"/>
  <c r="CQ75" i="60" s="1"/>
  <c r="CP60" i="60" a="1"/>
  <c r="CP74" i="60" s="1"/>
  <c r="CO60" i="60" a="1"/>
  <c r="CO75" i="60" s="1"/>
  <c r="CK60" i="60" a="1"/>
  <c r="CK75" i="60" s="1"/>
  <c r="CJ60" i="60" a="1"/>
  <c r="CJ75" i="60" s="1"/>
  <c r="CI60" i="60" a="1"/>
  <c r="CI75" i="60" s="1"/>
  <c r="CE60" i="60" a="1"/>
  <c r="CE75" i="60" s="1"/>
  <c r="CD60" i="60" a="1"/>
  <c r="CD74" i="60" s="1"/>
  <c r="CC60" i="60" a="1"/>
  <c r="CC75" i="60" s="1"/>
  <c r="BY60" i="60" a="1"/>
  <c r="BY75" i="60" s="1"/>
  <c r="BX60" i="60" a="1"/>
  <c r="BX75" i="60" s="1"/>
  <c r="BW60" i="60" a="1"/>
  <c r="BW75" i="60" s="1"/>
  <c r="BZ58" i="60"/>
  <c r="CF58" i="60" s="1"/>
  <c r="CL58" i="60" s="1"/>
  <c r="CR58" i="60" s="1"/>
  <c r="BY58" i="60"/>
  <c r="CE58" i="60" s="1"/>
  <c r="CK58" i="60" s="1"/>
  <c r="CQ58" i="60" s="1"/>
  <c r="BX58" i="60"/>
  <c r="CD58" i="60" s="1"/>
  <c r="CJ58" i="60" s="1"/>
  <c r="CP58" i="60" s="1"/>
  <c r="BV58" i="60"/>
  <c r="CB58" i="60" s="1"/>
  <c r="CH58" i="60" s="1"/>
  <c r="CN58" i="60" s="1"/>
  <c r="CF6" i="60"/>
  <c r="CL6" i="60" s="1"/>
  <c r="CR6" i="60" s="1"/>
  <c r="CE6" i="60"/>
  <c r="CK6" i="60" s="1"/>
  <c r="CQ6" i="60" s="1"/>
  <c r="CD6" i="60"/>
  <c r="CJ6" i="60" s="1"/>
  <c r="CP6" i="60" s="1"/>
  <c r="CB6" i="60"/>
  <c r="CH6" i="60" s="1"/>
  <c r="CN6" i="60" s="1"/>
  <c r="BS94" i="60"/>
  <c r="BR94" i="60"/>
  <c r="BQ94" i="60"/>
  <c r="BM94" i="60"/>
  <c r="BL94" i="60"/>
  <c r="BK94" i="60"/>
  <c r="BH94" i="60"/>
  <c r="BG94" i="60"/>
  <c r="BF94" i="60"/>
  <c r="BE94" i="60"/>
  <c r="BB94" i="60"/>
  <c r="BA94" i="60"/>
  <c r="AZ94" i="60"/>
  <c r="AY94" i="60"/>
  <c r="BS87" i="60" a="1"/>
  <c r="BS92" i="60" s="1"/>
  <c r="BR87" i="60" a="1"/>
  <c r="BR91" i="60" s="1"/>
  <c r="BQ87" i="60" a="1"/>
  <c r="BQ92" i="60" s="1"/>
  <c r="BM87" i="60" a="1"/>
  <c r="BM91" i="60" s="1"/>
  <c r="BL87" i="60" a="1"/>
  <c r="BL92" i="60" s="1"/>
  <c r="BK87" i="60" a="1"/>
  <c r="BK92" i="60" s="1"/>
  <c r="BG87" i="60" a="1"/>
  <c r="BG92" i="60" s="1"/>
  <c r="BF87" i="60" a="1"/>
  <c r="BF91" i="60" s="1"/>
  <c r="BE87" i="60" a="1"/>
  <c r="BE92" i="60" s="1"/>
  <c r="BA87" i="60" a="1"/>
  <c r="BA92" i="60" s="1"/>
  <c r="AZ87" i="60" a="1"/>
  <c r="AZ92" i="60" s="1"/>
  <c r="AY87" i="60" a="1"/>
  <c r="AY91" i="60" s="1"/>
  <c r="BB85" i="60"/>
  <c r="BH85" i="60" s="1"/>
  <c r="BN85" i="60" s="1"/>
  <c r="BT85" i="60" s="1"/>
  <c r="BA85" i="60"/>
  <c r="BG85" i="60" s="1"/>
  <c r="BM85" i="60" s="1"/>
  <c r="BS85" i="60" s="1"/>
  <c r="AZ85" i="60"/>
  <c r="BF85" i="60" s="1"/>
  <c r="BL85" i="60" s="1"/>
  <c r="BR85" i="60" s="1"/>
  <c r="AX85" i="60"/>
  <c r="BD85" i="60" s="1"/>
  <c r="BJ85" i="60" s="1"/>
  <c r="BP85" i="60" s="1"/>
  <c r="BS77" i="60"/>
  <c r="BR77" i="60"/>
  <c r="BQ77" i="60"/>
  <c r="BM77" i="60"/>
  <c r="BL77" i="60"/>
  <c r="BK77" i="60"/>
  <c r="BH77" i="60"/>
  <c r="BG77" i="60"/>
  <c r="BF77" i="60"/>
  <c r="BE77" i="60"/>
  <c r="BB77" i="60"/>
  <c r="BA77" i="60"/>
  <c r="AZ77" i="60"/>
  <c r="AY77" i="60"/>
  <c r="BS60" i="60" a="1"/>
  <c r="BS75" i="60" s="1"/>
  <c r="BR60" i="60" a="1"/>
  <c r="BR74" i="60" s="1"/>
  <c r="BQ60" i="60" a="1"/>
  <c r="BQ75" i="60" s="1"/>
  <c r="BM60" i="60" a="1"/>
  <c r="BM74" i="60" s="1"/>
  <c r="BL60" i="60" a="1"/>
  <c r="BL75" i="60" s="1"/>
  <c r="BK60" i="60" a="1"/>
  <c r="BK74" i="60" s="1"/>
  <c r="BG60" i="60" a="1"/>
  <c r="BG75" i="60" s="1"/>
  <c r="BF60" i="60" a="1"/>
  <c r="BF74" i="60" s="1"/>
  <c r="BE60" i="60" a="1"/>
  <c r="BE75" i="60" s="1"/>
  <c r="BA60" i="60" a="1"/>
  <c r="BA74" i="60" s="1"/>
  <c r="AZ60" i="60" a="1"/>
  <c r="AZ75" i="60" s="1"/>
  <c r="AY60" i="60" a="1"/>
  <c r="AY74" i="60" s="1"/>
  <c r="BB58" i="60"/>
  <c r="BH58" i="60" s="1"/>
  <c r="BN58" i="60" s="1"/>
  <c r="BT58" i="60" s="1"/>
  <c r="BA58" i="60"/>
  <c r="BG58" i="60" s="1"/>
  <c r="BM58" i="60" s="1"/>
  <c r="BS58" i="60" s="1"/>
  <c r="AZ58" i="60"/>
  <c r="BF58" i="60" s="1"/>
  <c r="BL58" i="60" s="1"/>
  <c r="BR58" i="60" s="1"/>
  <c r="AX58" i="60"/>
  <c r="BD58" i="60" s="1"/>
  <c r="BJ58" i="60" s="1"/>
  <c r="BP58" i="60" s="1"/>
  <c r="BH6" i="60"/>
  <c r="BN6" i="60" s="1"/>
  <c r="BT6" i="60" s="1"/>
  <c r="BG6" i="60"/>
  <c r="BM6" i="60" s="1"/>
  <c r="BS6" i="60" s="1"/>
  <c r="BF6" i="60"/>
  <c r="BL6" i="60" s="1"/>
  <c r="BR6" i="60" s="1"/>
  <c r="BD6" i="60"/>
  <c r="BJ6" i="60" s="1"/>
  <c r="BP6" i="60" s="1"/>
  <c r="CS52" i="60"/>
  <c r="CS79" i="60"/>
  <c r="CS96" i="60"/>
  <c r="AU94" i="60"/>
  <c r="AT94" i="60"/>
  <c r="AS94" i="60"/>
  <c r="AO94" i="60"/>
  <c r="AN94" i="60"/>
  <c r="AM94" i="60"/>
  <c r="AI94" i="60"/>
  <c r="AH94" i="60"/>
  <c r="AG94" i="60"/>
  <c r="AC94" i="60"/>
  <c r="AB94" i="60"/>
  <c r="AA94" i="60"/>
  <c r="AU87" i="60" a="1"/>
  <c r="AU92" i="60" s="1"/>
  <c r="AT87" i="60" a="1"/>
  <c r="AT91" i="60" s="1"/>
  <c r="AS87" i="60" a="1"/>
  <c r="AS92" i="60" s="1"/>
  <c r="AO87" i="60" a="1"/>
  <c r="AO91" i="60" s="1"/>
  <c r="AN87" i="60" a="1"/>
  <c r="AN92" i="60" s="1"/>
  <c r="AM87" i="60" a="1"/>
  <c r="AM91" i="60" s="1"/>
  <c r="AI87" i="60" a="1"/>
  <c r="AI92" i="60" s="1"/>
  <c r="AH87" i="60" a="1"/>
  <c r="AH91" i="60" s="1"/>
  <c r="AG87" i="60" a="1"/>
  <c r="AG92" i="60" s="1"/>
  <c r="AC87" i="60" a="1"/>
  <c r="AC91" i="60" s="1"/>
  <c r="AB87" i="60" a="1"/>
  <c r="AB92" i="60" s="1"/>
  <c r="AA87" i="60" a="1"/>
  <c r="AA91" i="60" s="1"/>
  <c r="AD85" i="60"/>
  <c r="AJ85" i="60" s="1"/>
  <c r="AP85" i="60" s="1"/>
  <c r="AV85" i="60" s="1"/>
  <c r="AC85" i="60"/>
  <c r="AI85" i="60" s="1"/>
  <c r="AO85" i="60" s="1"/>
  <c r="AU85" i="60" s="1"/>
  <c r="AB85" i="60"/>
  <c r="AH85" i="60" s="1"/>
  <c r="AN85" i="60" s="1"/>
  <c r="AT85" i="60" s="1"/>
  <c r="Z85" i="60"/>
  <c r="AF85" i="60" s="1"/>
  <c r="AL85" i="60" s="1"/>
  <c r="AR85" i="60" s="1"/>
  <c r="AV77" i="60"/>
  <c r="AU77" i="60"/>
  <c r="AT77" i="60"/>
  <c r="AS77" i="60"/>
  <c r="AO77" i="60"/>
  <c r="AN77" i="60"/>
  <c r="AM77" i="60"/>
  <c r="AI77" i="60"/>
  <c r="AH77" i="60"/>
  <c r="AG77" i="60"/>
  <c r="AC77" i="60"/>
  <c r="AB77" i="60"/>
  <c r="AA77" i="60"/>
  <c r="AU60" i="60" a="1"/>
  <c r="AU75" i="60" s="1"/>
  <c r="AT60" i="60" a="1"/>
  <c r="AT74" i="60" s="1"/>
  <c r="AS60" i="60" a="1"/>
  <c r="AS75" i="60" s="1"/>
  <c r="AO60" i="60" a="1"/>
  <c r="AO74" i="60" s="1"/>
  <c r="AN60" i="60" a="1"/>
  <c r="AN75" i="60" s="1"/>
  <c r="AM60" i="60" a="1"/>
  <c r="AM74" i="60" s="1"/>
  <c r="AI60" i="60" a="1"/>
  <c r="AI75" i="60" s="1"/>
  <c r="AH60" i="60" a="1"/>
  <c r="AH74" i="60" s="1"/>
  <c r="AG60" i="60" a="1"/>
  <c r="AG75" i="60" s="1"/>
  <c r="AC60" i="60" a="1"/>
  <c r="AC74" i="60" s="1"/>
  <c r="AB60" i="60" a="1"/>
  <c r="AB75" i="60" s="1"/>
  <c r="AA60" i="60" a="1"/>
  <c r="AA74" i="60" s="1"/>
  <c r="AD58" i="60"/>
  <c r="AJ58" i="60" s="1"/>
  <c r="AP58" i="60" s="1"/>
  <c r="AV58" i="60" s="1"/>
  <c r="AC58" i="60"/>
  <c r="AI58" i="60" s="1"/>
  <c r="AO58" i="60" s="1"/>
  <c r="AU58" i="60" s="1"/>
  <c r="AB58" i="60"/>
  <c r="AH58" i="60" s="1"/>
  <c r="AN58" i="60" s="1"/>
  <c r="AT58" i="60" s="1"/>
  <c r="Z58" i="60"/>
  <c r="AF58" i="60" s="1"/>
  <c r="AL58" i="60" s="1"/>
  <c r="AR58" i="60" s="1"/>
  <c r="AJ6" i="60"/>
  <c r="AP6" i="60" s="1"/>
  <c r="AV6" i="60" s="1"/>
  <c r="AI6" i="60"/>
  <c r="AO6" i="60" s="1"/>
  <c r="AU6" i="60" s="1"/>
  <c r="AH6" i="60"/>
  <c r="AN6" i="60" s="1"/>
  <c r="AT6" i="60" s="1"/>
  <c r="AF6" i="60"/>
  <c r="AL6" i="60" s="1"/>
  <c r="AR6" i="60" s="1"/>
  <c r="AW52" i="60"/>
  <c r="BU52" i="60"/>
  <c r="AW79" i="60"/>
  <c r="BU79" i="60"/>
  <c r="AW96" i="60"/>
  <c r="BU96" i="60"/>
  <c r="CU6" i="60"/>
  <c r="DA6" i="60" s="1"/>
  <c r="DG6" i="60" s="1"/>
  <c r="DM6" i="60" s="1"/>
  <c r="U87" i="60" a="1"/>
  <c r="U87" i="60" s="1"/>
  <c r="V87" i="60" a="1"/>
  <c r="V87" i="60" s="1"/>
  <c r="U94" i="60"/>
  <c r="V94" i="60"/>
  <c r="O87" i="60" a="1"/>
  <c r="O87" i="60" s="1"/>
  <c r="P87" i="60" a="1"/>
  <c r="P87" i="60" s="1"/>
  <c r="O94" i="60"/>
  <c r="P94" i="60"/>
  <c r="I87" i="60" a="1"/>
  <c r="I87" i="60" s="1"/>
  <c r="J87" i="60" a="1"/>
  <c r="J87" i="60" s="1"/>
  <c r="I94" i="60"/>
  <c r="J94" i="60"/>
  <c r="D85" i="60"/>
  <c r="J85" i="60" s="1"/>
  <c r="P85" i="60" s="1"/>
  <c r="V85" i="60" s="1"/>
  <c r="E85" i="60"/>
  <c r="K85" i="60" s="1"/>
  <c r="Q85" i="60" s="1"/>
  <c r="W85" i="60" s="1"/>
  <c r="F85" i="60"/>
  <c r="L85" i="60" s="1"/>
  <c r="R85" i="60" s="1"/>
  <c r="X85" i="60" s="1"/>
  <c r="B85" i="60"/>
  <c r="H85" i="60" s="1"/>
  <c r="N85" i="60" s="1"/>
  <c r="T85" i="60" s="1"/>
  <c r="C87" i="60" a="1"/>
  <c r="C87" i="60" s="1"/>
  <c r="D87" i="60" a="1"/>
  <c r="D87" i="60" s="1"/>
  <c r="C94" i="60"/>
  <c r="D94" i="60"/>
  <c r="V60" i="60" a="1"/>
  <c r="V60" i="60" s="1"/>
  <c r="V77" i="60"/>
  <c r="O60" i="60" a="1"/>
  <c r="O60" i="60" s="1"/>
  <c r="P60" i="60" a="1"/>
  <c r="P60" i="60" s="1"/>
  <c r="O77" i="60"/>
  <c r="P77" i="60"/>
  <c r="I60" i="60" a="1"/>
  <c r="I60" i="60" s="1"/>
  <c r="J60" i="60" a="1"/>
  <c r="J60" i="60" s="1"/>
  <c r="I77" i="60"/>
  <c r="J77" i="60"/>
  <c r="C77" i="60"/>
  <c r="D77" i="60"/>
  <c r="C60" i="60" a="1"/>
  <c r="C60" i="60" s="1"/>
  <c r="D60" i="60" a="1"/>
  <c r="D60" i="60" s="1"/>
  <c r="D58" i="60"/>
  <c r="J58" i="60" s="1"/>
  <c r="P58" i="60" s="1"/>
  <c r="V58" i="60" s="1"/>
  <c r="E58" i="60"/>
  <c r="K58" i="60" s="1"/>
  <c r="Q58" i="60" s="1"/>
  <c r="F58" i="60"/>
  <c r="L58" i="60" s="1"/>
  <c r="R58" i="60" s="1"/>
  <c r="B58" i="60"/>
  <c r="H58" i="60" s="1"/>
  <c r="N58" i="60" s="1"/>
  <c r="T58" i="60" s="1"/>
  <c r="J6" i="60"/>
  <c r="P6" i="60" s="1"/>
  <c r="V6" i="60" s="1"/>
  <c r="K6" i="60"/>
  <c r="Q6" i="60" s="1"/>
  <c r="W6" i="60" s="1"/>
  <c r="L6" i="60"/>
  <c r="R6" i="60" s="1"/>
  <c r="X6" i="60" s="1"/>
  <c r="H6" i="60"/>
  <c r="N6" i="60" s="1"/>
  <c r="T6" i="60" s="1"/>
  <c r="Y96" i="60"/>
  <c r="Y79" i="60"/>
  <c r="Y52" i="60"/>
  <c r="Y8" i="60"/>
  <c r="AW8" i="60" s="1"/>
  <c r="BU8" i="60" s="1"/>
  <c r="CS8" i="60" s="1"/>
  <c r="Y9" i="60"/>
  <c r="AW9" i="60" s="1"/>
  <c r="BU9" i="60" s="1"/>
  <c r="CS9" i="60" s="1"/>
  <c r="Y10" i="60"/>
  <c r="AW10" i="60" s="1"/>
  <c r="BU10" i="60" s="1"/>
  <c r="CS10" i="60" s="1"/>
  <c r="Y11" i="60"/>
  <c r="AW11" i="60" s="1"/>
  <c r="BU11" i="60" s="1"/>
  <c r="CS11" i="60" s="1"/>
  <c r="Y12" i="60"/>
  <c r="AW12" i="60" s="1"/>
  <c r="BU12" i="60" s="1"/>
  <c r="CS12" i="60" s="1"/>
  <c r="Y13" i="60"/>
  <c r="AW13" i="60" s="1"/>
  <c r="BU13" i="60" s="1"/>
  <c r="CS13" i="60" s="1"/>
  <c r="Y14" i="60"/>
  <c r="AW14" i="60" s="1"/>
  <c r="BU14" i="60" s="1"/>
  <c r="CS14" i="60" s="1"/>
  <c r="Y15" i="60"/>
  <c r="AW15" i="60" s="1"/>
  <c r="BU15" i="60" s="1"/>
  <c r="CS15" i="60" s="1"/>
  <c r="Y16" i="60"/>
  <c r="AW16" i="60" s="1"/>
  <c r="BU16" i="60" s="1"/>
  <c r="CS16" i="60" s="1"/>
  <c r="Y17" i="60"/>
  <c r="AW17" i="60" s="1"/>
  <c r="BU17" i="60" s="1"/>
  <c r="CS17" i="60" s="1"/>
  <c r="Y18" i="60"/>
  <c r="AW18" i="60" s="1"/>
  <c r="BU18" i="60" s="1"/>
  <c r="CS18" i="60" s="1"/>
  <c r="Y19" i="60"/>
  <c r="AW19" i="60" s="1"/>
  <c r="BU19" i="60" s="1"/>
  <c r="CS19" i="60" s="1"/>
  <c r="Y20" i="60"/>
  <c r="AW20" i="60" s="1"/>
  <c r="BU20" i="60" s="1"/>
  <c r="CS20" i="60" s="1"/>
  <c r="Y21" i="60"/>
  <c r="AW21" i="60" s="1"/>
  <c r="BU21" i="60" s="1"/>
  <c r="CS21" i="60" s="1"/>
  <c r="Y22" i="60"/>
  <c r="AW22" i="60" s="1"/>
  <c r="BU22" i="60" s="1"/>
  <c r="CS22" i="60" s="1"/>
  <c r="Y23" i="60"/>
  <c r="AW23" i="60" s="1"/>
  <c r="BU23" i="60" s="1"/>
  <c r="CS23" i="60" s="1"/>
  <c r="Y24" i="60"/>
  <c r="AW24" i="60" s="1"/>
  <c r="BU24" i="60" s="1"/>
  <c r="CS24" i="60" s="1"/>
  <c r="Y25" i="60"/>
  <c r="AW25" i="60" s="1"/>
  <c r="BU25" i="60" s="1"/>
  <c r="CS25" i="60" s="1"/>
  <c r="Y26" i="60"/>
  <c r="AW26" i="60" s="1"/>
  <c r="BU26" i="60" s="1"/>
  <c r="CS26" i="60" s="1"/>
  <c r="Y27" i="60"/>
  <c r="AW27" i="60" s="1"/>
  <c r="BU27" i="60" s="1"/>
  <c r="CS27" i="60" s="1"/>
  <c r="Y28" i="60"/>
  <c r="AW28" i="60" s="1"/>
  <c r="BU28" i="60" s="1"/>
  <c r="CS28" i="60" s="1"/>
  <c r="Y29" i="60"/>
  <c r="AW29" i="60" s="1"/>
  <c r="BU29" i="60" s="1"/>
  <c r="CS29" i="60" s="1"/>
  <c r="Y30" i="60"/>
  <c r="AW30" i="60" s="1"/>
  <c r="BU30" i="60" s="1"/>
  <c r="CS30" i="60" s="1"/>
  <c r="Y31" i="60"/>
  <c r="AW31" i="60" s="1"/>
  <c r="BU31" i="60" s="1"/>
  <c r="CS31" i="60" s="1"/>
  <c r="Y32" i="60"/>
  <c r="AW32" i="60" s="1"/>
  <c r="BU32" i="60" s="1"/>
  <c r="CS32" i="60" s="1"/>
  <c r="Y33" i="60"/>
  <c r="AW33" i="60" s="1"/>
  <c r="BU33" i="60" s="1"/>
  <c r="CS33" i="60" s="1"/>
  <c r="Y34" i="60"/>
  <c r="AW34" i="60" s="1"/>
  <c r="BU34" i="60" s="1"/>
  <c r="CS34" i="60" s="1"/>
  <c r="Y35" i="60"/>
  <c r="AW35" i="60" s="1"/>
  <c r="BU35" i="60" s="1"/>
  <c r="CS35" i="60" s="1"/>
  <c r="Y36" i="60"/>
  <c r="AW36" i="60" s="1"/>
  <c r="BU36" i="60" s="1"/>
  <c r="CS36" i="60" s="1"/>
  <c r="Y37" i="60"/>
  <c r="AW37" i="60" s="1"/>
  <c r="BU37" i="60" s="1"/>
  <c r="CS37" i="60" s="1"/>
  <c r="Y38" i="60"/>
  <c r="AW38" i="60" s="1"/>
  <c r="BU38" i="60" s="1"/>
  <c r="CS38" i="60" s="1"/>
  <c r="Y39" i="60"/>
  <c r="AW39" i="60" s="1"/>
  <c r="BU39" i="60" s="1"/>
  <c r="CS39" i="60" s="1"/>
  <c r="Y40" i="60"/>
  <c r="AW40" i="60" s="1"/>
  <c r="BU40" i="60" s="1"/>
  <c r="CS40" i="60" s="1"/>
  <c r="A96" i="60"/>
  <c r="A79" i="60"/>
  <c r="W94" i="60"/>
  <c r="Q94" i="60"/>
  <c r="L94" i="60"/>
  <c r="K94" i="60"/>
  <c r="F94" i="60"/>
  <c r="E94" i="60"/>
  <c r="W77" i="60"/>
  <c r="U77" i="60"/>
  <c r="Q77" i="60"/>
  <c r="L77" i="60"/>
  <c r="K77" i="60"/>
  <c r="E77" i="60"/>
  <c r="F77" i="60"/>
  <c r="W87" i="60" a="1"/>
  <c r="W92" i="60" s="1"/>
  <c r="Q87" i="60" a="1"/>
  <c r="Q92" i="60" s="1"/>
  <c r="K87" i="60" a="1"/>
  <c r="K92" i="60" s="1"/>
  <c r="E87" i="60" a="1"/>
  <c r="E87" i="60" s="1"/>
  <c r="Y94" i="60"/>
  <c r="AW94" i="60" s="1"/>
  <c r="BU94" i="60" s="1"/>
  <c r="CS94" i="60" s="1"/>
  <c r="Y88" i="60"/>
  <c r="AW88" i="60" s="1"/>
  <c r="BU88" i="60" s="1"/>
  <c r="CS88" i="60" s="1"/>
  <c r="Y89" i="60"/>
  <c r="AW89" i="60" s="1"/>
  <c r="BU89" i="60" s="1"/>
  <c r="CS89" i="60" s="1"/>
  <c r="Y90" i="60"/>
  <c r="AW90" i="60" s="1"/>
  <c r="BU90" i="60" s="1"/>
  <c r="CS90" i="60" s="1"/>
  <c r="Y91" i="60"/>
  <c r="AW91" i="60" s="1"/>
  <c r="BU91" i="60" s="1"/>
  <c r="CS91" i="60" s="1"/>
  <c r="Y92" i="60"/>
  <c r="AW92" i="60" s="1"/>
  <c r="BU92" i="60" s="1"/>
  <c r="CS92" i="60" s="1"/>
  <c r="Y87" i="60"/>
  <c r="AW87" i="60" s="1"/>
  <c r="BU87" i="60" s="1"/>
  <c r="CS87" i="60" s="1"/>
  <c r="H4" i="60"/>
  <c r="H56" i="60" s="1"/>
  <c r="N4" i="60"/>
  <c r="N56" i="60" s="1"/>
  <c r="T4" i="60"/>
  <c r="T56" i="60" s="1"/>
  <c r="W60" i="60" a="1"/>
  <c r="W75" i="60" s="1"/>
  <c r="U60" i="60" a="1"/>
  <c r="U74" i="60" s="1"/>
  <c r="Q60" i="60" a="1"/>
  <c r="Q75" i="60" s="1"/>
  <c r="K60" i="60" a="1"/>
  <c r="K75" i="60" s="1"/>
  <c r="E60" i="60" a="1"/>
  <c r="E60" i="60" s="1"/>
  <c r="Y77" i="60"/>
  <c r="AW77" i="60" s="1"/>
  <c r="BU77" i="60" s="1"/>
  <c r="CS77" i="60" s="1"/>
  <c r="Y61" i="60"/>
  <c r="AW61" i="60" s="1"/>
  <c r="BU61" i="60" s="1"/>
  <c r="CS61" i="60" s="1"/>
  <c r="Y62" i="60"/>
  <c r="AW62" i="60" s="1"/>
  <c r="BU62" i="60" s="1"/>
  <c r="CS62" i="60" s="1"/>
  <c r="Y63" i="60"/>
  <c r="AW63" i="60" s="1"/>
  <c r="BU63" i="60" s="1"/>
  <c r="CS63" i="60" s="1"/>
  <c r="Y64" i="60"/>
  <c r="AW64" i="60" s="1"/>
  <c r="BU64" i="60" s="1"/>
  <c r="CS64" i="60" s="1"/>
  <c r="Y65" i="60"/>
  <c r="AW65" i="60" s="1"/>
  <c r="BU65" i="60" s="1"/>
  <c r="CS65" i="60" s="1"/>
  <c r="Y66" i="60"/>
  <c r="AW66" i="60" s="1"/>
  <c r="BU66" i="60" s="1"/>
  <c r="CS66" i="60" s="1"/>
  <c r="Y67" i="60"/>
  <c r="AW67" i="60" s="1"/>
  <c r="BU67" i="60" s="1"/>
  <c r="CS67" i="60" s="1"/>
  <c r="Y68" i="60"/>
  <c r="AW68" i="60" s="1"/>
  <c r="BU68" i="60" s="1"/>
  <c r="CS68" i="60" s="1"/>
  <c r="Y69" i="60"/>
  <c r="AW69" i="60" s="1"/>
  <c r="BU69" i="60" s="1"/>
  <c r="CS69" i="60" s="1"/>
  <c r="Y70" i="60"/>
  <c r="AW70" i="60" s="1"/>
  <c r="BU70" i="60" s="1"/>
  <c r="CS70" i="60" s="1"/>
  <c r="Y71" i="60"/>
  <c r="AW71" i="60" s="1"/>
  <c r="BU71" i="60" s="1"/>
  <c r="CS71" i="60" s="1"/>
  <c r="Y72" i="60"/>
  <c r="AW72" i="60" s="1"/>
  <c r="BU72" i="60" s="1"/>
  <c r="CS72" i="60" s="1"/>
  <c r="Y73" i="60"/>
  <c r="AW73" i="60" s="1"/>
  <c r="BU73" i="60" s="1"/>
  <c r="CS73" i="60" s="1"/>
  <c r="Y74" i="60"/>
  <c r="AW74" i="60" s="1"/>
  <c r="BU74" i="60" s="1"/>
  <c r="CS74" i="60" s="1"/>
  <c r="Y75" i="60"/>
  <c r="AW75" i="60" s="1"/>
  <c r="BU75" i="60" s="1"/>
  <c r="CS75" i="60" s="1"/>
  <c r="Y60" i="60"/>
  <c r="AW60" i="60" s="1"/>
  <c r="BU60" i="60" s="1"/>
  <c r="CS60" i="60" s="1"/>
  <c r="A52" i="60"/>
  <c r="B4" i="60"/>
  <c r="B56" i="60" s="1"/>
  <c r="Y50" i="60"/>
  <c r="AW50" i="60" s="1"/>
  <c r="BU50" i="60" s="1"/>
  <c r="CS50" i="60" s="1"/>
  <c r="Y41" i="60"/>
  <c r="AW41" i="60" s="1"/>
  <c r="BU41" i="60" s="1"/>
  <c r="CS41" i="60" s="1"/>
  <c r="Y42" i="60"/>
  <c r="AW42" i="60" s="1"/>
  <c r="BU42" i="60" s="1"/>
  <c r="CS42" i="60" s="1"/>
  <c r="Y43" i="60"/>
  <c r="AW43" i="60" s="1"/>
  <c r="BU43" i="60" s="1"/>
  <c r="CS43" i="60" s="1"/>
  <c r="Y44" i="60"/>
  <c r="AW44" i="60" s="1"/>
  <c r="BU44" i="60" s="1"/>
  <c r="CS44" i="60" s="1"/>
  <c r="Y45" i="60"/>
  <c r="AW45" i="60" s="1"/>
  <c r="BU45" i="60" s="1"/>
  <c r="CS45" i="60" s="1"/>
  <c r="Y46" i="60"/>
  <c r="AW46" i="60" s="1"/>
  <c r="BU46" i="60" s="1"/>
  <c r="CS46" i="60" s="1"/>
  <c r="Y47" i="60"/>
  <c r="AW47" i="60" s="1"/>
  <c r="BU47" i="60" s="1"/>
  <c r="CS47" i="60" s="1"/>
  <c r="Y48" i="60"/>
  <c r="AW48" i="60" s="1"/>
  <c r="BU48" i="60" s="1"/>
  <c r="CS48" i="60" s="1"/>
  <c r="CR77" i="60" l="1"/>
  <c r="AP77" i="60"/>
  <c r="CL94" i="60"/>
  <c r="R60" i="60" a="1"/>
  <c r="R74" i="60" s="1"/>
  <c r="X87" i="60" a="1"/>
  <c r="X91" i="60" s="1"/>
  <c r="AD87" i="60" a="1"/>
  <c r="AD92" i="60" s="1"/>
  <c r="AJ60" i="60" a="1"/>
  <c r="AJ74" i="60" s="1"/>
  <c r="AP87" i="60" a="1"/>
  <c r="AP92" i="60" s="1"/>
  <c r="BB87" i="60" a="1"/>
  <c r="BB92" i="60" s="1"/>
  <c r="BH60" i="60" a="1"/>
  <c r="BH74" i="60" s="1"/>
  <c r="BN60" i="60" a="1"/>
  <c r="BN75" i="60" s="1"/>
  <c r="BT87" i="60" a="1"/>
  <c r="BT91" i="60" s="1"/>
  <c r="BZ60" i="60" a="1"/>
  <c r="BZ75" i="60" s="1"/>
  <c r="CF87" i="60" a="1"/>
  <c r="CF91" i="60" s="1"/>
  <c r="CL60" i="60" a="1"/>
  <c r="CL75" i="60" s="1"/>
  <c r="CX60" i="60" a="1"/>
  <c r="CX75" i="60" s="1"/>
  <c r="DJ87" i="60" a="1"/>
  <c r="DJ92" i="60" s="1"/>
  <c r="DP60" i="60" a="1"/>
  <c r="DP74" i="60" s="1"/>
  <c r="AJ94" i="60"/>
  <c r="AD60" i="60" a="1"/>
  <c r="AD75" i="60" s="1"/>
  <c r="BZ77" i="60"/>
  <c r="BT77" i="60"/>
  <c r="F87" i="60" a="1"/>
  <c r="F87" i="60" s="1"/>
  <c r="CR87" i="60" a="1"/>
  <c r="CR91" i="60" s="1"/>
  <c r="BB60" i="60" a="1"/>
  <c r="BB75" i="60" s="1"/>
  <c r="CX87" i="60" a="1"/>
  <c r="CX92" i="60" s="1"/>
  <c r="AJ87" i="60" a="1"/>
  <c r="AJ91" i="60" s="1"/>
  <c r="CL87" i="60" a="1"/>
  <c r="CL92" i="60" s="1"/>
  <c r="L60" i="60" a="1"/>
  <c r="L74" i="60" s="1"/>
  <c r="DD60" i="60" a="1"/>
  <c r="DD74" i="60" s="1"/>
  <c r="L87" i="60" a="1"/>
  <c r="L91" i="60" s="1"/>
  <c r="AD77" i="60"/>
  <c r="CR60" i="60" a="1"/>
  <c r="CR74" i="60" s="1"/>
  <c r="CF77" i="60"/>
  <c r="BZ87" i="60" a="1"/>
  <c r="BZ92" i="60" s="1"/>
  <c r="AV60" i="60" a="1"/>
  <c r="AV74" i="60" s="1"/>
  <c r="AV87" i="60" a="1"/>
  <c r="AV91" i="60" s="1"/>
  <c r="BH87" i="60" a="1"/>
  <c r="BH91" i="60" s="1"/>
  <c r="AP60" i="60" a="1"/>
  <c r="AP75" i="60" s="1"/>
  <c r="CF60" i="60" a="1"/>
  <c r="CF74" i="60" s="1"/>
  <c r="DJ60" i="60" a="1"/>
  <c r="DJ75" i="60" s="1"/>
  <c r="DJ77" i="60"/>
  <c r="DD87" i="60" a="1"/>
  <c r="DD91" i="60" s="1"/>
  <c r="DP87" i="60" a="1"/>
  <c r="DP91" i="60" s="1"/>
  <c r="F60" i="60" a="1"/>
  <c r="F60" i="60" s="1"/>
  <c r="X60" i="60" a="1"/>
  <c r="X74" i="60" s="1"/>
  <c r="R87" i="60" a="1"/>
  <c r="R91" i="60" s="1"/>
  <c r="R77" i="60"/>
  <c r="BN87" i="60" a="1"/>
  <c r="BN92" i="60" s="1"/>
  <c r="X77" i="60"/>
  <c r="BT60" i="60" a="1"/>
  <c r="BT74" i="60" s="1"/>
  <c r="BN94" i="60"/>
  <c r="AF4" i="60"/>
  <c r="AR4" i="60"/>
  <c r="BD4" i="60"/>
  <c r="BP4" i="60"/>
  <c r="CB4" i="60"/>
  <c r="CN4" i="60"/>
  <c r="CZ4" i="60"/>
  <c r="DL4" i="60"/>
  <c r="H83" i="60"/>
  <c r="T83" i="60"/>
  <c r="Z4" i="60"/>
  <c r="AL4" i="60"/>
  <c r="AX4" i="60"/>
  <c r="BJ4" i="60"/>
  <c r="BV4" i="60"/>
  <c r="CH4" i="60"/>
  <c r="CT4" i="60"/>
  <c r="DF4" i="60"/>
  <c r="B83" i="60"/>
  <c r="N83" i="60"/>
  <c r="DO62" i="60"/>
  <c r="DO66" i="60"/>
  <c r="DO70" i="60"/>
  <c r="DO87" i="60"/>
  <c r="DO91" i="60"/>
  <c r="DO60" i="60"/>
  <c r="DO64" i="60"/>
  <c r="DO68" i="60"/>
  <c r="DO72" i="60"/>
  <c r="DO89" i="60"/>
  <c r="DM66" i="60"/>
  <c r="DM89" i="60"/>
  <c r="DM62" i="60"/>
  <c r="DM60" i="60"/>
  <c r="DM64" i="60"/>
  <c r="DM68" i="60"/>
  <c r="DL68" i="60" s="1"/>
  <c r="DM87" i="60"/>
  <c r="DM91" i="60"/>
  <c r="DI60" i="60"/>
  <c r="DI64" i="60"/>
  <c r="DI62" i="60"/>
  <c r="DG60" i="60"/>
  <c r="DC60" i="60"/>
  <c r="DC64" i="60"/>
  <c r="DC68" i="60"/>
  <c r="DC72" i="60"/>
  <c r="DC87" i="60"/>
  <c r="DC91" i="60"/>
  <c r="DC62" i="60"/>
  <c r="DC66" i="60"/>
  <c r="DC70" i="60"/>
  <c r="DC74" i="60"/>
  <c r="DC89" i="60"/>
  <c r="DA62" i="60"/>
  <c r="DA66" i="60"/>
  <c r="DA70" i="60"/>
  <c r="DA74" i="60"/>
  <c r="DA89" i="60"/>
  <c r="DA60" i="60"/>
  <c r="DA64" i="60"/>
  <c r="DA68" i="60"/>
  <c r="DA72" i="60"/>
  <c r="CZ72" i="60" s="1"/>
  <c r="DA87" i="60"/>
  <c r="CZ87" i="60" s="1"/>
  <c r="DA91" i="60"/>
  <c r="CZ91" i="60" s="1"/>
  <c r="BY60" i="60"/>
  <c r="BY68" i="60"/>
  <c r="BW60" i="60"/>
  <c r="BW68" i="60"/>
  <c r="P75" i="60"/>
  <c r="BJ77" i="60"/>
  <c r="CZ8" i="60"/>
  <c r="DL8" i="60"/>
  <c r="CZ9" i="60"/>
  <c r="DL9" i="60"/>
  <c r="CZ10" i="60"/>
  <c r="DL10" i="60"/>
  <c r="CZ11" i="60"/>
  <c r="DL11" i="60"/>
  <c r="CZ12" i="60"/>
  <c r="DL12" i="60"/>
  <c r="CZ13" i="60"/>
  <c r="DL13" i="60"/>
  <c r="CZ14" i="60"/>
  <c r="DL14" i="60"/>
  <c r="CZ15" i="60"/>
  <c r="DL15" i="60"/>
  <c r="CZ16" i="60"/>
  <c r="DL16" i="60"/>
  <c r="CZ17" i="60"/>
  <c r="DL17" i="60"/>
  <c r="CZ18" i="60"/>
  <c r="DL18" i="60"/>
  <c r="CZ19" i="60"/>
  <c r="DL19" i="60"/>
  <c r="CZ20" i="60"/>
  <c r="DL20" i="60"/>
  <c r="CZ21" i="60"/>
  <c r="DL21" i="60"/>
  <c r="CZ22" i="60"/>
  <c r="DL22" i="60"/>
  <c r="CZ23" i="60"/>
  <c r="DL23" i="60"/>
  <c r="CZ24" i="60"/>
  <c r="DL24" i="60"/>
  <c r="CZ25" i="60"/>
  <c r="DL25" i="60"/>
  <c r="CZ26" i="60"/>
  <c r="DL26" i="60"/>
  <c r="CZ27" i="60"/>
  <c r="DL27" i="60"/>
  <c r="CZ28" i="60"/>
  <c r="DL28" i="60"/>
  <c r="CZ29" i="60"/>
  <c r="DL29" i="60"/>
  <c r="CZ30" i="60"/>
  <c r="DL30" i="60"/>
  <c r="CZ31" i="60"/>
  <c r="DL31" i="60"/>
  <c r="CZ32" i="60"/>
  <c r="DL32" i="60"/>
  <c r="CZ33" i="60"/>
  <c r="DL33" i="60"/>
  <c r="CZ34" i="60"/>
  <c r="DL34" i="60"/>
  <c r="CZ35" i="60"/>
  <c r="DL35" i="60"/>
  <c r="CZ36" i="60"/>
  <c r="DL36" i="60"/>
  <c r="CZ37" i="60"/>
  <c r="DL37" i="60"/>
  <c r="CZ38" i="60"/>
  <c r="DL38" i="60"/>
  <c r="CZ39" i="60"/>
  <c r="DL39" i="60"/>
  <c r="CZ40" i="60"/>
  <c r="DL40" i="60"/>
  <c r="CZ41" i="60"/>
  <c r="DL41" i="60"/>
  <c r="CZ42" i="60"/>
  <c r="DL42" i="60"/>
  <c r="CZ43" i="60"/>
  <c r="DL43" i="60"/>
  <c r="CZ44" i="60"/>
  <c r="DL44" i="60"/>
  <c r="CZ45" i="60"/>
  <c r="DL45" i="60"/>
  <c r="CZ46" i="60"/>
  <c r="DL46" i="60"/>
  <c r="CZ47" i="60"/>
  <c r="DL47" i="60"/>
  <c r="CZ48" i="60"/>
  <c r="DL48" i="60"/>
  <c r="CZ50" i="60"/>
  <c r="DL50" i="60"/>
  <c r="CT74" i="60"/>
  <c r="CZ77" i="60"/>
  <c r="DF77" i="60"/>
  <c r="DF91" i="60"/>
  <c r="DF94" i="60"/>
  <c r="DL94" i="60"/>
  <c r="AA6" i="60"/>
  <c r="AG6" i="60" s="1"/>
  <c r="AM6" i="60" s="1"/>
  <c r="AS6" i="60" s="1"/>
  <c r="BW6" i="60"/>
  <c r="CC6" i="60" s="1"/>
  <c r="CI6" i="60" s="1"/>
  <c r="CO6" i="60" s="1"/>
  <c r="CT8" i="60"/>
  <c r="DF8" i="60"/>
  <c r="CT9" i="60"/>
  <c r="DF9" i="60"/>
  <c r="CT10" i="60"/>
  <c r="DF10" i="60"/>
  <c r="CT11" i="60"/>
  <c r="DF11" i="60"/>
  <c r="CT12" i="60"/>
  <c r="DF12" i="60"/>
  <c r="CT13" i="60"/>
  <c r="DF13" i="60"/>
  <c r="CT14" i="60"/>
  <c r="DF14" i="60"/>
  <c r="CT15" i="60"/>
  <c r="DF15" i="60"/>
  <c r="CT16" i="60"/>
  <c r="DF16" i="60"/>
  <c r="CT17" i="60"/>
  <c r="DF17" i="60"/>
  <c r="CT18" i="60"/>
  <c r="DF18" i="60"/>
  <c r="CT19" i="60"/>
  <c r="DF19" i="60"/>
  <c r="CT20" i="60"/>
  <c r="DF20" i="60"/>
  <c r="CT21" i="60"/>
  <c r="DF21" i="60"/>
  <c r="CT22" i="60"/>
  <c r="DF22" i="60"/>
  <c r="CT23" i="60"/>
  <c r="DF23" i="60"/>
  <c r="CT24" i="60"/>
  <c r="DF24" i="60"/>
  <c r="CT25" i="60"/>
  <c r="DF25" i="60"/>
  <c r="CT26" i="60"/>
  <c r="DF26" i="60"/>
  <c r="CT27" i="60"/>
  <c r="DF27" i="60"/>
  <c r="CT28" i="60"/>
  <c r="DF28" i="60"/>
  <c r="CT29" i="60"/>
  <c r="DF29" i="60"/>
  <c r="CT30" i="60"/>
  <c r="DF30" i="60"/>
  <c r="CT31" i="60"/>
  <c r="DF31" i="60"/>
  <c r="CT32" i="60"/>
  <c r="DF32" i="60"/>
  <c r="CT33" i="60"/>
  <c r="DF33" i="60"/>
  <c r="CT34" i="60"/>
  <c r="DF34" i="60"/>
  <c r="CT35" i="60"/>
  <c r="DF35" i="60"/>
  <c r="CT36" i="60"/>
  <c r="DF36" i="60"/>
  <c r="CT37" i="60"/>
  <c r="DF37" i="60"/>
  <c r="CT38" i="60"/>
  <c r="DF38" i="60"/>
  <c r="CT39" i="60"/>
  <c r="DF39" i="60"/>
  <c r="CT40" i="60"/>
  <c r="DF40" i="60"/>
  <c r="CT41" i="60"/>
  <c r="DF41" i="60"/>
  <c r="CT42" i="60"/>
  <c r="DF42" i="60"/>
  <c r="CT43" i="60"/>
  <c r="DF43" i="60"/>
  <c r="CT44" i="60"/>
  <c r="DF44" i="60"/>
  <c r="CT45" i="60"/>
  <c r="DF45" i="60"/>
  <c r="CT46" i="60"/>
  <c r="DF46" i="60"/>
  <c r="CT47" i="60"/>
  <c r="DF47" i="60"/>
  <c r="CT48" i="60"/>
  <c r="DF48" i="60"/>
  <c r="CT50" i="60"/>
  <c r="DF50" i="60"/>
  <c r="CZ75" i="60"/>
  <c r="DL75" i="60"/>
  <c r="CT77" i="60"/>
  <c r="DL77" i="60"/>
  <c r="CT91" i="60"/>
  <c r="DL92" i="60"/>
  <c r="CT94" i="60"/>
  <c r="CZ94" i="60"/>
  <c r="C6" i="60"/>
  <c r="AY6" i="60"/>
  <c r="BE6" i="60" s="1"/>
  <c r="BK6" i="60" s="1"/>
  <c r="BQ6" i="60" s="1"/>
  <c r="DF74" i="60"/>
  <c r="CZ92" i="60"/>
  <c r="CU58" i="60"/>
  <c r="DA58" i="60" s="1"/>
  <c r="DG58" i="60" s="1"/>
  <c r="DM58" i="60" s="1"/>
  <c r="CU61" i="60"/>
  <c r="CU63" i="60"/>
  <c r="CU65" i="60"/>
  <c r="CU67" i="60"/>
  <c r="CU69" i="60"/>
  <c r="CU71" i="60"/>
  <c r="CU73" i="60"/>
  <c r="CU75" i="60"/>
  <c r="CV60" i="60"/>
  <c r="CV62" i="60"/>
  <c r="CV64" i="60"/>
  <c r="CV66" i="60"/>
  <c r="CV68" i="60"/>
  <c r="CV70" i="60"/>
  <c r="CV72" i="60"/>
  <c r="CV74" i="60"/>
  <c r="CW61" i="60"/>
  <c r="CW63" i="60"/>
  <c r="CW65" i="60"/>
  <c r="CW67" i="60"/>
  <c r="CW69" i="60"/>
  <c r="CW71" i="60"/>
  <c r="CW73" i="60"/>
  <c r="CW75" i="60"/>
  <c r="DB61" i="60"/>
  <c r="DB63" i="60"/>
  <c r="DB65" i="60"/>
  <c r="DB67" i="60"/>
  <c r="DB69" i="60"/>
  <c r="DB71" i="60"/>
  <c r="DB73" i="60"/>
  <c r="DB75" i="60"/>
  <c r="DG61" i="60"/>
  <c r="DG63" i="60"/>
  <c r="DG65" i="60"/>
  <c r="DG67" i="60"/>
  <c r="DG69" i="60"/>
  <c r="DG71" i="60"/>
  <c r="DG73" i="60"/>
  <c r="DG75" i="60"/>
  <c r="DH60" i="60"/>
  <c r="DH62" i="60"/>
  <c r="DH64" i="60"/>
  <c r="DH66" i="60"/>
  <c r="DH68" i="60"/>
  <c r="DH70" i="60"/>
  <c r="DH72" i="60"/>
  <c r="DH74" i="60"/>
  <c r="DI61" i="60"/>
  <c r="DI63" i="60"/>
  <c r="DI65" i="60"/>
  <c r="DI67" i="60"/>
  <c r="DI69" i="60"/>
  <c r="DI71" i="60"/>
  <c r="DI73" i="60"/>
  <c r="DI75" i="60"/>
  <c r="DM70" i="60"/>
  <c r="DM72" i="60"/>
  <c r="DM74" i="60"/>
  <c r="DN61" i="60"/>
  <c r="DN63" i="60"/>
  <c r="DN65" i="60"/>
  <c r="DN67" i="60"/>
  <c r="DN69" i="60"/>
  <c r="DN71" i="60"/>
  <c r="DN73" i="60"/>
  <c r="DN75" i="60"/>
  <c r="DO74" i="60"/>
  <c r="CU85" i="60"/>
  <c r="DA85" i="60" s="1"/>
  <c r="DG85" i="60" s="1"/>
  <c r="DM85" i="60" s="1"/>
  <c r="CU88" i="60"/>
  <c r="CU90" i="60"/>
  <c r="CU92" i="60"/>
  <c r="CV87" i="60"/>
  <c r="CV89" i="60"/>
  <c r="CV91" i="60"/>
  <c r="CW88" i="60"/>
  <c r="CW90" i="60"/>
  <c r="CW92" i="60"/>
  <c r="DB88" i="60"/>
  <c r="DB90" i="60"/>
  <c r="DB92" i="60"/>
  <c r="DG88" i="60"/>
  <c r="DG90" i="60"/>
  <c r="DG92" i="60"/>
  <c r="DH87" i="60"/>
  <c r="DH89" i="60"/>
  <c r="DH91" i="60"/>
  <c r="DI88" i="60"/>
  <c r="DI90" i="60"/>
  <c r="DI92" i="60"/>
  <c r="DN88" i="60"/>
  <c r="DN90" i="60"/>
  <c r="DN92" i="60"/>
  <c r="CU60" i="60"/>
  <c r="CU62" i="60"/>
  <c r="CU64" i="60"/>
  <c r="CU66" i="60"/>
  <c r="CU68" i="60"/>
  <c r="CU70" i="60"/>
  <c r="CU72" i="60"/>
  <c r="CV61" i="60"/>
  <c r="CV63" i="60"/>
  <c r="CV65" i="60"/>
  <c r="CV67" i="60"/>
  <c r="CV69" i="60"/>
  <c r="CV71" i="60"/>
  <c r="CV73" i="60"/>
  <c r="CW60" i="60"/>
  <c r="CW62" i="60"/>
  <c r="CW64" i="60"/>
  <c r="CW66" i="60"/>
  <c r="CW68" i="60"/>
  <c r="CW70" i="60"/>
  <c r="CW72" i="60"/>
  <c r="DA61" i="60"/>
  <c r="DA63" i="60"/>
  <c r="DA65" i="60"/>
  <c r="DA67" i="60"/>
  <c r="DA69" i="60"/>
  <c r="DA71" i="60"/>
  <c r="DA73" i="60"/>
  <c r="DB60" i="60"/>
  <c r="DB62" i="60"/>
  <c r="DB64" i="60"/>
  <c r="DB66" i="60"/>
  <c r="DB68" i="60"/>
  <c r="DB70" i="60"/>
  <c r="DB72" i="60"/>
  <c r="DC61" i="60"/>
  <c r="DC63" i="60"/>
  <c r="DC65" i="60"/>
  <c r="DC67" i="60"/>
  <c r="DC69" i="60"/>
  <c r="DC71" i="60"/>
  <c r="DC73" i="60"/>
  <c r="DG62" i="60"/>
  <c r="DG64" i="60"/>
  <c r="DG66" i="60"/>
  <c r="DG68" i="60"/>
  <c r="DG70" i="60"/>
  <c r="DG72" i="60"/>
  <c r="DH61" i="60"/>
  <c r="DH63" i="60"/>
  <c r="DH65" i="60"/>
  <c r="DH67" i="60"/>
  <c r="DH69" i="60"/>
  <c r="DH71" i="60"/>
  <c r="DH73" i="60"/>
  <c r="DI66" i="60"/>
  <c r="DI68" i="60"/>
  <c r="DI70" i="60"/>
  <c r="DI72" i="60"/>
  <c r="DM61" i="60"/>
  <c r="DM63" i="60"/>
  <c r="DM65" i="60"/>
  <c r="DM67" i="60"/>
  <c r="DM69" i="60"/>
  <c r="DM71" i="60"/>
  <c r="DM73" i="60"/>
  <c r="DN60" i="60"/>
  <c r="DN62" i="60"/>
  <c r="DN64" i="60"/>
  <c r="DN66" i="60"/>
  <c r="DN68" i="60"/>
  <c r="DN70" i="60"/>
  <c r="DN72" i="60"/>
  <c r="DO61" i="60"/>
  <c r="DO63" i="60"/>
  <c r="DO65" i="60"/>
  <c r="DO67" i="60"/>
  <c r="DO69" i="60"/>
  <c r="DO71" i="60"/>
  <c r="DO73" i="60"/>
  <c r="CU87" i="60"/>
  <c r="CU89" i="60"/>
  <c r="CV88" i="60"/>
  <c r="CV90" i="60"/>
  <c r="CW87" i="60"/>
  <c r="CW89" i="60"/>
  <c r="DA88" i="60"/>
  <c r="DA90" i="60"/>
  <c r="DB87" i="60"/>
  <c r="DB89" i="60"/>
  <c r="DC88" i="60"/>
  <c r="DC90" i="60"/>
  <c r="DG87" i="60"/>
  <c r="DG89" i="60"/>
  <c r="DH88" i="60"/>
  <c r="DH90" i="60"/>
  <c r="DI87" i="60"/>
  <c r="DI89" i="60"/>
  <c r="DM88" i="60"/>
  <c r="DM90" i="60"/>
  <c r="DN87" i="60"/>
  <c r="DN89" i="60"/>
  <c r="DO88" i="60"/>
  <c r="DO90" i="60"/>
  <c r="BG60" i="60"/>
  <c r="BE60" i="60"/>
  <c r="BW64" i="60"/>
  <c r="BW72" i="60"/>
  <c r="BY64" i="60"/>
  <c r="BY72" i="60"/>
  <c r="CO87" i="60"/>
  <c r="BE68" i="60"/>
  <c r="BG68" i="60"/>
  <c r="BV8" i="60"/>
  <c r="CH8" i="60"/>
  <c r="BV9" i="60"/>
  <c r="CH9" i="60"/>
  <c r="BV10" i="60"/>
  <c r="CH10" i="60"/>
  <c r="BV11" i="60"/>
  <c r="CH11" i="60"/>
  <c r="BV12" i="60"/>
  <c r="CH12" i="60"/>
  <c r="BV13" i="60"/>
  <c r="CH13" i="60"/>
  <c r="BV14" i="60"/>
  <c r="CH14" i="60"/>
  <c r="BV15" i="60"/>
  <c r="CH15" i="60"/>
  <c r="BV16" i="60"/>
  <c r="CH16" i="60"/>
  <c r="BV17" i="60"/>
  <c r="CH17" i="60"/>
  <c r="BV18" i="60"/>
  <c r="CH18" i="60"/>
  <c r="BV19" i="60"/>
  <c r="CH19" i="60"/>
  <c r="BV20" i="60"/>
  <c r="CH20" i="60"/>
  <c r="BV21" i="60"/>
  <c r="CH21" i="60"/>
  <c r="BV22" i="60"/>
  <c r="CH22" i="60"/>
  <c r="BV23" i="60"/>
  <c r="CH23" i="60"/>
  <c r="BV24" i="60"/>
  <c r="CH24" i="60"/>
  <c r="BV25" i="60"/>
  <c r="CH25" i="60"/>
  <c r="BV26" i="60"/>
  <c r="CH26" i="60"/>
  <c r="BV27" i="60"/>
  <c r="CH27" i="60"/>
  <c r="BV28" i="60"/>
  <c r="CH28" i="60"/>
  <c r="BV29" i="60"/>
  <c r="CH29" i="60"/>
  <c r="BV30" i="60"/>
  <c r="CH30" i="60"/>
  <c r="BV31" i="60"/>
  <c r="CH31" i="60"/>
  <c r="BV32" i="60"/>
  <c r="CH32" i="60"/>
  <c r="BV33" i="60"/>
  <c r="CH33" i="60"/>
  <c r="BV34" i="60"/>
  <c r="CH34" i="60"/>
  <c r="BV35" i="60"/>
  <c r="CH35" i="60"/>
  <c r="BV36" i="60"/>
  <c r="CH36" i="60"/>
  <c r="BV37" i="60"/>
  <c r="CH37" i="60"/>
  <c r="BV38" i="60"/>
  <c r="CH38" i="60"/>
  <c r="BV39" i="60"/>
  <c r="CH39" i="60"/>
  <c r="BV40" i="60"/>
  <c r="CH40" i="60"/>
  <c r="BV41" i="60"/>
  <c r="CH41" i="60"/>
  <c r="BV42" i="60"/>
  <c r="CH42" i="60"/>
  <c r="BV43" i="60"/>
  <c r="CH43" i="60"/>
  <c r="BV44" i="60"/>
  <c r="CH44" i="60"/>
  <c r="BV45" i="60"/>
  <c r="CH45" i="60"/>
  <c r="BV46" i="60"/>
  <c r="CH46" i="60"/>
  <c r="BV47" i="60"/>
  <c r="CH47" i="60"/>
  <c r="BV48" i="60"/>
  <c r="CH48" i="60"/>
  <c r="BV50" i="60"/>
  <c r="CH50" i="60"/>
  <c r="BV75" i="60"/>
  <c r="BW62" i="60"/>
  <c r="BW66" i="60"/>
  <c r="BW70" i="60"/>
  <c r="BW74" i="60"/>
  <c r="BY62" i="60"/>
  <c r="BY66" i="60"/>
  <c r="BY70" i="60"/>
  <c r="BY74" i="60"/>
  <c r="CB75" i="60"/>
  <c r="CI60" i="60"/>
  <c r="CI64" i="60"/>
  <c r="CI68" i="60"/>
  <c r="CI72" i="60"/>
  <c r="CK60" i="60"/>
  <c r="CK64" i="60"/>
  <c r="CK68" i="60"/>
  <c r="CK72" i="60"/>
  <c r="CB77" i="60"/>
  <c r="CH77" i="60"/>
  <c r="BW87" i="60"/>
  <c r="BW91" i="60"/>
  <c r="BY89" i="60"/>
  <c r="CI87" i="60"/>
  <c r="CI91" i="60"/>
  <c r="CH91" i="60" s="1"/>
  <c r="CO91" i="60"/>
  <c r="CQ89" i="60"/>
  <c r="CH94" i="60"/>
  <c r="CN94" i="60"/>
  <c r="CB8" i="60"/>
  <c r="CN8" i="60"/>
  <c r="CB9" i="60"/>
  <c r="CN9" i="60"/>
  <c r="CB10" i="60"/>
  <c r="CN10" i="60"/>
  <c r="CB11" i="60"/>
  <c r="CN11" i="60"/>
  <c r="CB12" i="60"/>
  <c r="CN12" i="60"/>
  <c r="CB13" i="60"/>
  <c r="CN13" i="60"/>
  <c r="CB14" i="60"/>
  <c r="CN14" i="60"/>
  <c r="CB15" i="60"/>
  <c r="CN15" i="60"/>
  <c r="CB16" i="60"/>
  <c r="CN16" i="60"/>
  <c r="CB17" i="60"/>
  <c r="CN17" i="60"/>
  <c r="CB18" i="60"/>
  <c r="CN18" i="60"/>
  <c r="CB19" i="60"/>
  <c r="CN19" i="60"/>
  <c r="CB20" i="60"/>
  <c r="CN20" i="60"/>
  <c r="CB21" i="60"/>
  <c r="CN21" i="60"/>
  <c r="CB22" i="60"/>
  <c r="CN22" i="60"/>
  <c r="CB23" i="60"/>
  <c r="CN23" i="60"/>
  <c r="CB24" i="60"/>
  <c r="CN24" i="60"/>
  <c r="CB25" i="60"/>
  <c r="CN25" i="60"/>
  <c r="CB26" i="60"/>
  <c r="CN26" i="60"/>
  <c r="CB27" i="60"/>
  <c r="CN27" i="60"/>
  <c r="CB28" i="60"/>
  <c r="CN28" i="60"/>
  <c r="CB29" i="60"/>
  <c r="CN29" i="60"/>
  <c r="CB30" i="60"/>
  <c r="CN30" i="60"/>
  <c r="CB31" i="60"/>
  <c r="CN31" i="60"/>
  <c r="CB32" i="60"/>
  <c r="CN32" i="60"/>
  <c r="CB33" i="60"/>
  <c r="CN33" i="60"/>
  <c r="CB34" i="60"/>
  <c r="CN34" i="60"/>
  <c r="CB35" i="60"/>
  <c r="CN35" i="60"/>
  <c r="CB36" i="60"/>
  <c r="CN36" i="60"/>
  <c r="CB37" i="60"/>
  <c r="CN37" i="60"/>
  <c r="CB38" i="60"/>
  <c r="CN38" i="60"/>
  <c r="CB39" i="60"/>
  <c r="CN39" i="60"/>
  <c r="CB40" i="60"/>
  <c r="CN40" i="60"/>
  <c r="CB41" i="60"/>
  <c r="CN41" i="60"/>
  <c r="CB42" i="60"/>
  <c r="CN42" i="60"/>
  <c r="CB43" i="60"/>
  <c r="CN43" i="60"/>
  <c r="CB44" i="60"/>
  <c r="CN44" i="60"/>
  <c r="CB45" i="60"/>
  <c r="CN45" i="60"/>
  <c r="CB46" i="60"/>
  <c r="CN46" i="60"/>
  <c r="CB47" i="60"/>
  <c r="CN47" i="60"/>
  <c r="CB48" i="60"/>
  <c r="CN48" i="60"/>
  <c r="CB50" i="60"/>
  <c r="CN50" i="60"/>
  <c r="CH75" i="60"/>
  <c r="CI62" i="60"/>
  <c r="CI66" i="60"/>
  <c r="CI70" i="60"/>
  <c r="CI74" i="60"/>
  <c r="CK62" i="60"/>
  <c r="CK66" i="60"/>
  <c r="CK70" i="60"/>
  <c r="CK74" i="60"/>
  <c r="CN75" i="60"/>
  <c r="BV77" i="60"/>
  <c r="CN77" i="60"/>
  <c r="BV92" i="60"/>
  <c r="BW89" i="60"/>
  <c r="BY87" i="60"/>
  <c r="BY91" i="60"/>
  <c r="CB92" i="60"/>
  <c r="CI89" i="60"/>
  <c r="CN92" i="60"/>
  <c r="CO89" i="60"/>
  <c r="CQ87" i="60"/>
  <c r="CQ91" i="60"/>
  <c r="BV94" i="60"/>
  <c r="CB94" i="60"/>
  <c r="BW61" i="60"/>
  <c r="BW63" i="60"/>
  <c r="BW65" i="60"/>
  <c r="BW67" i="60"/>
  <c r="BW69" i="60"/>
  <c r="BW71" i="60"/>
  <c r="BW73" i="60"/>
  <c r="BX60" i="60"/>
  <c r="BX62" i="60"/>
  <c r="BX64" i="60"/>
  <c r="BX66" i="60"/>
  <c r="BX68" i="60"/>
  <c r="BX70" i="60"/>
  <c r="BX72" i="60"/>
  <c r="BX74" i="60"/>
  <c r="BY61" i="60"/>
  <c r="BY63" i="60"/>
  <c r="BY65" i="60"/>
  <c r="BY67" i="60"/>
  <c r="BY69" i="60"/>
  <c r="BY71" i="60"/>
  <c r="BY73" i="60"/>
  <c r="CC60" i="60"/>
  <c r="CC62" i="60"/>
  <c r="CC64" i="60"/>
  <c r="CC66" i="60"/>
  <c r="CC68" i="60"/>
  <c r="CC70" i="60"/>
  <c r="CC72" i="60"/>
  <c r="CC74" i="60"/>
  <c r="CD61" i="60"/>
  <c r="CD63" i="60"/>
  <c r="CD65" i="60"/>
  <c r="CD67" i="60"/>
  <c r="CD69" i="60"/>
  <c r="CD71" i="60"/>
  <c r="CD73" i="60"/>
  <c r="CD75" i="60"/>
  <c r="CE60" i="60"/>
  <c r="CE62" i="60"/>
  <c r="CE64" i="60"/>
  <c r="CE66" i="60"/>
  <c r="CE68" i="60"/>
  <c r="CE70" i="60"/>
  <c r="CE72" i="60"/>
  <c r="CE74" i="60"/>
  <c r="CI61" i="60"/>
  <c r="CI63" i="60"/>
  <c r="CI65" i="60"/>
  <c r="CI67" i="60"/>
  <c r="CI69" i="60"/>
  <c r="CI71" i="60"/>
  <c r="CI73" i="60"/>
  <c r="CJ60" i="60"/>
  <c r="CJ62" i="60"/>
  <c r="CJ64" i="60"/>
  <c r="CJ66" i="60"/>
  <c r="CJ68" i="60"/>
  <c r="CJ70" i="60"/>
  <c r="CJ72" i="60"/>
  <c r="CJ74" i="60"/>
  <c r="CK61" i="60"/>
  <c r="CK63" i="60"/>
  <c r="CK65" i="60"/>
  <c r="CK67" i="60"/>
  <c r="CK69" i="60"/>
  <c r="CK71" i="60"/>
  <c r="CK73" i="60"/>
  <c r="CO60" i="60"/>
  <c r="CO62" i="60"/>
  <c r="CO64" i="60"/>
  <c r="CO66" i="60"/>
  <c r="CO68" i="60"/>
  <c r="CO70" i="60"/>
  <c r="CO72" i="60"/>
  <c r="CO74" i="60"/>
  <c r="CP61" i="60"/>
  <c r="CP63" i="60"/>
  <c r="CP65" i="60"/>
  <c r="CP67" i="60"/>
  <c r="CP69" i="60"/>
  <c r="CP71" i="60"/>
  <c r="CP73" i="60"/>
  <c r="CP75" i="60"/>
  <c r="CQ60" i="60"/>
  <c r="CQ62" i="60"/>
  <c r="CQ64" i="60"/>
  <c r="CQ66" i="60"/>
  <c r="CQ68" i="60"/>
  <c r="CQ70" i="60"/>
  <c r="CQ72" i="60"/>
  <c r="CQ74" i="60"/>
  <c r="BW88" i="60"/>
  <c r="BW90" i="60"/>
  <c r="BX87" i="60"/>
  <c r="BX89" i="60"/>
  <c r="BX91" i="60"/>
  <c r="BY88" i="60"/>
  <c r="BY90" i="60"/>
  <c r="CC87" i="60"/>
  <c r="CC89" i="60"/>
  <c r="CC91" i="60"/>
  <c r="CD88" i="60"/>
  <c r="CD90" i="60"/>
  <c r="CD92" i="60"/>
  <c r="CE87" i="60"/>
  <c r="CE89" i="60"/>
  <c r="CE91" i="60"/>
  <c r="CI88" i="60"/>
  <c r="CI90" i="60"/>
  <c r="CJ87" i="60"/>
  <c r="CJ89" i="60"/>
  <c r="CJ91" i="60"/>
  <c r="CK88" i="60"/>
  <c r="CK90" i="60"/>
  <c r="CK92" i="60"/>
  <c r="CH92" i="60" s="1"/>
  <c r="CP88" i="60"/>
  <c r="CP90" i="60"/>
  <c r="CP92" i="60"/>
  <c r="BX61" i="60"/>
  <c r="BX63" i="60"/>
  <c r="BX65" i="60"/>
  <c r="BX67" i="60"/>
  <c r="BX69" i="60"/>
  <c r="BX71" i="60"/>
  <c r="BX73" i="60"/>
  <c r="CC61" i="60"/>
  <c r="CC63" i="60"/>
  <c r="CC65" i="60"/>
  <c r="CC67" i="60"/>
  <c r="CC69" i="60"/>
  <c r="CC71" i="60"/>
  <c r="CC73" i="60"/>
  <c r="CD60" i="60"/>
  <c r="CD62" i="60"/>
  <c r="CD64" i="60"/>
  <c r="CD66" i="60"/>
  <c r="CD68" i="60"/>
  <c r="CD70" i="60"/>
  <c r="CD72" i="60"/>
  <c r="CE61" i="60"/>
  <c r="CE63" i="60"/>
  <c r="CE65" i="60"/>
  <c r="CE67" i="60"/>
  <c r="CE69" i="60"/>
  <c r="CE71" i="60"/>
  <c r="CE73" i="60"/>
  <c r="CJ61" i="60"/>
  <c r="CJ63" i="60"/>
  <c r="CJ65" i="60"/>
  <c r="CJ67" i="60"/>
  <c r="CJ69" i="60"/>
  <c r="CJ71" i="60"/>
  <c r="CJ73" i="60"/>
  <c r="CO61" i="60"/>
  <c r="CO63" i="60"/>
  <c r="CO65" i="60"/>
  <c r="CO67" i="60"/>
  <c r="CO69" i="60"/>
  <c r="CO71" i="60"/>
  <c r="CO73" i="60"/>
  <c r="CP60" i="60"/>
  <c r="CP62" i="60"/>
  <c r="CP64" i="60"/>
  <c r="CP66" i="60"/>
  <c r="CP68" i="60"/>
  <c r="CP70" i="60"/>
  <c r="CP72" i="60"/>
  <c r="CQ61" i="60"/>
  <c r="CQ63" i="60"/>
  <c r="CQ65" i="60"/>
  <c r="CQ67" i="60"/>
  <c r="CQ69" i="60"/>
  <c r="CQ71" i="60"/>
  <c r="CQ73" i="60"/>
  <c r="BX88" i="60"/>
  <c r="BX90" i="60"/>
  <c r="CC88" i="60"/>
  <c r="CC90" i="60"/>
  <c r="CD87" i="60"/>
  <c r="CD89" i="60"/>
  <c r="CE88" i="60"/>
  <c r="CE90" i="60"/>
  <c r="CJ88" i="60"/>
  <c r="CJ90" i="60"/>
  <c r="CK87" i="60"/>
  <c r="CK89" i="60"/>
  <c r="CO88" i="60"/>
  <c r="CO90" i="60"/>
  <c r="CP87" i="60"/>
  <c r="CP89" i="60"/>
  <c r="CQ88" i="60"/>
  <c r="CQ90" i="60"/>
  <c r="BQ87" i="60"/>
  <c r="BE64" i="60"/>
  <c r="BE72" i="60"/>
  <c r="BG64" i="60"/>
  <c r="BG72" i="60"/>
  <c r="BQ91" i="60"/>
  <c r="BD8" i="60"/>
  <c r="BP8" i="60"/>
  <c r="BD9" i="60"/>
  <c r="BP9" i="60"/>
  <c r="BD10" i="60"/>
  <c r="BP10" i="60"/>
  <c r="BD11" i="60"/>
  <c r="BP11" i="60"/>
  <c r="BD12" i="60"/>
  <c r="BP12" i="60"/>
  <c r="BD13" i="60"/>
  <c r="BP13" i="60"/>
  <c r="BD14" i="60"/>
  <c r="BP14" i="60"/>
  <c r="BD15" i="60"/>
  <c r="BP15" i="60"/>
  <c r="BD16" i="60"/>
  <c r="BP16" i="60"/>
  <c r="BD17" i="60"/>
  <c r="BP17" i="60"/>
  <c r="BD18" i="60"/>
  <c r="BP18" i="60"/>
  <c r="BD19" i="60"/>
  <c r="BP19" i="60"/>
  <c r="BD20" i="60"/>
  <c r="BP20" i="60"/>
  <c r="BD21" i="60"/>
  <c r="BP21" i="60"/>
  <c r="BD22" i="60"/>
  <c r="BP22" i="60"/>
  <c r="BD23" i="60"/>
  <c r="BP23" i="60"/>
  <c r="BD24" i="60"/>
  <c r="BP24" i="60"/>
  <c r="BD25" i="60"/>
  <c r="BP25" i="60"/>
  <c r="BD26" i="60"/>
  <c r="BP26" i="60"/>
  <c r="BD27" i="60"/>
  <c r="BP27" i="60"/>
  <c r="BD28" i="60"/>
  <c r="BP28" i="60"/>
  <c r="BD29" i="60"/>
  <c r="BP29" i="60"/>
  <c r="BD30" i="60"/>
  <c r="BP30" i="60"/>
  <c r="BD31" i="60"/>
  <c r="BP31" i="60"/>
  <c r="BD32" i="60"/>
  <c r="BP32" i="60"/>
  <c r="BD33" i="60"/>
  <c r="BP33" i="60"/>
  <c r="BD34" i="60"/>
  <c r="BP34" i="60"/>
  <c r="BD35" i="60"/>
  <c r="BP35" i="60"/>
  <c r="BD36" i="60"/>
  <c r="BP36" i="60"/>
  <c r="BD37" i="60"/>
  <c r="BP37" i="60"/>
  <c r="BD38" i="60"/>
  <c r="BP38" i="60"/>
  <c r="BD39" i="60"/>
  <c r="BP39" i="60"/>
  <c r="BD40" i="60"/>
  <c r="BP40" i="60"/>
  <c r="BD41" i="60"/>
  <c r="BP41" i="60"/>
  <c r="BD42" i="60"/>
  <c r="BP42" i="60"/>
  <c r="BD43" i="60"/>
  <c r="BP43" i="60"/>
  <c r="BD44" i="60"/>
  <c r="BP44" i="60"/>
  <c r="BD45" i="60"/>
  <c r="BP45" i="60"/>
  <c r="BD46" i="60"/>
  <c r="BP46" i="60"/>
  <c r="BD47" i="60"/>
  <c r="BP47" i="60"/>
  <c r="BD48" i="60"/>
  <c r="BP48" i="60"/>
  <c r="BD50" i="60"/>
  <c r="BP50" i="60"/>
  <c r="AY60" i="60"/>
  <c r="AY64" i="60"/>
  <c r="BP75" i="60"/>
  <c r="BQ62" i="60"/>
  <c r="BQ66" i="60"/>
  <c r="BQ70" i="60"/>
  <c r="BS60" i="60"/>
  <c r="BS64" i="60"/>
  <c r="BS68" i="60"/>
  <c r="AX77" i="60"/>
  <c r="BP77" i="60"/>
  <c r="BA89" i="60"/>
  <c r="BG87" i="60"/>
  <c r="BK89" i="60"/>
  <c r="BP92" i="60"/>
  <c r="BQ89" i="60"/>
  <c r="BS87" i="60"/>
  <c r="BS91" i="60"/>
  <c r="AX94" i="60"/>
  <c r="BD94" i="60"/>
  <c r="AX8" i="60"/>
  <c r="BJ8" i="60"/>
  <c r="AX9" i="60"/>
  <c r="BJ9" i="60"/>
  <c r="AX10" i="60"/>
  <c r="BJ10" i="60"/>
  <c r="AX11" i="60"/>
  <c r="BJ11" i="60"/>
  <c r="AX12" i="60"/>
  <c r="BJ12" i="60"/>
  <c r="AX13" i="60"/>
  <c r="BJ13" i="60"/>
  <c r="AX14" i="60"/>
  <c r="BJ14" i="60"/>
  <c r="AX15" i="60"/>
  <c r="BJ15" i="60"/>
  <c r="AX16" i="60"/>
  <c r="BJ16" i="60"/>
  <c r="AX17" i="60"/>
  <c r="BJ17" i="60"/>
  <c r="AX18" i="60"/>
  <c r="BJ18" i="60"/>
  <c r="AX19" i="60"/>
  <c r="BJ19" i="60"/>
  <c r="AX20" i="60"/>
  <c r="BJ20" i="60"/>
  <c r="AX21" i="60"/>
  <c r="BJ21" i="60"/>
  <c r="AX22" i="60"/>
  <c r="BJ22" i="60"/>
  <c r="AX23" i="60"/>
  <c r="BJ23" i="60"/>
  <c r="AX24" i="60"/>
  <c r="BJ24" i="60"/>
  <c r="AX25" i="60"/>
  <c r="BJ25" i="60"/>
  <c r="AX26" i="60"/>
  <c r="BJ26" i="60"/>
  <c r="AX27" i="60"/>
  <c r="BJ27" i="60"/>
  <c r="AX28" i="60"/>
  <c r="BJ28" i="60"/>
  <c r="AX29" i="60"/>
  <c r="BJ29" i="60"/>
  <c r="AX30" i="60"/>
  <c r="BJ30" i="60"/>
  <c r="AX31" i="60"/>
  <c r="BJ31" i="60"/>
  <c r="AX32" i="60"/>
  <c r="BJ32" i="60"/>
  <c r="AX33" i="60"/>
  <c r="BJ33" i="60"/>
  <c r="AX34" i="60"/>
  <c r="BJ34" i="60"/>
  <c r="AX35" i="60"/>
  <c r="BJ35" i="60"/>
  <c r="AX36" i="60"/>
  <c r="BJ36" i="60"/>
  <c r="AX37" i="60"/>
  <c r="BJ37" i="60"/>
  <c r="AX38" i="60"/>
  <c r="BJ38" i="60"/>
  <c r="AX39" i="60"/>
  <c r="BJ39" i="60"/>
  <c r="AX40" i="60"/>
  <c r="BJ40" i="60"/>
  <c r="AX41" i="60"/>
  <c r="BJ41" i="60"/>
  <c r="AX42" i="60"/>
  <c r="BJ42" i="60"/>
  <c r="AX43" i="60"/>
  <c r="BJ43" i="60"/>
  <c r="AX44" i="60"/>
  <c r="BJ44" i="60"/>
  <c r="AX45" i="60"/>
  <c r="BJ45" i="60"/>
  <c r="AX46" i="60"/>
  <c r="BJ46" i="60"/>
  <c r="AX47" i="60"/>
  <c r="BJ47" i="60"/>
  <c r="AX48" i="60"/>
  <c r="BJ48" i="60"/>
  <c r="AX50" i="60"/>
  <c r="BJ50" i="60"/>
  <c r="AX74" i="60"/>
  <c r="AY62" i="60"/>
  <c r="BD75" i="60"/>
  <c r="BE62" i="60"/>
  <c r="BE66" i="60"/>
  <c r="BE70" i="60"/>
  <c r="BE74" i="60"/>
  <c r="BG62" i="60"/>
  <c r="BG66" i="60"/>
  <c r="BG70" i="60"/>
  <c r="BG74" i="60"/>
  <c r="BJ74" i="60"/>
  <c r="BQ60" i="60"/>
  <c r="BQ64" i="60"/>
  <c r="BQ68" i="60"/>
  <c r="BQ72" i="60"/>
  <c r="BS62" i="60"/>
  <c r="BS66" i="60"/>
  <c r="BD77" i="60"/>
  <c r="BA87" i="60"/>
  <c r="BA91" i="60"/>
  <c r="AX91" i="60" s="1"/>
  <c r="BD92" i="60"/>
  <c r="BK87" i="60"/>
  <c r="BK91" i="60"/>
  <c r="BJ91" i="60" s="1"/>
  <c r="BS89" i="60"/>
  <c r="BJ94" i="60"/>
  <c r="BP94" i="60"/>
  <c r="AY61" i="60"/>
  <c r="AY63" i="60"/>
  <c r="AY65" i="60"/>
  <c r="AY67" i="60"/>
  <c r="AY69" i="60"/>
  <c r="AY71" i="60"/>
  <c r="AY73" i="60"/>
  <c r="AY75" i="60"/>
  <c r="AZ60" i="60"/>
  <c r="AZ62" i="60"/>
  <c r="AZ64" i="60"/>
  <c r="AZ66" i="60"/>
  <c r="AZ68" i="60"/>
  <c r="AZ70" i="60"/>
  <c r="AZ72" i="60"/>
  <c r="AZ74" i="60"/>
  <c r="BA61" i="60"/>
  <c r="BA63" i="60"/>
  <c r="BA65" i="60"/>
  <c r="BA67" i="60"/>
  <c r="BA69" i="60"/>
  <c r="BA71" i="60"/>
  <c r="BA73" i="60"/>
  <c r="BA75" i="60"/>
  <c r="BF61" i="60"/>
  <c r="BF63" i="60"/>
  <c r="BF65" i="60"/>
  <c r="BF67" i="60"/>
  <c r="BF69" i="60"/>
  <c r="BF71" i="60"/>
  <c r="BF73" i="60"/>
  <c r="BF75" i="60"/>
  <c r="BK61" i="60"/>
  <c r="BK63" i="60"/>
  <c r="BK65" i="60"/>
  <c r="BK67" i="60"/>
  <c r="BK69" i="60"/>
  <c r="BK71" i="60"/>
  <c r="BK73" i="60"/>
  <c r="BK75" i="60"/>
  <c r="BL60" i="60"/>
  <c r="BL62" i="60"/>
  <c r="BL64" i="60"/>
  <c r="BL66" i="60"/>
  <c r="BL68" i="60"/>
  <c r="BL70" i="60"/>
  <c r="BL72" i="60"/>
  <c r="BL74" i="60"/>
  <c r="BM61" i="60"/>
  <c r="BM63" i="60"/>
  <c r="BM65" i="60"/>
  <c r="BM67" i="60"/>
  <c r="BM69" i="60"/>
  <c r="BM71" i="60"/>
  <c r="BM73" i="60"/>
  <c r="BM75" i="60"/>
  <c r="BQ74" i="60"/>
  <c r="BR61" i="60"/>
  <c r="BR63" i="60"/>
  <c r="BR65" i="60"/>
  <c r="BR67" i="60"/>
  <c r="BR69" i="60"/>
  <c r="BR71" i="60"/>
  <c r="BR73" i="60"/>
  <c r="BR75" i="60"/>
  <c r="BS70" i="60"/>
  <c r="BS72" i="60"/>
  <c r="BS74" i="60"/>
  <c r="AY88" i="60"/>
  <c r="AY90" i="60"/>
  <c r="AY92" i="60"/>
  <c r="AX92" i="60" s="1"/>
  <c r="AZ87" i="60"/>
  <c r="AZ89" i="60"/>
  <c r="AZ91" i="60"/>
  <c r="BA88" i="60"/>
  <c r="BA90" i="60"/>
  <c r="BE87" i="60"/>
  <c r="BE89" i="60"/>
  <c r="BE91" i="60"/>
  <c r="BF88" i="60"/>
  <c r="BF90" i="60"/>
  <c r="BF92" i="60"/>
  <c r="BG89" i="60"/>
  <c r="BG91" i="60"/>
  <c r="BK88" i="60"/>
  <c r="BK90" i="60"/>
  <c r="BL87" i="60"/>
  <c r="BL89" i="60"/>
  <c r="BL91" i="60"/>
  <c r="BM88" i="60"/>
  <c r="BM90" i="60"/>
  <c r="BM92" i="60"/>
  <c r="BJ92" i="60" s="1"/>
  <c r="BR88" i="60"/>
  <c r="BR90" i="60"/>
  <c r="BR92" i="60"/>
  <c r="AY66" i="60"/>
  <c r="AY68" i="60"/>
  <c r="AY70" i="60"/>
  <c r="AY72" i="60"/>
  <c r="AZ61" i="60"/>
  <c r="AZ63" i="60"/>
  <c r="AZ65" i="60"/>
  <c r="AZ67" i="60"/>
  <c r="AZ69" i="60"/>
  <c r="AZ71" i="60"/>
  <c r="AZ73" i="60"/>
  <c r="BA60" i="60"/>
  <c r="BA62" i="60"/>
  <c r="BA64" i="60"/>
  <c r="BA66" i="60"/>
  <c r="BA68" i="60"/>
  <c r="BA70" i="60"/>
  <c r="BA72" i="60"/>
  <c r="BE61" i="60"/>
  <c r="BE63" i="60"/>
  <c r="BE65" i="60"/>
  <c r="BE67" i="60"/>
  <c r="BE69" i="60"/>
  <c r="BE71" i="60"/>
  <c r="BE73" i="60"/>
  <c r="BF60" i="60"/>
  <c r="BF62" i="60"/>
  <c r="BF64" i="60"/>
  <c r="BF66" i="60"/>
  <c r="BF68" i="60"/>
  <c r="BF70" i="60"/>
  <c r="BF72" i="60"/>
  <c r="BG61" i="60"/>
  <c r="BG63" i="60"/>
  <c r="BG65" i="60"/>
  <c r="BG67" i="60"/>
  <c r="BG69" i="60"/>
  <c r="BG71" i="60"/>
  <c r="BG73" i="60"/>
  <c r="BK60" i="60"/>
  <c r="BK62" i="60"/>
  <c r="BK64" i="60"/>
  <c r="BK66" i="60"/>
  <c r="BK68" i="60"/>
  <c r="BK70" i="60"/>
  <c r="BK72" i="60"/>
  <c r="BL61" i="60"/>
  <c r="BL63" i="60"/>
  <c r="BL65" i="60"/>
  <c r="BL67" i="60"/>
  <c r="BL69" i="60"/>
  <c r="BL71" i="60"/>
  <c r="BL73" i="60"/>
  <c r="BM60" i="60"/>
  <c r="BM62" i="60"/>
  <c r="BM64" i="60"/>
  <c r="BM66" i="60"/>
  <c r="BM68" i="60"/>
  <c r="BM70" i="60"/>
  <c r="BM72" i="60"/>
  <c r="BQ61" i="60"/>
  <c r="BQ63" i="60"/>
  <c r="BQ65" i="60"/>
  <c r="BQ67" i="60"/>
  <c r="BQ69" i="60"/>
  <c r="BQ71" i="60"/>
  <c r="BQ73" i="60"/>
  <c r="BR60" i="60"/>
  <c r="BR62" i="60"/>
  <c r="BR64" i="60"/>
  <c r="BR66" i="60"/>
  <c r="BR68" i="60"/>
  <c r="BR70" i="60"/>
  <c r="BR72" i="60"/>
  <c r="BS61" i="60"/>
  <c r="BS63" i="60"/>
  <c r="BS65" i="60"/>
  <c r="BS67" i="60"/>
  <c r="BS69" i="60"/>
  <c r="BS71" i="60"/>
  <c r="BS73" i="60"/>
  <c r="AY87" i="60"/>
  <c r="AY89" i="60"/>
  <c r="AZ88" i="60"/>
  <c r="AZ90" i="60"/>
  <c r="BE88" i="60"/>
  <c r="BE90" i="60"/>
  <c r="BF87" i="60"/>
  <c r="BF89" i="60"/>
  <c r="BG88" i="60"/>
  <c r="BG90" i="60"/>
  <c r="BL88" i="60"/>
  <c r="BL90" i="60"/>
  <c r="BM87" i="60"/>
  <c r="BM89" i="60"/>
  <c r="BQ88" i="60"/>
  <c r="BQ90" i="60"/>
  <c r="BR87" i="60"/>
  <c r="BR89" i="60"/>
  <c r="BS88" i="60"/>
  <c r="BS90" i="60"/>
  <c r="CS53" i="60"/>
  <c r="CS1" i="60"/>
  <c r="CS80" i="60"/>
  <c r="J75" i="60"/>
  <c r="J67" i="60"/>
  <c r="V90" i="60"/>
  <c r="U90" i="60"/>
  <c r="D75" i="60"/>
  <c r="J71" i="60"/>
  <c r="J63" i="60"/>
  <c r="I75" i="60"/>
  <c r="P67" i="60"/>
  <c r="V75" i="60"/>
  <c r="AG64" i="60"/>
  <c r="AG72" i="60"/>
  <c r="AI64" i="60"/>
  <c r="AI72" i="60"/>
  <c r="AU64" i="60"/>
  <c r="AU72" i="60"/>
  <c r="D67" i="60"/>
  <c r="C75" i="60"/>
  <c r="P71" i="60"/>
  <c r="P63" i="60"/>
  <c r="O75" i="60"/>
  <c r="Z77" i="60"/>
  <c r="AG60" i="60"/>
  <c r="AG68" i="60"/>
  <c r="AI60" i="60"/>
  <c r="AI68" i="60"/>
  <c r="AU60" i="60"/>
  <c r="AU68" i="60"/>
  <c r="AS87" i="60"/>
  <c r="AF8" i="60"/>
  <c r="AR8" i="60"/>
  <c r="AF9" i="60"/>
  <c r="AR9" i="60"/>
  <c r="AF10" i="60"/>
  <c r="AR10" i="60"/>
  <c r="AF11" i="60"/>
  <c r="AR11" i="60"/>
  <c r="AF12" i="60"/>
  <c r="AR12" i="60"/>
  <c r="AF13" i="60"/>
  <c r="AR13" i="60"/>
  <c r="AF14" i="60"/>
  <c r="AR14" i="60"/>
  <c r="AF15" i="60"/>
  <c r="AR15" i="60"/>
  <c r="AF16" i="60"/>
  <c r="AR16" i="60"/>
  <c r="AF17" i="60"/>
  <c r="AR17" i="60"/>
  <c r="AF18" i="60"/>
  <c r="AR18" i="60"/>
  <c r="AF19" i="60"/>
  <c r="AR19" i="60"/>
  <c r="AF20" i="60"/>
  <c r="AR20" i="60"/>
  <c r="AF21" i="60"/>
  <c r="AR21" i="60"/>
  <c r="AF22" i="60"/>
  <c r="AR22" i="60"/>
  <c r="AF23" i="60"/>
  <c r="AR23" i="60"/>
  <c r="AF24" i="60"/>
  <c r="AR24" i="60"/>
  <c r="AF25" i="60"/>
  <c r="AR25" i="60"/>
  <c r="AF26" i="60"/>
  <c r="AR26" i="60"/>
  <c r="AF27" i="60"/>
  <c r="AR27" i="60"/>
  <c r="AF28" i="60"/>
  <c r="AR28" i="60"/>
  <c r="AF29" i="60"/>
  <c r="AR29" i="60"/>
  <c r="AF30" i="60"/>
  <c r="AR30" i="60"/>
  <c r="AF31" i="60"/>
  <c r="AR31" i="60"/>
  <c r="AF32" i="60"/>
  <c r="AR32" i="60"/>
  <c r="AF33" i="60"/>
  <c r="AR33" i="60"/>
  <c r="AF34" i="60"/>
  <c r="AR34" i="60"/>
  <c r="AF35" i="60"/>
  <c r="AR35" i="60"/>
  <c r="AF36" i="60"/>
  <c r="AR36" i="60"/>
  <c r="AF37" i="60"/>
  <c r="AR37" i="60"/>
  <c r="AF38" i="60"/>
  <c r="AR38" i="60"/>
  <c r="AF39" i="60"/>
  <c r="AR39" i="60"/>
  <c r="AF40" i="60"/>
  <c r="AR40" i="60"/>
  <c r="AF41" i="60"/>
  <c r="AR41" i="60"/>
  <c r="AF42" i="60"/>
  <c r="AR42" i="60"/>
  <c r="AF43" i="60"/>
  <c r="AR43" i="60"/>
  <c r="AF44" i="60"/>
  <c r="AR44" i="60"/>
  <c r="AF45" i="60"/>
  <c r="AR45" i="60"/>
  <c r="AF46" i="60"/>
  <c r="AR46" i="60"/>
  <c r="AF47" i="60"/>
  <c r="AR47" i="60"/>
  <c r="AF48" i="60"/>
  <c r="AR48" i="60"/>
  <c r="AF50" i="60"/>
  <c r="AR50" i="60"/>
  <c r="Z74" i="60"/>
  <c r="AS62" i="60"/>
  <c r="AS66" i="60"/>
  <c r="AS70" i="60"/>
  <c r="AF77" i="60"/>
  <c r="AL77" i="60"/>
  <c r="Z91" i="60"/>
  <c r="AA89" i="60"/>
  <c r="AF92" i="60"/>
  <c r="AG89" i="60"/>
  <c r="AI89" i="60"/>
  <c r="AS89" i="60"/>
  <c r="AU87" i="60"/>
  <c r="AU91" i="60"/>
  <c r="Z94" i="60"/>
  <c r="AF94" i="60"/>
  <c r="C67" i="60"/>
  <c r="I67" i="60"/>
  <c r="O67" i="60"/>
  <c r="V67" i="60"/>
  <c r="J90" i="60"/>
  <c r="Z8" i="60"/>
  <c r="AL8" i="60"/>
  <c r="Z9" i="60"/>
  <c r="AL9" i="60"/>
  <c r="Z10" i="60"/>
  <c r="AL10" i="60"/>
  <c r="Z11" i="60"/>
  <c r="AL11" i="60"/>
  <c r="Z12" i="60"/>
  <c r="AL12" i="60"/>
  <c r="Z13" i="60"/>
  <c r="AL13" i="60"/>
  <c r="Z14" i="60"/>
  <c r="AL14" i="60"/>
  <c r="Z15" i="60"/>
  <c r="AL15" i="60"/>
  <c r="Z16" i="60"/>
  <c r="AL16" i="60"/>
  <c r="Z17" i="60"/>
  <c r="AL17" i="60"/>
  <c r="Z18" i="60"/>
  <c r="AL18" i="60"/>
  <c r="Z19" i="60"/>
  <c r="AL19" i="60"/>
  <c r="Z20" i="60"/>
  <c r="AL20" i="60"/>
  <c r="Z21" i="60"/>
  <c r="AL21" i="60"/>
  <c r="Z22" i="60"/>
  <c r="AL22" i="60"/>
  <c r="Z23" i="60"/>
  <c r="AL23" i="60"/>
  <c r="Z24" i="60"/>
  <c r="AL24" i="60"/>
  <c r="Z25" i="60"/>
  <c r="AL25" i="60"/>
  <c r="Z26" i="60"/>
  <c r="AL26" i="60"/>
  <c r="Z27" i="60"/>
  <c r="AL27" i="60"/>
  <c r="Z28" i="60"/>
  <c r="AL28" i="60"/>
  <c r="Z29" i="60"/>
  <c r="AL29" i="60"/>
  <c r="Z30" i="60"/>
  <c r="AL30" i="60"/>
  <c r="Z31" i="60"/>
  <c r="AL31" i="60"/>
  <c r="Z32" i="60"/>
  <c r="AL32" i="60"/>
  <c r="Z33" i="60"/>
  <c r="AL33" i="60"/>
  <c r="Z34" i="60"/>
  <c r="AL34" i="60"/>
  <c r="Z35" i="60"/>
  <c r="AL35" i="60"/>
  <c r="Z36" i="60"/>
  <c r="AL36" i="60"/>
  <c r="Z37" i="60"/>
  <c r="AL37" i="60"/>
  <c r="Z38" i="60"/>
  <c r="AL38" i="60"/>
  <c r="Z39" i="60"/>
  <c r="AL39" i="60"/>
  <c r="Z40" i="60"/>
  <c r="AL40" i="60"/>
  <c r="Z41" i="60"/>
  <c r="AL41" i="60"/>
  <c r="Z42" i="60"/>
  <c r="AL42" i="60"/>
  <c r="Z43" i="60"/>
  <c r="AL43" i="60"/>
  <c r="Z44" i="60"/>
  <c r="AL44" i="60"/>
  <c r="Z45" i="60"/>
  <c r="AL45" i="60"/>
  <c r="Z46" i="60"/>
  <c r="AL46" i="60"/>
  <c r="Z47" i="60"/>
  <c r="AL47" i="60"/>
  <c r="Z48" i="60"/>
  <c r="AL48" i="60"/>
  <c r="Z50" i="60"/>
  <c r="AL50" i="60"/>
  <c r="AF75" i="60"/>
  <c r="AG62" i="60"/>
  <c r="AG66" i="60"/>
  <c r="AG70" i="60"/>
  <c r="AG74" i="60"/>
  <c r="AI62" i="60"/>
  <c r="AI66" i="60"/>
  <c r="AI70" i="60"/>
  <c r="AI74" i="60"/>
  <c r="AL74" i="60"/>
  <c r="AS60" i="60"/>
  <c r="AS64" i="60"/>
  <c r="AS68" i="60"/>
  <c r="AS72" i="60"/>
  <c r="AU62" i="60"/>
  <c r="AU66" i="60"/>
  <c r="AU70" i="60"/>
  <c r="AU74" i="60"/>
  <c r="AR77" i="60"/>
  <c r="AA87" i="60"/>
  <c r="AC87" i="60"/>
  <c r="AG87" i="60"/>
  <c r="AI87" i="60"/>
  <c r="AI91" i="60"/>
  <c r="AL91" i="60"/>
  <c r="AS91" i="60"/>
  <c r="AU89" i="60"/>
  <c r="AL94" i="60"/>
  <c r="AR94" i="60"/>
  <c r="AR75" i="60"/>
  <c r="AR92" i="60"/>
  <c r="AA61" i="60"/>
  <c r="AA63" i="60"/>
  <c r="AA65" i="60"/>
  <c r="AA67" i="60"/>
  <c r="AA69" i="60"/>
  <c r="AA71" i="60"/>
  <c r="AA73" i="60"/>
  <c r="AA75" i="60"/>
  <c r="AB60" i="60"/>
  <c r="AB62" i="60"/>
  <c r="AB64" i="60"/>
  <c r="AB66" i="60"/>
  <c r="AB68" i="60"/>
  <c r="AB70" i="60"/>
  <c r="AB72" i="60"/>
  <c r="AB74" i="60"/>
  <c r="AC61" i="60"/>
  <c r="AC63" i="60"/>
  <c r="AC65" i="60"/>
  <c r="AC67" i="60"/>
  <c r="AC69" i="60"/>
  <c r="AC71" i="60"/>
  <c r="AC73" i="60"/>
  <c r="AC75" i="60"/>
  <c r="AH61" i="60"/>
  <c r="AH63" i="60"/>
  <c r="AH65" i="60"/>
  <c r="AH67" i="60"/>
  <c r="AH69" i="60"/>
  <c r="AH71" i="60"/>
  <c r="AH73" i="60"/>
  <c r="AH75" i="60"/>
  <c r="AM61" i="60"/>
  <c r="AM63" i="60"/>
  <c r="AM65" i="60"/>
  <c r="AM67" i="60"/>
  <c r="AM69" i="60"/>
  <c r="AM71" i="60"/>
  <c r="AM73" i="60"/>
  <c r="AM75" i="60"/>
  <c r="AN60" i="60"/>
  <c r="AN62" i="60"/>
  <c r="AN64" i="60"/>
  <c r="AN66" i="60"/>
  <c r="AN68" i="60"/>
  <c r="AN70" i="60"/>
  <c r="AN72" i="60"/>
  <c r="AN74" i="60"/>
  <c r="AO61" i="60"/>
  <c r="AO63" i="60"/>
  <c r="AO65" i="60"/>
  <c r="AO67" i="60"/>
  <c r="AO69" i="60"/>
  <c r="AO71" i="60"/>
  <c r="AO73" i="60"/>
  <c r="AO75" i="60"/>
  <c r="AS74" i="60"/>
  <c r="AT61" i="60"/>
  <c r="AT63" i="60"/>
  <c r="AT65" i="60"/>
  <c r="AT67" i="60"/>
  <c r="AT69" i="60"/>
  <c r="AT71" i="60"/>
  <c r="AT73" i="60"/>
  <c r="AT75" i="60"/>
  <c r="AA88" i="60"/>
  <c r="AA90" i="60"/>
  <c r="AA92" i="60"/>
  <c r="AB87" i="60"/>
  <c r="AB89" i="60"/>
  <c r="AB91" i="60"/>
  <c r="AC88" i="60"/>
  <c r="AC90" i="60"/>
  <c r="AC92" i="60"/>
  <c r="AG91" i="60"/>
  <c r="AH88" i="60"/>
  <c r="AH90" i="60"/>
  <c r="AH92" i="60"/>
  <c r="AM88" i="60"/>
  <c r="AM90" i="60"/>
  <c r="AM92" i="60"/>
  <c r="AN87" i="60"/>
  <c r="AN89" i="60"/>
  <c r="AN91" i="60"/>
  <c r="AO88" i="60"/>
  <c r="AO90" i="60"/>
  <c r="AO92" i="60"/>
  <c r="AT88" i="60"/>
  <c r="AT90" i="60"/>
  <c r="AT92" i="60"/>
  <c r="AA60" i="60"/>
  <c r="AA62" i="60"/>
  <c r="AA64" i="60"/>
  <c r="AA66" i="60"/>
  <c r="AA68" i="60"/>
  <c r="AA70" i="60"/>
  <c r="AA72" i="60"/>
  <c r="AB61" i="60"/>
  <c r="AB63" i="60"/>
  <c r="AB65" i="60"/>
  <c r="AB67" i="60"/>
  <c r="AB69" i="60"/>
  <c r="AB71" i="60"/>
  <c r="AB73" i="60"/>
  <c r="AC60" i="60"/>
  <c r="AC62" i="60"/>
  <c r="AC64" i="60"/>
  <c r="AC66" i="60"/>
  <c r="AC68" i="60"/>
  <c r="AC70" i="60"/>
  <c r="AC72" i="60"/>
  <c r="AG61" i="60"/>
  <c r="AG63" i="60"/>
  <c r="AG65" i="60"/>
  <c r="AG67" i="60"/>
  <c r="AG69" i="60"/>
  <c r="AG71" i="60"/>
  <c r="AG73" i="60"/>
  <c r="AH60" i="60"/>
  <c r="AH62" i="60"/>
  <c r="AH64" i="60"/>
  <c r="AH66" i="60"/>
  <c r="AH68" i="60"/>
  <c r="AH70" i="60"/>
  <c r="AH72" i="60"/>
  <c r="AI61" i="60"/>
  <c r="AI63" i="60"/>
  <c r="AI65" i="60"/>
  <c r="AI67" i="60"/>
  <c r="AI69" i="60"/>
  <c r="AI71" i="60"/>
  <c r="AI73" i="60"/>
  <c r="AM60" i="60"/>
  <c r="AM62" i="60"/>
  <c r="AM64" i="60"/>
  <c r="AM66" i="60"/>
  <c r="AM68" i="60"/>
  <c r="AM70" i="60"/>
  <c r="AM72" i="60"/>
  <c r="AN61" i="60"/>
  <c r="AN63" i="60"/>
  <c r="AN65" i="60"/>
  <c r="AN67" i="60"/>
  <c r="AN69" i="60"/>
  <c r="AN71" i="60"/>
  <c r="AN73" i="60"/>
  <c r="AO60" i="60"/>
  <c r="AO62" i="60"/>
  <c r="AO64" i="60"/>
  <c r="AO66" i="60"/>
  <c r="AO68" i="60"/>
  <c r="AO70" i="60"/>
  <c r="AO72" i="60"/>
  <c r="AS61" i="60"/>
  <c r="AS63" i="60"/>
  <c r="AS65" i="60"/>
  <c r="AS67" i="60"/>
  <c r="AS69" i="60"/>
  <c r="AS71" i="60"/>
  <c r="AS73" i="60"/>
  <c r="AT60" i="60"/>
  <c r="AT62" i="60"/>
  <c r="AT64" i="60"/>
  <c r="AT66" i="60"/>
  <c r="AT68" i="60"/>
  <c r="AT70" i="60"/>
  <c r="AT72" i="60"/>
  <c r="AU61" i="60"/>
  <c r="AU63" i="60"/>
  <c r="AU65" i="60"/>
  <c r="AU67" i="60"/>
  <c r="AU69" i="60"/>
  <c r="AU71" i="60"/>
  <c r="AU73" i="60"/>
  <c r="AB88" i="60"/>
  <c r="AB90" i="60"/>
  <c r="AC89" i="60"/>
  <c r="AG88" i="60"/>
  <c r="AG90" i="60"/>
  <c r="AH87" i="60"/>
  <c r="AH89" i="60"/>
  <c r="AI88" i="60"/>
  <c r="AI90" i="60"/>
  <c r="AM87" i="60"/>
  <c r="AM89" i="60"/>
  <c r="AN88" i="60"/>
  <c r="AN90" i="60"/>
  <c r="AO87" i="60"/>
  <c r="AO89" i="60"/>
  <c r="AS88" i="60"/>
  <c r="AS90" i="60"/>
  <c r="AT87" i="60"/>
  <c r="AT89" i="60"/>
  <c r="AU88" i="60"/>
  <c r="AU90" i="60"/>
  <c r="C71" i="60"/>
  <c r="C63" i="60"/>
  <c r="I71" i="60"/>
  <c r="I63" i="60"/>
  <c r="O71" i="60"/>
  <c r="O63" i="60"/>
  <c r="V71" i="60"/>
  <c r="V63" i="60"/>
  <c r="D90" i="60"/>
  <c r="V92" i="60"/>
  <c r="V88" i="60"/>
  <c r="C73" i="60"/>
  <c r="C69" i="60"/>
  <c r="C65" i="60"/>
  <c r="C61" i="60"/>
  <c r="I73" i="60"/>
  <c r="I69" i="60"/>
  <c r="I65" i="60"/>
  <c r="I61" i="60"/>
  <c r="O73" i="60"/>
  <c r="O69" i="60"/>
  <c r="O65" i="60"/>
  <c r="O61" i="60"/>
  <c r="V73" i="60"/>
  <c r="V69" i="60"/>
  <c r="V65" i="60"/>
  <c r="V61" i="60"/>
  <c r="D92" i="60"/>
  <c r="D88" i="60"/>
  <c r="C90" i="60"/>
  <c r="J92" i="60"/>
  <c r="J88" i="60"/>
  <c r="I90" i="60"/>
  <c r="P90" i="60"/>
  <c r="V91" i="60"/>
  <c r="V89" i="60"/>
  <c r="U92" i="60"/>
  <c r="U88" i="60"/>
  <c r="BU1" i="60"/>
  <c r="AW80" i="60"/>
  <c r="BU53" i="60"/>
  <c r="AW1" i="60"/>
  <c r="D71" i="60"/>
  <c r="D63" i="60"/>
  <c r="J73" i="60"/>
  <c r="J69" i="60"/>
  <c r="J65" i="60"/>
  <c r="J61" i="60"/>
  <c r="P73" i="60"/>
  <c r="P69" i="60"/>
  <c r="P65" i="60"/>
  <c r="P61" i="60"/>
  <c r="J91" i="60"/>
  <c r="J89" i="60"/>
  <c r="I92" i="60"/>
  <c r="I88" i="60"/>
  <c r="P92" i="60"/>
  <c r="P88" i="60"/>
  <c r="O90" i="60"/>
  <c r="BU80" i="60"/>
  <c r="AW53" i="60"/>
  <c r="D73" i="60"/>
  <c r="D69" i="60"/>
  <c r="D65" i="60"/>
  <c r="D61" i="60"/>
  <c r="J74" i="60"/>
  <c r="J72" i="60"/>
  <c r="J70" i="60"/>
  <c r="J68" i="60"/>
  <c r="J66" i="60"/>
  <c r="J64" i="60"/>
  <c r="J62" i="60"/>
  <c r="P74" i="60"/>
  <c r="P72" i="60"/>
  <c r="P70" i="60"/>
  <c r="P68" i="60"/>
  <c r="P66" i="60"/>
  <c r="P64" i="60"/>
  <c r="P62" i="60"/>
  <c r="D91" i="60"/>
  <c r="D89" i="60"/>
  <c r="C92" i="60"/>
  <c r="C88" i="60"/>
  <c r="P91" i="60"/>
  <c r="P89" i="60"/>
  <c r="O92" i="60"/>
  <c r="O88" i="60"/>
  <c r="U91" i="60"/>
  <c r="U89" i="60"/>
  <c r="O91" i="60"/>
  <c r="O89" i="60"/>
  <c r="I91" i="60"/>
  <c r="I89" i="60"/>
  <c r="C91" i="60"/>
  <c r="C89" i="60"/>
  <c r="V74" i="60"/>
  <c r="V72" i="60"/>
  <c r="V70" i="60"/>
  <c r="V68" i="60"/>
  <c r="V66" i="60"/>
  <c r="V64" i="60"/>
  <c r="V62" i="60"/>
  <c r="O74" i="60"/>
  <c r="O72" i="60"/>
  <c r="O70" i="60"/>
  <c r="O68" i="60"/>
  <c r="O66" i="60"/>
  <c r="O64" i="60"/>
  <c r="O62" i="60"/>
  <c r="I74" i="60"/>
  <c r="I72" i="60"/>
  <c r="I70" i="60"/>
  <c r="I68" i="60"/>
  <c r="I66" i="60"/>
  <c r="I64" i="60"/>
  <c r="I62" i="60"/>
  <c r="C74" i="60"/>
  <c r="C72" i="60"/>
  <c r="C70" i="60"/>
  <c r="C68" i="60"/>
  <c r="C66" i="60"/>
  <c r="C64" i="60"/>
  <c r="C62" i="60"/>
  <c r="D74" i="60"/>
  <c r="D72" i="60"/>
  <c r="D70" i="60"/>
  <c r="D68" i="60"/>
  <c r="D66" i="60"/>
  <c r="D64" i="60"/>
  <c r="D62" i="60"/>
  <c r="X58" i="60"/>
  <c r="W58" i="60"/>
  <c r="E67" i="60"/>
  <c r="E75" i="60"/>
  <c r="E63" i="60"/>
  <c r="E71" i="60"/>
  <c r="E73" i="60"/>
  <c r="E69" i="60"/>
  <c r="E65" i="60"/>
  <c r="E61" i="60"/>
  <c r="K60" i="60"/>
  <c r="W60" i="60"/>
  <c r="K68" i="60"/>
  <c r="W68" i="60"/>
  <c r="E90" i="60"/>
  <c r="K64" i="60"/>
  <c r="K72" i="60"/>
  <c r="W64" i="60"/>
  <c r="W72" i="60"/>
  <c r="E92" i="60"/>
  <c r="E88" i="60"/>
  <c r="K87" i="60"/>
  <c r="K91" i="60"/>
  <c r="Q87" i="60"/>
  <c r="Q91" i="60"/>
  <c r="W87" i="60"/>
  <c r="W91" i="60"/>
  <c r="K89" i="60"/>
  <c r="Q89" i="60"/>
  <c r="W89" i="60"/>
  <c r="W88" i="60"/>
  <c r="W90" i="60"/>
  <c r="Q88" i="60"/>
  <c r="Q90" i="60"/>
  <c r="K88" i="60"/>
  <c r="K90" i="60"/>
  <c r="E91" i="60"/>
  <c r="E89" i="60"/>
  <c r="K62" i="60"/>
  <c r="K66" i="60"/>
  <c r="K70" i="60"/>
  <c r="K74" i="60"/>
  <c r="Q60" i="60"/>
  <c r="Q64" i="60"/>
  <c r="Q68" i="60"/>
  <c r="Q72" i="60"/>
  <c r="W62" i="60"/>
  <c r="W66" i="60"/>
  <c r="W70" i="60"/>
  <c r="W74" i="60"/>
  <c r="Q62" i="60"/>
  <c r="Q66" i="60"/>
  <c r="Q70" i="60"/>
  <c r="Q74" i="60"/>
  <c r="U61" i="60"/>
  <c r="U63" i="60"/>
  <c r="U65" i="60"/>
  <c r="U67" i="60"/>
  <c r="U69" i="60"/>
  <c r="U71" i="60"/>
  <c r="U73" i="60"/>
  <c r="U75" i="60"/>
  <c r="U60" i="60"/>
  <c r="U62" i="60"/>
  <c r="U64" i="60"/>
  <c r="U66" i="60"/>
  <c r="U68" i="60"/>
  <c r="U70" i="60"/>
  <c r="U72" i="60"/>
  <c r="W61" i="60"/>
  <c r="W63" i="60"/>
  <c r="W65" i="60"/>
  <c r="W67" i="60"/>
  <c r="W69" i="60"/>
  <c r="W71" i="60"/>
  <c r="W73" i="60"/>
  <c r="Q61" i="60"/>
  <c r="Q63" i="60"/>
  <c r="Q65" i="60"/>
  <c r="Q67" i="60"/>
  <c r="Q69" i="60"/>
  <c r="Q71" i="60"/>
  <c r="Q73" i="60"/>
  <c r="K61" i="60"/>
  <c r="K63" i="60"/>
  <c r="K65" i="60"/>
  <c r="K67" i="60"/>
  <c r="K69" i="60"/>
  <c r="K71" i="60"/>
  <c r="K73" i="60"/>
  <c r="E74" i="60"/>
  <c r="E72" i="60"/>
  <c r="E70" i="60"/>
  <c r="E68" i="60"/>
  <c r="E66" i="60"/>
  <c r="E64" i="60"/>
  <c r="E62" i="60"/>
  <c r="CZ64" i="60" l="1"/>
  <c r="CZ68" i="60"/>
  <c r="AR72" i="60"/>
  <c r="DL64" i="60"/>
  <c r="R60" i="60"/>
  <c r="R75" i="60"/>
  <c r="R72" i="60"/>
  <c r="R73" i="60"/>
  <c r="R71" i="60"/>
  <c r="BT90" i="60"/>
  <c r="R66" i="60"/>
  <c r="BT89" i="60"/>
  <c r="R64" i="60"/>
  <c r="R63" i="60"/>
  <c r="BT87" i="60"/>
  <c r="BT88" i="60"/>
  <c r="R65" i="60"/>
  <c r="R62" i="60"/>
  <c r="R61" i="60"/>
  <c r="R70" i="60"/>
  <c r="R69" i="60"/>
  <c r="R68" i="60"/>
  <c r="R67" i="60"/>
  <c r="BT92" i="60"/>
  <c r="BZ60" i="60"/>
  <c r="X90" i="60"/>
  <c r="X88" i="60"/>
  <c r="CZ60" i="60"/>
  <c r="DL60" i="60"/>
  <c r="CF88" i="60"/>
  <c r="AD89" i="60"/>
  <c r="BZ71" i="60"/>
  <c r="CF89" i="60"/>
  <c r="AD87" i="60"/>
  <c r="CF87" i="60"/>
  <c r="CL72" i="60"/>
  <c r="AD90" i="60"/>
  <c r="CF92" i="60"/>
  <c r="AD88" i="60"/>
  <c r="AD91" i="60"/>
  <c r="CF90" i="60"/>
  <c r="AJ64" i="60"/>
  <c r="AJ61" i="60"/>
  <c r="BZ63" i="60"/>
  <c r="CL70" i="60"/>
  <c r="BZ74" i="60"/>
  <c r="BZ61" i="60"/>
  <c r="CL62" i="60"/>
  <c r="BZ72" i="60"/>
  <c r="X87" i="60"/>
  <c r="CL73" i="60"/>
  <c r="BZ68" i="60"/>
  <c r="X89" i="60"/>
  <c r="AJ72" i="60"/>
  <c r="BZ73" i="60"/>
  <c r="BZ70" i="60"/>
  <c r="AJ69" i="60"/>
  <c r="CL71" i="60"/>
  <c r="BZ69" i="60"/>
  <c r="BZ66" i="60"/>
  <c r="AJ60" i="60"/>
  <c r="CL63" i="60"/>
  <c r="BZ67" i="60"/>
  <c r="BZ64" i="60"/>
  <c r="AJ65" i="60"/>
  <c r="X92" i="60"/>
  <c r="AJ63" i="60"/>
  <c r="BZ65" i="60"/>
  <c r="CL74" i="60"/>
  <c r="BZ62" i="60"/>
  <c r="BH67" i="60"/>
  <c r="DP62" i="60"/>
  <c r="BH65" i="60"/>
  <c r="BH61" i="60"/>
  <c r="BH72" i="60"/>
  <c r="DP64" i="60"/>
  <c r="BH70" i="60"/>
  <c r="DP71" i="60"/>
  <c r="BH66" i="60"/>
  <c r="DP69" i="60"/>
  <c r="DJ90" i="60"/>
  <c r="BN65" i="60"/>
  <c r="AP91" i="60"/>
  <c r="AP87" i="60"/>
  <c r="BN68" i="60"/>
  <c r="BN64" i="60"/>
  <c r="BN61" i="60"/>
  <c r="BH68" i="60"/>
  <c r="BN62" i="60"/>
  <c r="BH63" i="60"/>
  <c r="DP60" i="60"/>
  <c r="DP67" i="60"/>
  <c r="CX62" i="60"/>
  <c r="AP88" i="60"/>
  <c r="BH75" i="60"/>
  <c r="DP72" i="60"/>
  <c r="DP63" i="60"/>
  <c r="BN60" i="60"/>
  <c r="DP65" i="60"/>
  <c r="CX60" i="60"/>
  <c r="DP70" i="60"/>
  <c r="DP61" i="60"/>
  <c r="BN63" i="60"/>
  <c r="BH62" i="60"/>
  <c r="BH73" i="60"/>
  <c r="BH60" i="60"/>
  <c r="BH71" i="60"/>
  <c r="DP68" i="60"/>
  <c r="CX69" i="60"/>
  <c r="DP75" i="60"/>
  <c r="BH64" i="60"/>
  <c r="BN69" i="60"/>
  <c r="BH69" i="60"/>
  <c r="DP66" i="60"/>
  <c r="CX67" i="60"/>
  <c r="DP73" i="60"/>
  <c r="BB87" i="60"/>
  <c r="CX73" i="60"/>
  <c r="DJ89" i="60"/>
  <c r="CX66" i="60"/>
  <c r="AJ62" i="60"/>
  <c r="AP89" i="60"/>
  <c r="AJ67" i="60"/>
  <c r="BN67" i="60"/>
  <c r="BN66" i="60"/>
  <c r="CL61" i="60"/>
  <c r="CL60" i="60"/>
  <c r="CX71" i="60"/>
  <c r="DJ87" i="60"/>
  <c r="CX64" i="60"/>
  <c r="BB90" i="60"/>
  <c r="BB88" i="60"/>
  <c r="AJ70" i="60"/>
  <c r="AJ75" i="60"/>
  <c r="BN74" i="60"/>
  <c r="CL69" i="60"/>
  <c r="CL68" i="60"/>
  <c r="CX63" i="60"/>
  <c r="CX72" i="60"/>
  <c r="CX65" i="60"/>
  <c r="AJ68" i="60"/>
  <c r="AJ73" i="60"/>
  <c r="BN73" i="60"/>
  <c r="BB91" i="60"/>
  <c r="BN72" i="60"/>
  <c r="CL67" i="60"/>
  <c r="CL66" i="60"/>
  <c r="CX61" i="60"/>
  <c r="CX70" i="60"/>
  <c r="DJ88" i="60"/>
  <c r="CX74" i="60"/>
  <c r="AP90" i="60"/>
  <c r="AJ66" i="60"/>
  <c r="AJ71" i="60"/>
  <c r="BN71" i="60"/>
  <c r="BB89" i="60"/>
  <c r="BN70" i="60"/>
  <c r="CL65" i="60"/>
  <c r="CL64" i="60"/>
  <c r="DJ91" i="60"/>
  <c r="CX68" i="60"/>
  <c r="L88" i="60"/>
  <c r="AV72" i="60"/>
  <c r="AD73" i="60"/>
  <c r="AD68" i="60"/>
  <c r="AD67" i="60"/>
  <c r="AV73" i="60"/>
  <c r="AD60" i="60"/>
  <c r="AD65" i="60"/>
  <c r="AD63" i="60"/>
  <c r="AD74" i="60"/>
  <c r="AV60" i="60"/>
  <c r="AD71" i="60"/>
  <c r="AD69" i="60"/>
  <c r="AD62" i="60"/>
  <c r="AD61" i="60"/>
  <c r="AD72" i="60"/>
  <c r="CL89" i="60"/>
  <c r="AD64" i="60"/>
  <c r="AD70" i="60"/>
  <c r="CL87" i="60"/>
  <c r="L90" i="60"/>
  <c r="F88" i="60"/>
  <c r="F91" i="60"/>
  <c r="L92" i="60"/>
  <c r="F90" i="60"/>
  <c r="CR90" i="60"/>
  <c r="F89" i="60"/>
  <c r="F92" i="60"/>
  <c r="CR88" i="60"/>
  <c r="L89" i="60"/>
  <c r="L87" i="60"/>
  <c r="CR92" i="60"/>
  <c r="L68" i="60"/>
  <c r="L65" i="60"/>
  <c r="F66" i="60"/>
  <c r="L66" i="60"/>
  <c r="L67" i="60"/>
  <c r="BB72" i="60"/>
  <c r="AP67" i="60"/>
  <c r="CR67" i="60"/>
  <c r="AV75" i="60"/>
  <c r="AD66" i="60"/>
  <c r="CR65" i="60"/>
  <c r="AP71" i="60"/>
  <c r="AV71" i="60"/>
  <c r="BB70" i="60"/>
  <c r="CR64" i="60"/>
  <c r="CR62" i="60"/>
  <c r="AP72" i="60"/>
  <c r="AP70" i="60"/>
  <c r="CR66" i="60"/>
  <c r="AP66" i="60"/>
  <c r="BB73" i="60"/>
  <c r="AP73" i="60"/>
  <c r="BB61" i="60"/>
  <c r="BB74" i="60"/>
  <c r="CR69" i="60"/>
  <c r="AP69" i="60"/>
  <c r="AP68" i="60"/>
  <c r="AP65" i="60"/>
  <c r="AP63" i="60"/>
  <c r="AP62" i="60"/>
  <c r="CF66" i="60"/>
  <c r="CF65" i="60"/>
  <c r="AP61" i="60"/>
  <c r="AP60" i="60"/>
  <c r="CF63" i="60"/>
  <c r="CF70" i="60"/>
  <c r="AP64" i="60"/>
  <c r="CF68" i="60"/>
  <c r="AP74" i="60"/>
  <c r="CF61" i="60"/>
  <c r="AJ89" i="60"/>
  <c r="AJ88" i="60"/>
  <c r="BB69" i="60"/>
  <c r="BB66" i="60"/>
  <c r="CF62" i="60"/>
  <c r="CR61" i="60"/>
  <c r="CF73" i="60"/>
  <c r="CX88" i="60"/>
  <c r="CX89" i="60"/>
  <c r="BZ88" i="60"/>
  <c r="AJ87" i="60"/>
  <c r="BB67" i="60"/>
  <c r="BB64" i="60"/>
  <c r="CR89" i="60"/>
  <c r="CR72" i="60"/>
  <c r="CF60" i="60"/>
  <c r="BZ87" i="60"/>
  <c r="CR75" i="60"/>
  <c r="CF71" i="60"/>
  <c r="CX87" i="60"/>
  <c r="BZ90" i="60"/>
  <c r="BB71" i="60"/>
  <c r="BB68" i="60"/>
  <c r="CR60" i="60"/>
  <c r="CF64" i="60"/>
  <c r="CR63" i="60"/>
  <c r="CF75" i="60"/>
  <c r="CX90" i="60"/>
  <c r="BB65" i="60"/>
  <c r="BB62" i="60"/>
  <c r="CR87" i="60"/>
  <c r="CR70" i="60"/>
  <c r="CR73" i="60"/>
  <c r="CF69" i="60"/>
  <c r="AJ90" i="60"/>
  <c r="CX91" i="60"/>
  <c r="BB63" i="60"/>
  <c r="BB60" i="60"/>
  <c r="CR68" i="60"/>
  <c r="CF72" i="60"/>
  <c r="CR71" i="60"/>
  <c r="CF67" i="60"/>
  <c r="AA85" i="60"/>
  <c r="AG85" i="60" s="1"/>
  <c r="AM85" i="60" s="1"/>
  <c r="AS85" i="60" s="1"/>
  <c r="AA58" i="60"/>
  <c r="AG58" i="60" s="1"/>
  <c r="AM58" i="60" s="1"/>
  <c r="AS58" i="60" s="1"/>
  <c r="BW85" i="60"/>
  <c r="CC85" i="60" s="1"/>
  <c r="CI85" i="60" s="1"/>
  <c r="CO85" i="60" s="1"/>
  <c r="DD64" i="60"/>
  <c r="DD73" i="60"/>
  <c r="DD62" i="60"/>
  <c r="DD71" i="60"/>
  <c r="BH89" i="60"/>
  <c r="DD60" i="60"/>
  <c r="DD69" i="60"/>
  <c r="X62" i="60"/>
  <c r="L60" i="60"/>
  <c r="L75" i="60"/>
  <c r="X60" i="60"/>
  <c r="X73" i="60"/>
  <c r="F69" i="60"/>
  <c r="F75" i="60"/>
  <c r="AV68" i="60"/>
  <c r="AV88" i="60"/>
  <c r="AJ92" i="60"/>
  <c r="AV67" i="60"/>
  <c r="BH92" i="60"/>
  <c r="CL88" i="60"/>
  <c r="DD72" i="60"/>
  <c r="DD65" i="60"/>
  <c r="L64" i="60"/>
  <c r="L63" i="60"/>
  <c r="X68" i="60"/>
  <c r="L61" i="60"/>
  <c r="AV69" i="60"/>
  <c r="DD67" i="60"/>
  <c r="AV89" i="60"/>
  <c r="DD70" i="60"/>
  <c r="DD63" i="60"/>
  <c r="AV66" i="60"/>
  <c r="AV65" i="60"/>
  <c r="BH90" i="60"/>
  <c r="L72" i="60"/>
  <c r="L71" i="60"/>
  <c r="X65" i="60"/>
  <c r="F67" i="60"/>
  <c r="AV87" i="60"/>
  <c r="AV64" i="60"/>
  <c r="AV63" i="60"/>
  <c r="BH88" i="60"/>
  <c r="BZ91" i="60"/>
  <c r="DD68" i="60"/>
  <c r="DD61" i="60"/>
  <c r="AV92" i="60"/>
  <c r="L62" i="60"/>
  <c r="X75" i="60"/>
  <c r="F71" i="60"/>
  <c r="AV70" i="60"/>
  <c r="AV90" i="60"/>
  <c r="BH87" i="60"/>
  <c r="CL90" i="60"/>
  <c r="L73" i="60"/>
  <c r="X71" i="60"/>
  <c r="F73" i="60"/>
  <c r="L70" i="60"/>
  <c r="L69" i="60"/>
  <c r="F64" i="60"/>
  <c r="AV62" i="60"/>
  <c r="AV61" i="60"/>
  <c r="CL91" i="60"/>
  <c r="BZ89" i="60"/>
  <c r="DD66" i="60"/>
  <c r="DD75" i="60"/>
  <c r="BV60" i="60"/>
  <c r="BW58" i="60"/>
  <c r="CC58" i="60" s="1"/>
  <c r="CI58" i="60" s="1"/>
  <c r="CO58" i="60" s="1"/>
  <c r="X72" i="60"/>
  <c r="X69" i="60"/>
  <c r="X70" i="60"/>
  <c r="X67" i="60"/>
  <c r="X66" i="60"/>
  <c r="X63" i="60"/>
  <c r="X64" i="60"/>
  <c r="X61" i="60"/>
  <c r="BN89" i="60"/>
  <c r="F70" i="60"/>
  <c r="DJ67" i="60"/>
  <c r="DJ74" i="60"/>
  <c r="DJ61" i="60"/>
  <c r="BN90" i="60"/>
  <c r="DJ69" i="60"/>
  <c r="DJ70" i="60"/>
  <c r="DJ63" i="60"/>
  <c r="DJ68" i="60"/>
  <c r="DL89" i="60"/>
  <c r="DJ65" i="60"/>
  <c r="DJ72" i="60"/>
  <c r="AX87" i="60"/>
  <c r="R92" i="60"/>
  <c r="DJ66" i="60"/>
  <c r="AR60" i="60"/>
  <c r="BN88" i="60"/>
  <c r="BN87" i="60"/>
  <c r="DJ64" i="60"/>
  <c r="BT69" i="60"/>
  <c r="BD64" i="60"/>
  <c r="BP64" i="60"/>
  <c r="BP70" i="60"/>
  <c r="DJ71" i="60"/>
  <c r="DL72" i="60"/>
  <c r="DJ62" i="60"/>
  <c r="AX60" i="60"/>
  <c r="BD72" i="60"/>
  <c r="DL62" i="60"/>
  <c r="AF68" i="60"/>
  <c r="BD60" i="60"/>
  <c r="BT65" i="60"/>
  <c r="DF64" i="60"/>
  <c r="BT66" i="60"/>
  <c r="BN91" i="60"/>
  <c r="BT61" i="60"/>
  <c r="DJ73" i="60"/>
  <c r="DP92" i="60"/>
  <c r="DJ60" i="60"/>
  <c r="BV68" i="60"/>
  <c r="BT72" i="60"/>
  <c r="DP87" i="60"/>
  <c r="DD87" i="60"/>
  <c r="BT64" i="60"/>
  <c r="BT75" i="60"/>
  <c r="DP90" i="60"/>
  <c r="BT62" i="60"/>
  <c r="BT73" i="60"/>
  <c r="CN89" i="60"/>
  <c r="DP88" i="60"/>
  <c r="DD92" i="60"/>
  <c r="DD88" i="60"/>
  <c r="R87" i="60"/>
  <c r="BT60" i="60"/>
  <c r="BT71" i="60"/>
  <c r="BP60" i="60"/>
  <c r="BD68" i="60"/>
  <c r="DD90" i="60"/>
  <c r="DP89" i="60"/>
  <c r="DD89" i="60"/>
  <c r="BT67" i="60"/>
  <c r="BT70" i="60"/>
  <c r="AF60" i="60"/>
  <c r="BT68" i="60"/>
  <c r="BT63" i="60"/>
  <c r="F68" i="60"/>
  <c r="F72" i="60"/>
  <c r="R90" i="60"/>
  <c r="AF64" i="60"/>
  <c r="BP68" i="60"/>
  <c r="F74" i="60"/>
  <c r="R88" i="60"/>
  <c r="F61" i="60"/>
  <c r="BV72" i="60"/>
  <c r="F62" i="60"/>
  <c r="R89" i="60"/>
  <c r="F65" i="60"/>
  <c r="F63" i="60"/>
  <c r="BV64" i="60"/>
  <c r="DF62" i="60"/>
  <c r="AY58" i="60"/>
  <c r="BE58" i="60" s="1"/>
  <c r="BK58" i="60" s="1"/>
  <c r="BQ58" i="60" s="1"/>
  <c r="AY85" i="60"/>
  <c r="BE85" i="60" s="1"/>
  <c r="BK85" i="60" s="1"/>
  <c r="BQ85" i="60" s="1"/>
  <c r="CT83" i="60"/>
  <c r="CT56" i="60"/>
  <c r="BV83" i="60"/>
  <c r="BV56" i="60"/>
  <c r="AX83" i="60"/>
  <c r="AX56" i="60"/>
  <c r="Z83" i="60"/>
  <c r="Z56" i="60"/>
  <c r="CZ83" i="60"/>
  <c r="CZ56" i="60"/>
  <c r="CB83" i="60"/>
  <c r="CB56" i="60"/>
  <c r="BD83" i="60"/>
  <c r="BD56" i="60"/>
  <c r="AF83" i="60"/>
  <c r="AF56" i="60"/>
  <c r="DF83" i="60"/>
  <c r="DF56" i="60"/>
  <c r="CH83" i="60"/>
  <c r="CH56" i="60"/>
  <c r="BJ83" i="60"/>
  <c r="BJ56" i="60"/>
  <c r="AL83" i="60"/>
  <c r="AL56" i="60"/>
  <c r="DL83" i="60"/>
  <c r="DL56" i="60"/>
  <c r="CN83" i="60"/>
  <c r="CN56" i="60"/>
  <c r="BP83" i="60"/>
  <c r="BP56" i="60"/>
  <c r="AR83" i="60"/>
  <c r="AR56" i="60"/>
  <c r="CZ89" i="60"/>
  <c r="CZ70" i="60"/>
  <c r="DF60" i="60"/>
  <c r="BJ89" i="60"/>
  <c r="DL70" i="60"/>
  <c r="CZ62" i="60"/>
  <c r="AX89" i="60"/>
  <c r="Z89" i="60"/>
  <c r="BJ87" i="60"/>
  <c r="CH87" i="60"/>
  <c r="BP72" i="60"/>
  <c r="BP87" i="60"/>
  <c r="DL91" i="60"/>
  <c r="AX64" i="60"/>
  <c r="BV89" i="60"/>
  <c r="AX62" i="60"/>
  <c r="CN87" i="60"/>
  <c r="BP91" i="60"/>
  <c r="AR64" i="60"/>
  <c r="DL87" i="60"/>
  <c r="CZ74" i="60"/>
  <c r="CZ66" i="60"/>
  <c r="DL66" i="60"/>
  <c r="CH89" i="60"/>
  <c r="AR87" i="60"/>
  <c r="DL74" i="60"/>
  <c r="DF72" i="60"/>
  <c r="DF68" i="60"/>
  <c r="AR68" i="60"/>
  <c r="AF72" i="60"/>
  <c r="BD87" i="60"/>
  <c r="DL88" i="60"/>
  <c r="DF87" i="60"/>
  <c r="CZ88" i="60"/>
  <c r="CT87" i="60"/>
  <c r="DL73" i="60"/>
  <c r="DL69" i="60"/>
  <c r="DL65" i="60"/>
  <c r="DL61" i="60"/>
  <c r="DF70" i="60"/>
  <c r="DF66" i="60"/>
  <c r="CZ73" i="60"/>
  <c r="CZ69" i="60"/>
  <c r="CZ65" i="60"/>
  <c r="CZ61" i="60"/>
  <c r="CT72" i="60"/>
  <c r="CT68" i="60"/>
  <c r="CT64" i="60"/>
  <c r="CT60" i="60"/>
  <c r="DF92" i="60"/>
  <c r="DF88" i="60"/>
  <c r="CT92" i="60"/>
  <c r="CT88" i="60"/>
  <c r="DF75" i="60"/>
  <c r="DF71" i="60"/>
  <c r="DF67" i="60"/>
  <c r="DF63" i="60"/>
  <c r="CT75" i="60"/>
  <c r="CT71" i="60"/>
  <c r="CT67" i="60"/>
  <c r="CT63" i="60"/>
  <c r="DL90" i="60"/>
  <c r="DF89" i="60"/>
  <c r="CZ90" i="60"/>
  <c r="CT89" i="60"/>
  <c r="DL71" i="60"/>
  <c r="DL67" i="60"/>
  <c r="DL63" i="60"/>
  <c r="CZ71" i="60"/>
  <c r="CZ67" i="60"/>
  <c r="CZ63" i="60"/>
  <c r="CT70" i="60"/>
  <c r="CT66" i="60"/>
  <c r="CT62" i="60"/>
  <c r="DF90" i="60"/>
  <c r="CT90" i="60"/>
  <c r="DF73" i="60"/>
  <c r="DF69" i="60"/>
  <c r="DF65" i="60"/>
  <c r="DF61" i="60"/>
  <c r="CT73" i="60"/>
  <c r="CT69" i="60"/>
  <c r="CT65" i="60"/>
  <c r="CT61" i="60"/>
  <c r="CH88" i="60"/>
  <c r="BV88" i="60"/>
  <c r="CH71" i="60"/>
  <c r="CH67" i="60"/>
  <c r="CH63" i="60"/>
  <c r="BV71" i="60"/>
  <c r="BV67" i="60"/>
  <c r="CH70" i="60"/>
  <c r="CH62" i="60"/>
  <c r="BV87" i="60"/>
  <c r="CH68" i="60"/>
  <c r="CH60" i="60"/>
  <c r="BV74" i="60"/>
  <c r="BV66" i="60"/>
  <c r="CH74" i="60"/>
  <c r="CH66" i="60"/>
  <c r="CN91" i="60"/>
  <c r="BV91" i="60"/>
  <c r="CH72" i="60"/>
  <c r="CH64" i="60"/>
  <c r="BV70" i="60"/>
  <c r="BV62" i="60"/>
  <c r="CN90" i="60"/>
  <c r="CB90" i="60"/>
  <c r="CN71" i="60"/>
  <c r="CN67" i="60"/>
  <c r="CN63" i="60"/>
  <c r="CB71" i="60"/>
  <c r="CB67" i="60"/>
  <c r="CB63" i="60"/>
  <c r="CB91" i="60"/>
  <c r="CB87" i="60"/>
  <c r="CN74" i="60"/>
  <c r="CN70" i="60"/>
  <c r="CN66" i="60"/>
  <c r="CN62" i="60"/>
  <c r="CB74" i="60"/>
  <c r="CB70" i="60"/>
  <c r="CB66" i="60"/>
  <c r="CB62" i="60"/>
  <c r="BV63" i="60"/>
  <c r="CN88" i="60"/>
  <c r="CB88" i="60"/>
  <c r="CN73" i="60"/>
  <c r="CN69" i="60"/>
  <c r="CN65" i="60"/>
  <c r="CN61" i="60"/>
  <c r="CB73" i="60"/>
  <c r="CB69" i="60"/>
  <c r="CB65" i="60"/>
  <c r="CB61" i="60"/>
  <c r="CH90" i="60"/>
  <c r="CB89" i="60"/>
  <c r="BV90" i="60"/>
  <c r="CN72" i="60"/>
  <c r="CN68" i="60"/>
  <c r="CN64" i="60"/>
  <c r="CN60" i="60"/>
  <c r="CH73" i="60"/>
  <c r="CH69" i="60"/>
  <c r="CH65" i="60"/>
  <c r="CH61" i="60"/>
  <c r="CB72" i="60"/>
  <c r="CB68" i="60"/>
  <c r="CB64" i="60"/>
  <c r="CB60" i="60"/>
  <c r="BV73" i="60"/>
  <c r="BV69" i="60"/>
  <c r="BV65" i="60"/>
  <c r="BV61" i="60"/>
  <c r="AF91" i="60"/>
  <c r="BD70" i="60"/>
  <c r="BD62" i="60"/>
  <c r="BP89" i="60"/>
  <c r="BP66" i="60"/>
  <c r="BD74" i="60"/>
  <c r="BD66" i="60"/>
  <c r="BP62" i="60"/>
  <c r="BP88" i="60"/>
  <c r="BD88" i="60"/>
  <c r="BP73" i="60"/>
  <c r="BP69" i="60"/>
  <c r="BP65" i="60"/>
  <c r="BP61" i="60"/>
  <c r="BJ72" i="60"/>
  <c r="BJ68" i="60"/>
  <c r="BJ64" i="60"/>
  <c r="BJ60" i="60"/>
  <c r="BD73" i="60"/>
  <c r="BD69" i="60"/>
  <c r="BD65" i="60"/>
  <c r="BD61" i="60"/>
  <c r="AX72" i="60"/>
  <c r="AX68" i="60"/>
  <c r="BJ88" i="60"/>
  <c r="BD89" i="60"/>
  <c r="AX88" i="60"/>
  <c r="BJ75" i="60"/>
  <c r="BJ71" i="60"/>
  <c r="BJ67" i="60"/>
  <c r="BJ63" i="60"/>
  <c r="AX75" i="60"/>
  <c r="AX71" i="60"/>
  <c r="AX67" i="60"/>
  <c r="AX63" i="60"/>
  <c r="BP90" i="60"/>
  <c r="BD90" i="60"/>
  <c r="BP71" i="60"/>
  <c r="BP67" i="60"/>
  <c r="BP63" i="60"/>
  <c r="BJ70" i="60"/>
  <c r="BJ66" i="60"/>
  <c r="BJ62" i="60"/>
  <c r="BD71" i="60"/>
  <c r="BD67" i="60"/>
  <c r="BD63" i="60"/>
  <c r="AX70" i="60"/>
  <c r="AX66" i="60"/>
  <c r="BJ90" i="60"/>
  <c r="BD91" i="60"/>
  <c r="AX90" i="60"/>
  <c r="BP74" i="60"/>
  <c r="BJ73" i="60"/>
  <c r="BJ69" i="60"/>
  <c r="BJ65" i="60"/>
  <c r="BJ61" i="60"/>
  <c r="AX73" i="60"/>
  <c r="AX69" i="60"/>
  <c r="AX65" i="60"/>
  <c r="AX61" i="60"/>
  <c r="AR74" i="60"/>
  <c r="AF89" i="60"/>
  <c r="AR91" i="60"/>
  <c r="AF87" i="60"/>
  <c r="Z87" i="60"/>
  <c r="AF70" i="60"/>
  <c r="AF62" i="60"/>
  <c r="AR66" i="60"/>
  <c r="AF74" i="60"/>
  <c r="AF66" i="60"/>
  <c r="AR89" i="60"/>
  <c r="AR70" i="60"/>
  <c r="AR62" i="60"/>
  <c r="AR88" i="60"/>
  <c r="AL87" i="60"/>
  <c r="AF88" i="60"/>
  <c r="AR71" i="60"/>
  <c r="AR67" i="60"/>
  <c r="AR63" i="60"/>
  <c r="AL70" i="60"/>
  <c r="AL66" i="60"/>
  <c r="AL62" i="60"/>
  <c r="AF71" i="60"/>
  <c r="AF67" i="60"/>
  <c r="AF63" i="60"/>
  <c r="Z70" i="60"/>
  <c r="Z66" i="60"/>
  <c r="Z62" i="60"/>
  <c r="AL90" i="60"/>
  <c r="Z92" i="60"/>
  <c r="Z88" i="60"/>
  <c r="AL73" i="60"/>
  <c r="AL69" i="60"/>
  <c r="AL65" i="60"/>
  <c r="AL61" i="60"/>
  <c r="Z73" i="60"/>
  <c r="Z69" i="60"/>
  <c r="Z65" i="60"/>
  <c r="Z61" i="60"/>
  <c r="AR90" i="60"/>
  <c r="AL89" i="60"/>
  <c r="AF90" i="60"/>
  <c r="AR73" i="60"/>
  <c r="AR69" i="60"/>
  <c r="AR65" i="60"/>
  <c r="AR61" i="60"/>
  <c r="AL72" i="60"/>
  <c r="AL68" i="60"/>
  <c r="AL64" i="60"/>
  <c r="AL60" i="60"/>
  <c r="AF73" i="60"/>
  <c r="AF69" i="60"/>
  <c r="AF65" i="60"/>
  <c r="AF61" i="60"/>
  <c r="Z72" i="60"/>
  <c r="Z68" i="60"/>
  <c r="Z64" i="60"/>
  <c r="Z60" i="60"/>
  <c r="AL92" i="60"/>
  <c r="AL88" i="60"/>
  <c r="Z90" i="60"/>
  <c r="AL75" i="60"/>
  <c r="AL71" i="60"/>
  <c r="AL67" i="60"/>
  <c r="AL63" i="60"/>
  <c r="Z75" i="60"/>
  <c r="Z71" i="60"/>
  <c r="Z67" i="60"/>
  <c r="Z63" i="60"/>
  <c r="A85" i="52" l="1"/>
  <c r="A43" i="52" l="1"/>
  <c r="I40" i="49" l="1"/>
  <c r="I29" i="49"/>
  <c r="I18" i="49"/>
  <c r="I23" i="49"/>
  <c r="I34" i="49" s="1"/>
  <c r="I45" i="49" s="1"/>
  <c r="I56" i="49" s="1"/>
  <c r="I67" i="49" s="1"/>
  <c r="I78" i="49" s="1"/>
  <c r="I89" i="49" s="1"/>
  <c r="I100" i="49" s="1"/>
  <c r="I111" i="49" s="1"/>
  <c r="I20" i="49"/>
  <c r="I31" i="49" s="1"/>
  <c r="I42" i="49" s="1"/>
  <c r="I53" i="49" s="1"/>
  <c r="I64" i="49" s="1"/>
  <c r="I75" i="49" s="1"/>
  <c r="I86" i="49" s="1"/>
  <c r="I97" i="49" s="1"/>
  <c r="I108" i="49" s="1"/>
  <c r="I21" i="49"/>
  <c r="I32" i="49" s="1"/>
  <c r="I43" i="49" s="1"/>
  <c r="I54" i="49" s="1"/>
  <c r="I65" i="49" s="1"/>
  <c r="I76" i="49" s="1"/>
  <c r="I87" i="49" s="1"/>
  <c r="I98" i="49" s="1"/>
  <c r="I109" i="49" s="1"/>
  <c r="I22" i="49"/>
  <c r="I33" i="49" s="1"/>
  <c r="I44" i="49" s="1"/>
  <c r="I55" i="49" s="1"/>
  <c r="I66" i="49" s="1"/>
  <c r="I77" i="49" s="1"/>
  <c r="I88" i="49" s="1"/>
  <c r="I99" i="49" s="1"/>
  <c r="I110" i="49" s="1"/>
  <c r="I19" i="49"/>
  <c r="I30" i="49" s="1"/>
  <c r="I41" i="49" s="1"/>
  <c r="I52" i="49" s="1"/>
  <c r="I63" i="49" s="1"/>
  <c r="I74" i="49" s="1"/>
  <c r="I85" i="49" s="1"/>
  <c r="I96" i="49" s="1"/>
  <c r="I107" i="49" s="1"/>
  <c r="K6" i="49"/>
  <c r="Z6" i="49" s="1"/>
  <c r="L6" i="49"/>
  <c r="AA6" i="49" s="1"/>
  <c r="M6" i="49"/>
  <c r="AB6" i="49" s="1"/>
  <c r="N6" i="49"/>
  <c r="AC6" i="49" s="1"/>
  <c r="J6" i="49"/>
  <c r="Y6" i="49" s="1"/>
  <c r="D95" i="49" l="1"/>
  <c r="D96" i="49"/>
  <c r="D97" i="49"/>
  <c r="D99" i="49"/>
  <c r="D100" i="49"/>
  <c r="D101" i="49"/>
  <c r="D102" i="49"/>
  <c r="D105" i="49"/>
  <c r="D106" i="49"/>
  <c r="D107" i="49"/>
  <c r="D108" i="49"/>
  <c r="D110" i="49"/>
  <c r="D111" i="49"/>
  <c r="D114" i="49"/>
  <c r="D115" i="49"/>
  <c r="D118" i="49"/>
  <c r="D94" i="49"/>
  <c r="D66" i="49"/>
  <c r="D67" i="49"/>
  <c r="D68" i="49"/>
  <c r="D70" i="49"/>
  <c r="D71" i="49"/>
  <c r="D72" i="49"/>
  <c r="D73" i="49"/>
  <c r="D76" i="49"/>
  <c r="D77" i="49"/>
  <c r="D78" i="49"/>
  <c r="D79" i="49"/>
  <c r="D81" i="49"/>
  <c r="D82" i="49"/>
  <c r="D85" i="49"/>
  <c r="D86" i="49"/>
  <c r="D89" i="49"/>
  <c r="D65" i="49"/>
  <c r="D37" i="49"/>
  <c r="D38" i="49"/>
  <c r="D39" i="49"/>
  <c r="D41" i="49"/>
  <c r="D42" i="49"/>
  <c r="D43" i="49"/>
  <c r="D44" i="49"/>
  <c r="D47" i="49"/>
  <c r="D48" i="49"/>
  <c r="D49" i="49"/>
  <c r="D50" i="49"/>
  <c r="D52" i="49"/>
  <c r="D53" i="49"/>
  <c r="D56" i="49"/>
  <c r="D57" i="49"/>
  <c r="D60" i="49"/>
  <c r="D64" i="49"/>
  <c r="F64" i="49"/>
  <c r="D35" i="49"/>
  <c r="F35" i="49"/>
  <c r="A33" i="49"/>
  <c r="D91" i="49" l="1"/>
  <c r="D120" i="49"/>
  <c r="D62" i="49"/>
  <c r="L19" i="49" a="1"/>
  <c r="D31" i="49"/>
  <c r="D7" i="49"/>
  <c r="L30" i="49" a="1"/>
  <c r="L41" i="49" a="1"/>
  <c r="D13" i="49"/>
  <c r="D12" i="49"/>
  <c r="D27" i="49"/>
  <c r="D8" i="49"/>
  <c r="D24" i="49"/>
  <c r="D9" i="49"/>
  <c r="D21" i="49"/>
  <c r="D23" i="49"/>
  <c r="D10" i="49"/>
  <c r="D28" i="49"/>
  <c r="D18" i="49"/>
  <c r="D20" i="49"/>
  <c r="D19" i="49"/>
  <c r="D15" i="49"/>
  <c r="D14" i="49"/>
  <c r="G33" i="49"/>
  <c r="F101" i="49"/>
  <c r="A120" i="49"/>
  <c r="A207" i="49" s="1"/>
  <c r="A294" i="49" s="1"/>
  <c r="F82" i="49"/>
  <c r="F79" i="49"/>
  <c r="F76" i="49"/>
  <c r="F96" i="49"/>
  <c r="F86" i="49"/>
  <c r="F41" i="49"/>
  <c r="F57" i="49"/>
  <c r="F56" i="49"/>
  <c r="F52" i="49"/>
  <c r="F49" i="49"/>
  <c r="F50" i="49"/>
  <c r="F48" i="49"/>
  <c r="F44" i="49"/>
  <c r="F38" i="49"/>
  <c r="F72" i="49"/>
  <c r="F70" i="49"/>
  <c r="F67" i="49"/>
  <c r="F115" i="49"/>
  <c r="F111" i="49"/>
  <c r="F108" i="49"/>
  <c r="F106" i="49"/>
  <c r="F99" i="49"/>
  <c r="F43" i="49"/>
  <c r="F42" i="49"/>
  <c r="F89" i="49"/>
  <c r="F85" i="49"/>
  <c r="F81" i="49"/>
  <c r="F78" i="49"/>
  <c r="F77" i="49"/>
  <c r="F95" i="49"/>
  <c r="F105" i="49"/>
  <c r="F102" i="49"/>
  <c r="F97" i="49"/>
  <c r="F60" i="49"/>
  <c r="F53" i="49"/>
  <c r="F47" i="49"/>
  <c r="F39" i="49"/>
  <c r="F73" i="49"/>
  <c r="F71" i="49"/>
  <c r="F68" i="49"/>
  <c r="F66" i="49"/>
  <c r="F118" i="49"/>
  <c r="F114" i="49"/>
  <c r="F110" i="49"/>
  <c r="F107" i="49"/>
  <c r="F100" i="49"/>
  <c r="A36" i="49"/>
  <c r="A123" i="49" s="1"/>
  <c r="A210" i="49" s="1"/>
  <c r="A94" i="49"/>
  <c r="A181" i="49" s="1"/>
  <c r="A268" i="49" s="1"/>
  <c r="A91" i="49"/>
  <c r="A178" i="49" s="1"/>
  <c r="A265" i="49" s="1"/>
  <c r="A65" i="49"/>
  <c r="A152" i="49" s="1"/>
  <c r="A239" i="49" s="1"/>
  <c r="A62" i="49"/>
  <c r="A149" i="49" s="1"/>
  <c r="A236" i="49" s="1"/>
  <c r="F37" i="49"/>
  <c r="F94" i="49"/>
  <c r="F65" i="49"/>
  <c r="F91" i="49" l="1"/>
  <c r="F120" i="49"/>
  <c r="F31" i="49"/>
  <c r="L42" i="49"/>
  <c r="L48" i="49"/>
  <c r="L41" i="49"/>
  <c r="L45" i="49"/>
  <c r="L49" i="49"/>
  <c r="L43" i="49"/>
  <c r="L47" i="49"/>
  <c r="L46" i="49"/>
  <c r="L44" i="49"/>
  <c r="L30" i="49"/>
  <c r="L37" i="49"/>
  <c r="L36" i="49"/>
  <c r="L32" i="49"/>
  <c r="L31" i="49"/>
  <c r="L38" i="49"/>
  <c r="L35" i="49"/>
  <c r="L34" i="49"/>
  <c r="L33" i="49"/>
  <c r="L8" i="49" a="1"/>
  <c r="F62" i="49"/>
  <c r="N19" i="49" a="1"/>
  <c r="N30" i="49" a="1"/>
  <c r="L20" i="49"/>
  <c r="L22" i="49"/>
  <c r="L21" i="49"/>
  <c r="L26" i="49"/>
  <c r="L23" i="49"/>
  <c r="L25" i="49"/>
  <c r="L19" i="49"/>
  <c r="L24" i="49"/>
  <c r="L27" i="49"/>
  <c r="N41" i="49" a="1"/>
  <c r="D33" i="49"/>
  <c r="F9" i="49"/>
  <c r="F10" i="49"/>
  <c r="F18" i="49"/>
  <c r="F13" i="49"/>
  <c r="F19" i="49"/>
  <c r="F24" i="49"/>
  <c r="F14" i="49"/>
  <c r="F21" i="49"/>
  <c r="F20" i="49"/>
  <c r="F8" i="49"/>
  <c r="F23" i="49"/>
  <c r="F27" i="49"/>
  <c r="F15" i="49"/>
  <c r="F7" i="49"/>
  <c r="F28" i="49"/>
  <c r="F12" i="49"/>
  <c r="N8" i="49" l="1" a="1"/>
  <c r="N12" i="49" s="1"/>
  <c r="N19" i="49"/>
  <c r="N24" i="49"/>
  <c r="N23" i="49"/>
  <c r="N22" i="49"/>
  <c r="N26" i="49"/>
  <c r="N21" i="49"/>
  <c r="N20" i="49"/>
  <c r="N25" i="49"/>
  <c r="N27" i="49"/>
  <c r="N30" i="49"/>
  <c r="N37" i="49"/>
  <c r="N35" i="49"/>
  <c r="N36" i="49"/>
  <c r="N34" i="49"/>
  <c r="N33" i="49"/>
  <c r="N32" i="49"/>
  <c r="N31" i="49"/>
  <c r="N38" i="49"/>
  <c r="L10" i="49"/>
  <c r="L13" i="49"/>
  <c r="L12" i="49"/>
  <c r="L11" i="49"/>
  <c r="L14" i="49"/>
  <c r="L9" i="49"/>
  <c r="L16" i="49"/>
  <c r="L8" i="49"/>
  <c r="L15" i="49"/>
  <c r="N41" i="49"/>
  <c r="N43" i="49"/>
  <c r="N42" i="49"/>
  <c r="N44" i="49"/>
  <c r="N49" i="49"/>
  <c r="N48" i="49"/>
  <c r="N45" i="49"/>
  <c r="N47" i="49"/>
  <c r="N46" i="49"/>
  <c r="F33" i="49"/>
  <c r="N13" i="49" l="1"/>
  <c r="N10" i="49"/>
  <c r="N9" i="49"/>
  <c r="N16" i="49"/>
  <c r="N11" i="49"/>
  <c r="N15" i="49"/>
  <c r="N14" i="49"/>
  <c r="N8" i="49"/>
  <c r="A17" i="52"/>
  <c r="A83" i="52" s="1"/>
  <c r="A16" i="52"/>
  <c r="A70" i="52" s="1"/>
  <c r="A15" i="52"/>
  <c r="A81" i="52" s="1"/>
  <c r="A14" i="52"/>
  <c r="A26" i="52" s="1"/>
  <c r="A13" i="52"/>
  <c r="A79" i="52" s="1"/>
  <c r="A12" i="52"/>
  <c r="A54" i="52" s="1"/>
  <c r="A11" i="52"/>
  <c r="A77" i="52" s="1"/>
  <c r="A10" i="52"/>
  <c r="A52" i="52" s="1"/>
  <c r="A9" i="52"/>
  <c r="A75" i="52" s="1"/>
  <c r="A8" i="52"/>
  <c r="A62" i="52" s="1"/>
  <c r="N88" i="52"/>
  <c r="K88" i="52"/>
  <c r="G88" i="52"/>
  <c r="B4" i="52"/>
  <c r="C88" i="52" s="1"/>
  <c r="D89" i="52"/>
  <c r="P89" i="52" s="1"/>
  <c r="AB89" i="52" s="1"/>
  <c r="AN89" i="52" s="1"/>
  <c r="C89" i="52"/>
  <c r="O89" i="52" s="1"/>
  <c r="AA89" i="52" s="1"/>
  <c r="AM89" i="52" s="1"/>
  <c r="B89" i="52"/>
  <c r="N89" i="52" s="1"/>
  <c r="Z89" i="52" s="1"/>
  <c r="AL89" i="52" s="1"/>
  <c r="D47" i="52"/>
  <c r="P47" i="52" s="1"/>
  <c r="AB47" i="52" s="1"/>
  <c r="AN47" i="52" s="1"/>
  <c r="C47" i="52"/>
  <c r="O47" i="52" s="1"/>
  <c r="AA47" i="52" s="1"/>
  <c r="AM47" i="52" s="1"/>
  <c r="B47" i="52"/>
  <c r="N47" i="52" s="1"/>
  <c r="Z47" i="52" s="1"/>
  <c r="AL47" i="52" s="1"/>
  <c r="P5" i="52"/>
  <c r="AB5" i="52" s="1"/>
  <c r="AN5" i="52" s="1"/>
  <c r="O5" i="52"/>
  <c r="AA5" i="52" s="1"/>
  <c r="AM5" i="52" s="1"/>
  <c r="L5" i="52"/>
  <c r="X5" i="52" s="1"/>
  <c r="AJ5" i="52" s="1"/>
  <c r="K5" i="52"/>
  <c r="W5" i="52" s="1"/>
  <c r="AI5" i="52" s="1"/>
  <c r="J5" i="52"/>
  <c r="V5" i="52" s="1"/>
  <c r="AH5" i="52" s="1"/>
  <c r="H5" i="52"/>
  <c r="T5" i="52" s="1"/>
  <c r="AF5" i="52" s="1"/>
  <c r="G5" i="52"/>
  <c r="S5" i="52" s="1"/>
  <c r="AE5" i="52" s="1"/>
  <c r="F5" i="52"/>
  <c r="R5" i="52" s="1"/>
  <c r="AD5" i="52" s="1"/>
  <c r="A39" i="16"/>
  <c r="F90" i="16"/>
  <c r="E90" i="16"/>
  <c r="D90" i="16"/>
  <c r="C90" i="16"/>
  <c r="B90" i="16"/>
  <c r="F88" i="16"/>
  <c r="E88" i="16"/>
  <c r="D88" i="16"/>
  <c r="C88" i="16"/>
  <c r="B88" i="16"/>
  <c r="F87" i="16"/>
  <c r="E87" i="16"/>
  <c r="D87" i="16"/>
  <c r="C87" i="16"/>
  <c r="B87" i="16"/>
  <c r="F86" i="16"/>
  <c r="E86" i="16"/>
  <c r="D86" i="16"/>
  <c r="C86" i="16"/>
  <c r="F85" i="16"/>
  <c r="E85" i="16"/>
  <c r="D85" i="16"/>
  <c r="C85" i="16"/>
  <c r="B85" i="16"/>
  <c r="F84" i="16"/>
  <c r="E84" i="16"/>
  <c r="D84" i="16"/>
  <c r="C84" i="16"/>
  <c r="B84" i="16"/>
  <c r="F83" i="16"/>
  <c r="E83" i="16"/>
  <c r="D83" i="16"/>
  <c r="C83" i="16"/>
  <c r="B83" i="16"/>
  <c r="F82" i="16"/>
  <c r="E82" i="16"/>
  <c r="C82" i="16"/>
  <c r="B82" i="16"/>
  <c r="F81" i="16"/>
  <c r="E81" i="16"/>
  <c r="D81" i="16"/>
  <c r="C81" i="16"/>
  <c r="B81" i="16"/>
  <c r="F80" i="16"/>
  <c r="E80" i="16"/>
  <c r="D80" i="16"/>
  <c r="C80" i="16"/>
  <c r="A90" i="16"/>
  <c r="A81" i="16"/>
  <c r="A82" i="16"/>
  <c r="A83" i="16"/>
  <c r="A84" i="16"/>
  <c r="A85" i="16"/>
  <c r="A86" i="16"/>
  <c r="A87" i="16"/>
  <c r="A88" i="16"/>
  <c r="A80" i="16"/>
  <c r="C79" i="16"/>
  <c r="D79" i="16"/>
  <c r="E79" i="16"/>
  <c r="F79" i="16"/>
  <c r="B79" i="16"/>
  <c r="Q12" i="11"/>
  <c r="P12" i="11"/>
  <c r="O12" i="11"/>
  <c r="N12" i="11"/>
  <c r="Q10" i="11"/>
  <c r="P10" i="11"/>
  <c r="O10" i="11"/>
  <c r="N10" i="11"/>
  <c r="Q9" i="11"/>
  <c r="P9" i="11"/>
  <c r="O9" i="11"/>
  <c r="N9" i="11"/>
  <c r="Q8" i="11"/>
  <c r="P8" i="11"/>
  <c r="O8" i="11"/>
  <c r="N8" i="11"/>
  <c r="Q7" i="11"/>
  <c r="P7" i="11"/>
  <c r="O7" i="11"/>
  <c r="N7" i="11"/>
  <c r="Q6" i="11"/>
  <c r="P6" i="11"/>
  <c r="O6" i="11"/>
  <c r="N6" i="11"/>
  <c r="Q5" i="11"/>
  <c r="P5" i="11"/>
  <c r="O5" i="11"/>
  <c r="N5" i="11"/>
  <c r="L12" i="11"/>
  <c r="L6" i="11"/>
  <c r="L7" i="11"/>
  <c r="L8" i="11"/>
  <c r="L9" i="11"/>
  <c r="L10" i="11"/>
  <c r="L5" i="11"/>
  <c r="N4" i="11"/>
  <c r="O4" i="11"/>
  <c r="P4" i="11"/>
  <c r="Q4" i="11"/>
  <c r="F5" i="15"/>
  <c r="F5" i="18"/>
  <c r="D5" i="18"/>
  <c r="F11" i="18"/>
  <c r="D11" i="18"/>
  <c r="F17" i="18"/>
  <c r="D17" i="18"/>
  <c r="F24" i="18"/>
  <c r="D24" i="18"/>
  <c r="F28" i="18"/>
  <c r="D28" i="18"/>
  <c r="F34" i="18"/>
  <c r="L89" i="18" s="1"/>
  <c r="D34" i="18"/>
  <c r="J89" i="18" s="1"/>
  <c r="F39" i="18"/>
  <c r="D39" i="18"/>
  <c r="F43" i="18"/>
  <c r="D43" i="18"/>
  <c r="F47" i="18"/>
  <c r="D47" i="18"/>
  <c r="D5" i="15"/>
  <c r="D7" i="15"/>
  <c r="J54" i="15" s="1"/>
  <c r="F7" i="15"/>
  <c r="D8" i="15"/>
  <c r="F8" i="15"/>
  <c r="D9" i="15"/>
  <c r="F9" i="15"/>
  <c r="D10" i="15"/>
  <c r="F10" i="15"/>
  <c r="D13" i="15"/>
  <c r="F13" i="15"/>
  <c r="D14" i="15"/>
  <c r="F14" i="15"/>
  <c r="D15" i="15"/>
  <c r="F15" i="15"/>
  <c r="D16" i="15"/>
  <c r="F16" i="15"/>
  <c r="D18" i="15"/>
  <c r="F18" i="15"/>
  <c r="D20" i="15"/>
  <c r="F20" i="15"/>
  <c r="D25" i="15"/>
  <c r="F25" i="15"/>
  <c r="D35" i="15"/>
  <c r="F35" i="15"/>
  <c r="D40" i="15"/>
  <c r="F40" i="15"/>
  <c r="O2" i="51"/>
  <c r="Q5" i="31"/>
  <c r="A29" i="44"/>
  <c r="A43" i="44" s="1"/>
  <c r="A57" i="44" s="1"/>
  <c r="A21" i="44"/>
  <c r="A35" i="44" s="1"/>
  <c r="A49" i="44" s="1"/>
  <c r="A20" i="44"/>
  <c r="A34" i="44" s="1"/>
  <c r="A48" i="44" s="1"/>
  <c r="A19" i="44"/>
  <c r="A33" i="44" s="1"/>
  <c r="A47" i="44" s="1"/>
  <c r="D44" i="11"/>
  <c r="O15" i="31"/>
  <c r="O14" i="31"/>
  <c r="O13" i="31"/>
  <c r="O12" i="31"/>
  <c r="O11" i="31"/>
  <c r="O10" i="31"/>
  <c r="O9" i="31"/>
  <c r="O8" i="31"/>
  <c r="O7" i="31"/>
  <c r="P8" i="31"/>
  <c r="P9" i="31"/>
  <c r="P10" i="31"/>
  <c r="P11" i="31"/>
  <c r="P13" i="31"/>
  <c r="I43" i="16"/>
  <c r="J43" i="16"/>
  <c r="I44" i="16"/>
  <c r="J44" i="16"/>
  <c r="B5" i="18"/>
  <c r="A1" i="18" s="1"/>
  <c r="I23" i="16"/>
  <c r="J23" i="16"/>
  <c r="I24" i="16"/>
  <c r="J24" i="16"/>
  <c r="D44" i="16"/>
  <c r="E5" i="18"/>
  <c r="E11" i="18"/>
  <c r="C5" i="18"/>
  <c r="C11" i="18"/>
  <c r="E17" i="18"/>
  <c r="C17" i="18"/>
  <c r="E24" i="18"/>
  <c r="C24" i="18"/>
  <c r="E28" i="18"/>
  <c r="C28" i="18"/>
  <c r="E34" i="18"/>
  <c r="K89" i="18" s="1"/>
  <c r="C34" i="18"/>
  <c r="I89" i="18" s="1"/>
  <c r="E39" i="18"/>
  <c r="C39" i="18"/>
  <c r="E43" i="18"/>
  <c r="C43" i="18"/>
  <c r="E47" i="18"/>
  <c r="C47" i="18"/>
  <c r="J26" i="18"/>
  <c r="A11" i="18"/>
  <c r="A17" i="18"/>
  <c r="A24" i="18"/>
  <c r="A28" i="18"/>
  <c r="A34" i="18"/>
  <c r="A39" i="18"/>
  <c r="A43" i="18"/>
  <c r="A47" i="18"/>
  <c r="D64" i="12"/>
  <c r="E64" i="12"/>
  <c r="D65" i="12"/>
  <c r="E65" i="12"/>
  <c r="D66" i="12"/>
  <c r="E66" i="12"/>
  <c r="D67" i="12"/>
  <c r="E67" i="12"/>
  <c r="D68" i="12"/>
  <c r="E68" i="12"/>
  <c r="D69" i="12"/>
  <c r="E69" i="12"/>
  <c r="D70" i="12"/>
  <c r="E70" i="12"/>
  <c r="D71" i="12"/>
  <c r="E71" i="12"/>
  <c r="D72" i="12"/>
  <c r="E72" i="12"/>
  <c r="D73" i="12"/>
  <c r="E73" i="12"/>
  <c r="D74" i="12"/>
  <c r="E74" i="12"/>
  <c r="D75" i="12"/>
  <c r="E75" i="12"/>
  <c r="D76" i="12"/>
  <c r="E76" i="12"/>
  <c r="D77" i="12"/>
  <c r="E77" i="12"/>
  <c r="D78" i="12"/>
  <c r="E78" i="12"/>
  <c r="D86" i="12"/>
  <c r="E86" i="12"/>
  <c r="D63" i="12"/>
  <c r="E63" i="12"/>
  <c r="E5" i="15"/>
  <c r="E40" i="15"/>
  <c r="K83" i="15" s="1"/>
  <c r="C5" i="15"/>
  <c r="C40" i="15"/>
  <c r="I83" i="15" s="1"/>
  <c r="E35" i="15"/>
  <c r="C35" i="15"/>
  <c r="E25" i="15"/>
  <c r="C25" i="15"/>
  <c r="E20" i="15"/>
  <c r="C20" i="15"/>
  <c r="E18" i="15"/>
  <c r="C18" i="15"/>
  <c r="E16" i="15"/>
  <c r="C16" i="15"/>
  <c r="E15" i="15"/>
  <c r="C15" i="15"/>
  <c r="E14" i="15"/>
  <c r="C14" i="15"/>
  <c r="E13" i="15"/>
  <c r="C13" i="15"/>
  <c r="E10" i="15"/>
  <c r="C10" i="15"/>
  <c r="E9" i="15"/>
  <c r="C9" i="15"/>
  <c r="E8" i="15"/>
  <c r="C8" i="15"/>
  <c r="C7" i="15"/>
  <c r="I54" i="15" s="1"/>
  <c r="E7" i="15"/>
  <c r="K54" i="15" s="1"/>
  <c r="D7" i="18"/>
  <c r="F7" i="18"/>
  <c r="C7" i="18"/>
  <c r="E7" i="18"/>
  <c r="B47" i="18"/>
  <c r="B39" i="18"/>
  <c r="B28" i="18"/>
  <c r="B24" i="18"/>
  <c r="B17" i="18"/>
  <c r="B11" i="18"/>
  <c r="B7" i="18"/>
  <c r="E44" i="16"/>
  <c r="B44" i="16"/>
  <c r="L41" i="21"/>
  <c r="A7" i="15"/>
  <c r="A89" i="15" s="1"/>
  <c r="A13" i="15"/>
  <c r="A95" i="15" s="1"/>
  <c r="A18" i="15"/>
  <c r="A100" i="15" s="1"/>
  <c r="A20" i="15"/>
  <c r="A102" i="15" s="1"/>
  <c r="A25" i="15"/>
  <c r="A107" i="15" s="1"/>
  <c r="A35" i="15"/>
  <c r="A117" i="15" s="1"/>
  <c r="L43" i="19"/>
  <c r="A8" i="15"/>
  <c r="A90" i="15" s="1"/>
  <c r="A9" i="15"/>
  <c r="A91" i="15" s="1"/>
  <c r="A10" i="15"/>
  <c r="A92" i="15" s="1"/>
  <c r="A14" i="15"/>
  <c r="A96" i="15" s="1"/>
  <c r="A15" i="15"/>
  <c r="A97" i="15" s="1"/>
  <c r="A16" i="15"/>
  <c r="A98" i="15" s="1"/>
  <c r="A40" i="15"/>
  <c r="A122" i="15" s="1"/>
  <c r="A7" i="18"/>
  <c r="L52" i="76" s="1"/>
  <c r="E44" i="11"/>
  <c r="B65" i="16"/>
  <c r="D65" i="16"/>
  <c r="B66" i="16"/>
  <c r="D66" i="16"/>
  <c r="E66" i="16"/>
  <c r="B67" i="16"/>
  <c r="D67" i="16"/>
  <c r="E67" i="16"/>
  <c r="B68" i="16"/>
  <c r="D68" i="16"/>
  <c r="E68" i="16"/>
  <c r="B69" i="16"/>
  <c r="D69" i="16"/>
  <c r="E69" i="16"/>
  <c r="B70" i="16"/>
  <c r="D70" i="16"/>
  <c r="E70" i="16"/>
  <c r="B71" i="16"/>
  <c r="D71" i="16"/>
  <c r="E71" i="16"/>
  <c r="B72" i="16"/>
  <c r="D72" i="16"/>
  <c r="E72" i="16"/>
  <c r="B74" i="16"/>
  <c r="D74" i="16"/>
  <c r="E74" i="16"/>
  <c r="I82" i="16"/>
  <c r="N41" i="75" s="1"/>
  <c r="I83" i="16"/>
  <c r="N34" i="75" s="1"/>
  <c r="I84" i="16"/>
  <c r="N30" i="75" s="1"/>
  <c r="I85" i="16"/>
  <c r="N24" i="75" s="1"/>
  <c r="I86" i="16"/>
  <c r="N19" i="75" s="1"/>
  <c r="I87" i="16"/>
  <c r="N15" i="75" s="1"/>
  <c r="I88" i="16"/>
  <c r="N11" i="75" s="1"/>
  <c r="I90" i="16"/>
  <c r="D46" i="16"/>
  <c r="E46" i="16"/>
  <c r="D47" i="16"/>
  <c r="E47" i="16"/>
  <c r="D48" i="16"/>
  <c r="E48" i="16"/>
  <c r="D49" i="16"/>
  <c r="E49" i="16"/>
  <c r="D50" i="16"/>
  <c r="E50" i="16"/>
  <c r="D51" i="16"/>
  <c r="E51" i="16"/>
  <c r="D52" i="16"/>
  <c r="E52" i="16"/>
  <c r="D53" i="16"/>
  <c r="E53" i="16"/>
  <c r="D54" i="16"/>
  <c r="E54" i="16"/>
  <c r="D56" i="16"/>
  <c r="E56" i="16"/>
  <c r="B47" i="16"/>
  <c r="B48" i="16"/>
  <c r="B49" i="16"/>
  <c r="B50" i="16"/>
  <c r="B51" i="16"/>
  <c r="B52" i="16"/>
  <c r="B53" i="16"/>
  <c r="B54" i="16"/>
  <c r="B56" i="16"/>
  <c r="C26" i="16"/>
  <c r="D26" i="16"/>
  <c r="E26" i="16"/>
  <c r="F26" i="16"/>
  <c r="C27" i="16"/>
  <c r="D27" i="16"/>
  <c r="E27" i="16"/>
  <c r="F27" i="16"/>
  <c r="C28" i="16"/>
  <c r="D28" i="16"/>
  <c r="E28" i="16"/>
  <c r="F28" i="16"/>
  <c r="C29" i="16"/>
  <c r="D29" i="16"/>
  <c r="E29" i="16"/>
  <c r="F29" i="16"/>
  <c r="C30" i="16"/>
  <c r="D30" i="16"/>
  <c r="E30" i="16"/>
  <c r="F30" i="16"/>
  <c r="C31" i="16"/>
  <c r="D31" i="16"/>
  <c r="E31" i="16"/>
  <c r="F31" i="16"/>
  <c r="C32" i="16"/>
  <c r="D32" i="16"/>
  <c r="E32" i="16"/>
  <c r="F32" i="16"/>
  <c r="C33" i="16"/>
  <c r="E33" i="16"/>
  <c r="F33" i="16"/>
  <c r="C34" i="16"/>
  <c r="D34" i="16"/>
  <c r="E34" i="16"/>
  <c r="F34" i="16"/>
  <c r="C36" i="16"/>
  <c r="D36" i="16"/>
  <c r="E36" i="16"/>
  <c r="F36" i="16"/>
  <c r="B27" i="16"/>
  <c r="B28" i="16"/>
  <c r="B29" i="16"/>
  <c r="B30" i="16"/>
  <c r="B31" i="16"/>
  <c r="B32" i="16"/>
  <c r="B33" i="16"/>
  <c r="B34" i="16"/>
  <c r="B36" i="16"/>
  <c r="B26" i="16"/>
  <c r="A74" i="16"/>
  <c r="A72" i="16"/>
  <c r="A71" i="16"/>
  <c r="A70" i="16"/>
  <c r="A69" i="16"/>
  <c r="A68" i="16"/>
  <c r="A67" i="16"/>
  <c r="A66" i="16"/>
  <c r="A65" i="16"/>
  <c r="A64" i="16"/>
  <c r="A56" i="16"/>
  <c r="A54" i="16"/>
  <c r="A53" i="16"/>
  <c r="A52" i="16"/>
  <c r="A51" i="16"/>
  <c r="A50" i="16"/>
  <c r="A49" i="16"/>
  <c r="A48" i="16"/>
  <c r="A47" i="16"/>
  <c r="A46" i="16"/>
  <c r="A36" i="16"/>
  <c r="A34" i="16"/>
  <c r="A33" i="16"/>
  <c r="A32" i="16"/>
  <c r="B24" i="16"/>
  <c r="C24" i="16"/>
  <c r="D24" i="16"/>
  <c r="E24" i="16"/>
  <c r="F24" i="16"/>
  <c r="A26" i="16"/>
  <c r="A27" i="16"/>
  <c r="A28" i="16"/>
  <c r="A29" i="16"/>
  <c r="A30" i="16"/>
  <c r="A31" i="16"/>
  <c r="B62" i="16"/>
  <c r="D62" i="16"/>
  <c r="E62" i="16"/>
  <c r="B64" i="16"/>
  <c r="D64" i="16"/>
  <c r="E64" i="16"/>
  <c r="D90" i="12"/>
  <c r="E90" i="12"/>
  <c r="D91" i="12"/>
  <c r="E91" i="12"/>
  <c r="D92" i="12"/>
  <c r="E92" i="12"/>
  <c r="D93" i="12"/>
  <c r="E93" i="12"/>
  <c r="D94" i="12"/>
  <c r="E94" i="12"/>
  <c r="D95" i="12"/>
  <c r="E95" i="12"/>
  <c r="D96" i="12"/>
  <c r="E96" i="12"/>
  <c r="D97" i="12"/>
  <c r="E97" i="12"/>
  <c r="D98" i="12"/>
  <c r="E98" i="12"/>
  <c r="D99" i="12"/>
  <c r="E99" i="12"/>
  <c r="D100" i="12"/>
  <c r="E100" i="12"/>
  <c r="D101" i="12"/>
  <c r="E101" i="12"/>
  <c r="D102" i="12"/>
  <c r="E102" i="12"/>
  <c r="D103" i="12"/>
  <c r="E103" i="12"/>
  <c r="D104" i="12"/>
  <c r="E104" i="12"/>
  <c r="D105" i="12"/>
  <c r="E105" i="12"/>
  <c r="D113" i="12"/>
  <c r="E113" i="12"/>
  <c r="A113" i="12"/>
  <c r="A105" i="12"/>
  <c r="A104" i="12"/>
  <c r="A103" i="12"/>
  <c r="A102" i="12"/>
  <c r="A101" i="12"/>
  <c r="A100" i="12"/>
  <c r="A99" i="12"/>
  <c r="A98" i="12"/>
  <c r="A97" i="12"/>
  <c r="A96" i="12"/>
  <c r="A95" i="12"/>
  <c r="A94" i="12"/>
  <c r="A93" i="12"/>
  <c r="A92" i="12"/>
  <c r="A91" i="12"/>
  <c r="A90" i="12"/>
  <c r="E89" i="12"/>
  <c r="D89" i="12"/>
  <c r="A86" i="12"/>
  <c r="A78" i="12"/>
  <c r="A77" i="12"/>
  <c r="A76" i="12"/>
  <c r="A75" i="12"/>
  <c r="A74" i="12"/>
  <c r="A73" i="12"/>
  <c r="A72" i="12"/>
  <c r="A71" i="12"/>
  <c r="A70" i="12"/>
  <c r="A69" i="12"/>
  <c r="A68" i="12"/>
  <c r="A67" i="12"/>
  <c r="A66" i="12"/>
  <c r="A65" i="12"/>
  <c r="A64" i="12"/>
  <c r="A63" i="12"/>
  <c r="E61" i="12"/>
  <c r="D61" i="12"/>
  <c r="C55" i="12"/>
  <c r="D55" i="12"/>
  <c r="E55" i="12"/>
  <c r="F55" i="12"/>
  <c r="A55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F31" i="12"/>
  <c r="E31" i="12"/>
  <c r="D31" i="12"/>
  <c r="C31" i="12"/>
  <c r="S6" i="11"/>
  <c r="S7" i="11"/>
  <c r="S8" i="11"/>
  <c r="S9" i="11"/>
  <c r="S10" i="11"/>
  <c r="S12" i="11"/>
  <c r="D34" i="11"/>
  <c r="E34" i="11"/>
  <c r="D35" i="11"/>
  <c r="E35" i="11"/>
  <c r="D36" i="11"/>
  <c r="E36" i="11"/>
  <c r="E37" i="11"/>
  <c r="D38" i="11"/>
  <c r="E38" i="11"/>
  <c r="D39" i="11"/>
  <c r="E39" i="11"/>
  <c r="D41" i="11"/>
  <c r="E41" i="11"/>
  <c r="O265" i="21"/>
  <c r="O264" i="21"/>
  <c r="O263" i="21"/>
  <c r="O262" i="21"/>
  <c r="O261" i="21"/>
  <c r="O266" i="21"/>
  <c r="D45" i="11"/>
  <c r="E45" i="11"/>
  <c r="D46" i="11"/>
  <c r="E46" i="11"/>
  <c r="D47" i="11"/>
  <c r="E47" i="11"/>
  <c r="D48" i="11"/>
  <c r="E48" i="11"/>
  <c r="D49" i="11"/>
  <c r="E49" i="11"/>
  <c r="D50" i="11"/>
  <c r="E50" i="11"/>
  <c r="D52" i="11"/>
  <c r="E52" i="11"/>
  <c r="A52" i="11"/>
  <c r="A50" i="11"/>
  <c r="A49" i="11"/>
  <c r="A48" i="11"/>
  <c r="A47" i="11"/>
  <c r="A46" i="11"/>
  <c r="A45" i="11"/>
  <c r="A41" i="11"/>
  <c r="A39" i="11"/>
  <c r="A38" i="11"/>
  <c r="A37" i="11"/>
  <c r="A36" i="11"/>
  <c r="A35" i="11"/>
  <c r="A34" i="11"/>
  <c r="A27" i="11"/>
  <c r="A25" i="11"/>
  <c r="A24" i="11"/>
  <c r="A23" i="11"/>
  <c r="A22" i="11"/>
  <c r="A21" i="11"/>
  <c r="A20" i="11"/>
  <c r="D33" i="11"/>
  <c r="E33" i="11"/>
  <c r="C19" i="11"/>
  <c r="D19" i="11"/>
  <c r="E19" i="11"/>
  <c r="F19" i="11"/>
  <c r="O230" i="21" s="1"/>
  <c r="C20" i="11"/>
  <c r="D20" i="11"/>
  <c r="N236" i="21" s="1"/>
  <c r="E20" i="11"/>
  <c r="F20" i="11"/>
  <c r="O236" i="21" s="1"/>
  <c r="C21" i="11"/>
  <c r="D21" i="11"/>
  <c r="N235" i="21" s="1"/>
  <c r="E21" i="11"/>
  <c r="F21" i="11"/>
  <c r="O235" i="21" s="1"/>
  <c r="C22" i="11"/>
  <c r="D22" i="11"/>
  <c r="N234" i="21" s="1"/>
  <c r="E22" i="11"/>
  <c r="F22" i="11"/>
  <c r="O234" i="21" s="1"/>
  <c r="C23" i="11"/>
  <c r="D23" i="11"/>
  <c r="E23" i="11"/>
  <c r="F23" i="11"/>
  <c r="O233" i="21" s="1"/>
  <c r="C24" i="11"/>
  <c r="D24" i="11"/>
  <c r="N232" i="21" s="1"/>
  <c r="E24" i="11"/>
  <c r="F24" i="11"/>
  <c r="O232" i="21" s="1"/>
  <c r="C25" i="11"/>
  <c r="D25" i="11"/>
  <c r="N231" i="21" s="1"/>
  <c r="E25" i="11"/>
  <c r="F25" i="11"/>
  <c r="O231" i="21" s="1"/>
  <c r="C27" i="11"/>
  <c r="D27" i="11"/>
  <c r="E27" i="11"/>
  <c r="F27" i="11"/>
  <c r="A505" i="76" l="1"/>
  <c r="F59" i="18"/>
  <c r="B89" i="18"/>
  <c r="B59" i="18"/>
  <c r="E3" i="44"/>
  <c r="D89" i="18"/>
  <c r="C89" i="18"/>
  <c r="F3" i="44"/>
  <c r="F5" i="44" s="1"/>
  <c r="F89" i="18"/>
  <c r="E89" i="18"/>
  <c r="L32" i="76"/>
  <c r="L79" i="76"/>
  <c r="L26" i="76"/>
  <c r="L73" i="76"/>
  <c r="L22" i="76"/>
  <c r="L69" i="76"/>
  <c r="L15" i="76"/>
  <c r="L62" i="76"/>
  <c r="L9" i="76"/>
  <c r="L56" i="76"/>
  <c r="L45" i="76"/>
  <c r="L92" i="76"/>
  <c r="L41" i="76"/>
  <c r="L88" i="76"/>
  <c r="L37" i="76"/>
  <c r="L84" i="76"/>
  <c r="A1" i="51"/>
  <c r="N230" i="21"/>
  <c r="H17" i="11"/>
  <c r="N233" i="21"/>
  <c r="C97" i="15"/>
  <c r="N32" i="19" s="1"/>
  <c r="C112" i="15"/>
  <c r="N17" i="19" s="1"/>
  <c r="C98" i="15"/>
  <c r="N31" i="19" s="1"/>
  <c r="C113" i="15"/>
  <c r="N16" i="19" s="1"/>
  <c r="C100" i="15"/>
  <c r="N29" i="19" s="1"/>
  <c r="C114" i="15"/>
  <c r="N15" i="19" s="1"/>
  <c r="C102" i="15"/>
  <c r="N27" i="19" s="1"/>
  <c r="C115" i="15"/>
  <c r="N14" i="19" s="1"/>
  <c r="C103" i="15"/>
  <c r="N26" i="19" s="1"/>
  <c r="C117" i="15"/>
  <c r="N12" i="19" s="1"/>
  <c r="C118" i="15"/>
  <c r="N11" i="19" s="1"/>
  <c r="C90" i="15"/>
  <c r="N39" i="19" s="1"/>
  <c r="C105" i="15"/>
  <c r="N24" i="19" s="1"/>
  <c r="C119" i="15"/>
  <c r="N10" i="19" s="1"/>
  <c r="C91" i="15"/>
  <c r="N38" i="19" s="1"/>
  <c r="C107" i="15"/>
  <c r="N22" i="19" s="1"/>
  <c r="C120" i="15"/>
  <c r="N9" i="19" s="1"/>
  <c r="C92" i="15"/>
  <c r="N37" i="19" s="1"/>
  <c r="C108" i="15"/>
  <c r="N21" i="19" s="1"/>
  <c r="C122" i="15"/>
  <c r="N7" i="19" s="1"/>
  <c r="C93" i="15"/>
  <c r="N36" i="19" s="1"/>
  <c r="C109" i="15"/>
  <c r="N20" i="19" s="1"/>
  <c r="C89" i="15"/>
  <c r="N40" i="19" s="1"/>
  <c r="C95" i="15"/>
  <c r="N34" i="19" s="1"/>
  <c r="C110" i="15"/>
  <c r="N19" i="19" s="1"/>
  <c r="C96" i="15"/>
  <c r="N33" i="19" s="1"/>
  <c r="C111" i="15"/>
  <c r="N18" i="19" s="1"/>
  <c r="C104" i="15"/>
  <c r="N25" i="19" s="1"/>
  <c r="L9" i="15"/>
  <c r="C3" i="44"/>
  <c r="L15" i="15"/>
  <c r="B3" i="44"/>
  <c r="A1" i="44" s="1"/>
  <c r="A53" i="18"/>
  <c r="F6" i="44"/>
  <c r="A59" i="18"/>
  <c r="L51" i="75"/>
  <c r="L5" i="76"/>
  <c r="L5" i="15"/>
  <c r="F48" i="15" s="1"/>
  <c r="C87" i="15" s="1"/>
  <c r="N6" i="19" s="1"/>
  <c r="L40" i="15"/>
  <c r="L18" i="15"/>
  <c r="L13" i="15"/>
  <c r="L7" i="18"/>
  <c r="L5" i="18"/>
  <c r="F57" i="18" s="1"/>
  <c r="D3" i="44"/>
  <c r="L39" i="18"/>
  <c r="L17" i="18"/>
  <c r="L20" i="15"/>
  <c r="L14" i="15"/>
  <c r="L8" i="15"/>
  <c r="L7" i="15"/>
  <c r="L54" i="15"/>
  <c r="L35" i="15"/>
  <c r="L16" i="15"/>
  <c r="L10" i="15"/>
  <c r="L34" i="18"/>
  <c r="L11" i="18"/>
  <c r="L25" i="15"/>
  <c r="L73" i="15"/>
  <c r="L72" i="15"/>
  <c r="L74" i="15"/>
  <c r="L76" i="15"/>
  <c r="L75" i="15"/>
  <c r="L28" i="18"/>
  <c r="J72" i="15"/>
  <c r="J74" i="15"/>
  <c r="J75" i="15"/>
  <c r="J73" i="15"/>
  <c r="J76" i="15"/>
  <c r="F53" i="15"/>
  <c r="F64" i="15"/>
  <c r="F73" i="15"/>
  <c r="F81" i="15"/>
  <c r="F76" i="15"/>
  <c r="F69" i="15"/>
  <c r="F52" i="15"/>
  <c r="F80" i="15"/>
  <c r="F54" i="15"/>
  <c r="F65" i="15"/>
  <c r="F74" i="15"/>
  <c r="F83" i="15"/>
  <c r="F68" i="15"/>
  <c r="F58" i="15"/>
  <c r="F63" i="15"/>
  <c r="F56" i="15"/>
  <c r="F66" i="15"/>
  <c r="F75" i="15"/>
  <c r="F50" i="15"/>
  <c r="F57" i="15"/>
  <c r="F77" i="15"/>
  <c r="F72" i="15"/>
  <c r="F59" i="15"/>
  <c r="F70" i="15"/>
  <c r="F78" i="15"/>
  <c r="F51" i="15"/>
  <c r="F61" i="15"/>
  <c r="F71" i="15"/>
  <c r="F79" i="15"/>
  <c r="L47" i="18"/>
  <c r="I74" i="15"/>
  <c r="I76" i="15"/>
  <c r="I73" i="15"/>
  <c r="I72" i="15"/>
  <c r="I75" i="15"/>
  <c r="L43" i="18"/>
  <c r="L24" i="18"/>
  <c r="F63" i="18"/>
  <c r="F72" i="18"/>
  <c r="F82" i="18"/>
  <c r="F93" i="18"/>
  <c r="F64" i="18"/>
  <c r="F73" i="18"/>
  <c r="F83" i="18"/>
  <c r="F95" i="18"/>
  <c r="F65" i="18"/>
  <c r="F74" i="18"/>
  <c r="F84" i="18"/>
  <c r="F96" i="18"/>
  <c r="F66" i="18"/>
  <c r="F76" i="18"/>
  <c r="F86" i="18"/>
  <c r="F97" i="18"/>
  <c r="F67" i="18"/>
  <c r="F77" i="18"/>
  <c r="F87" i="18"/>
  <c r="F99" i="18"/>
  <c r="F69" i="18"/>
  <c r="F78" i="18"/>
  <c r="F88" i="18"/>
  <c r="F100" i="18"/>
  <c r="F60" i="18"/>
  <c r="F70" i="18"/>
  <c r="F80" i="18"/>
  <c r="F91" i="18"/>
  <c r="F101" i="18"/>
  <c r="F61" i="18"/>
  <c r="F71" i="18"/>
  <c r="F81" i="18"/>
  <c r="F92" i="18"/>
  <c r="F103" i="18"/>
  <c r="K75" i="15"/>
  <c r="K73" i="15"/>
  <c r="K72" i="15"/>
  <c r="K74" i="15"/>
  <c r="K76" i="15"/>
  <c r="B101" i="18"/>
  <c r="B60" i="18"/>
  <c r="B61" i="18"/>
  <c r="D61" i="18"/>
  <c r="D60" i="18"/>
  <c r="C61" i="18"/>
  <c r="C60" i="18"/>
  <c r="E60" i="18"/>
  <c r="E61" i="18"/>
  <c r="K48" i="15"/>
  <c r="E54" i="15"/>
  <c r="E73" i="15"/>
  <c r="E75" i="15"/>
  <c r="E76" i="15"/>
  <c r="E72" i="15"/>
  <c r="E74" i="15"/>
  <c r="D74" i="15"/>
  <c r="D75" i="15"/>
  <c r="D73" i="15"/>
  <c r="D72" i="15"/>
  <c r="D54" i="15"/>
  <c r="D76" i="15"/>
  <c r="C74" i="15"/>
  <c r="C75" i="15"/>
  <c r="C72" i="15"/>
  <c r="C76" i="15"/>
  <c r="C54" i="15"/>
  <c r="C73" i="15"/>
  <c r="I37" i="15"/>
  <c r="I27" i="15"/>
  <c r="I22" i="15"/>
  <c r="I16" i="15"/>
  <c r="I10" i="15"/>
  <c r="I36" i="15"/>
  <c r="I26" i="15"/>
  <c r="I21" i="15"/>
  <c r="I15" i="15"/>
  <c r="I9" i="15"/>
  <c r="I35" i="15"/>
  <c r="I25" i="15"/>
  <c r="I20" i="15"/>
  <c r="I14" i="15"/>
  <c r="I8" i="15"/>
  <c r="A70" i="15"/>
  <c r="L20" i="19" s="1"/>
  <c r="L25" i="21"/>
  <c r="A50" i="15"/>
  <c r="L40" i="19" s="1"/>
  <c r="L5" i="21"/>
  <c r="A51" i="15"/>
  <c r="L39" i="19" s="1"/>
  <c r="L6" i="21"/>
  <c r="A83" i="15"/>
  <c r="L7" i="19" s="1"/>
  <c r="L38" i="21"/>
  <c r="L268" i="21" s="1"/>
  <c r="A65" i="15"/>
  <c r="L25" i="19" s="1"/>
  <c r="L20" i="21"/>
  <c r="A52" i="15"/>
  <c r="L38" i="19" s="1"/>
  <c r="L7" i="21"/>
  <c r="A80" i="15"/>
  <c r="L10" i="19" s="1"/>
  <c r="L35" i="21"/>
  <c r="A59" i="15"/>
  <c r="L31" i="19" s="1"/>
  <c r="L14" i="21"/>
  <c r="A68" i="15"/>
  <c r="L22" i="19" s="1"/>
  <c r="L23" i="21"/>
  <c r="A53" i="15"/>
  <c r="L37" i="19" s="1"/>
  <c r="L8" i="21"/>
  <c r="A66" i="15"/>
  <c r="L24" i="19" s="1"/>
  <c r="L21" i="21"/>
  <c r="A78" i="15"/>
  <c r="L12" i="19" s="1"/>
  <c r="L33" i="21"/>
  <c r="A79" i="15"/>
  <c r="L11" i="19" s="1"/>
  <c r="L34" i="21"/>
  <c r="A58" i="15"/>
  <c r="L32" i="19" s="1"/>
  <c r="L13" i="21"/>
  <c r="A63" i="15"/>
  <c r="L27" i="19" s="1"/>
  <c r="L18" i="21"/>
  <c r="A56" i="15"/>
  <c r="L34" i="19" s="1"/>
  <c r="L11" i="21"/>
  <c r="A69" i="15"/>
  <c r="L21" i="19" s="1"/>
  <c r="L24" i="21"/>
  <c r="A81" i="15"/>
  <c r="L9" i="19" s="1"/>
  <c r="L36" i="21"/>
  <c r="A64" i="15"/>
  <c r="L26" i="19" s="1"/>
  <c r="L19" i="21"/>
  <c r="A71" i="15"/>
  <c r="L19" i="19" s="1"/>
  <c r="L26" i="21"/>
  <c r="A57" i="15"/>
  <c r="L33" i="19" s="1"/>
  <c r="L12" i="21"/>
  <c r="A61" i="15"/>
  <c r="L29" i="19" s="1"/>
  <c r="L16" i="21"/>
  <c r="I39" i="18"/>
  <c r="L73" i="18"/>
  <c r="I34" i="18"/>
  <c r="I11" i="18"/>
  <c r="I57" i="18"/>
  <c r="I5" i="18"/>
  <c r="C57" i="18" s="1"/>
  <c r="L83" i="15"/>
  <c r="J103" i="18"/>
  <c r="I51" i="18"/>
  <c r="I7" i="18"/>
  <c r="C65" i="18"/>
  <c r="C74" i="18"/>
  <c r="C80" i="18"/>
  <c r="C97" i="18"/>
  <c r="C59" i="18"/>
  <c r="C66" i="18"/>
  <c r="C81" i="18"/>
  <c r="C67" i="18"/>
  <c r="C76" i="18"/>
  <c r="C82" i="18"/>
  <c r="C91" i="18"/>
  <c r="C63" i="18"/>
  <c r="C72" i="18"/>
  <c r="C87" i="18"/>
  <c r="C95" i="18"/>
  <c r="C101" i="18"/>
  <c r="C69" i="18"/>
  <c r="C83" i="18"/>
  <c r="C70" i="18"/>
  <c r="C84" i="18"/>
  <c r="C99" i="18"/>
  <c r="C71" i="18"/>
  <c r="C86" i="18"/>
  <c r="C100" i="18"/>
  <c r="C73" i="18"/>
  <c r="C77" i="18"/>
  <c r="C103" i="18"/>
  <c r="C78" i="18"/>
  <c r="C93" i="18"/>
  <c r="C64" i="18"/>
  <c r="C96" i="18"/>
  <c r="C92" i="18"/>
  <c r="C88" i="18"/>
  <c r="I28" i="18"/>
  <c r="I48" i="15"/>
  <c r="I5" i="15"/>
  <c r="C48" i="15" s="1"/>
  <c r="I38" i="15"/>
  <c r="I28" i="15"/>
  <c r="I23" i="15"/>
  <c r="I18" i="15"/>
  <c r="I13" i="15"/>
  <c r="I7" i="15"/>
  <c r="J96" i="18"/>
  <c r="I43" i="18"/>
  <c r="I24" i="18"/>
  <c r="L48" i="15"/>
  <c r="J71" i="18"/>
  <c r="I17" i="18"/>
  <c r="L103" i="18"/>
  <c r="J83" i="15"/>
  <c r="I40" i="15"/>
  <c r="I47" i="18"/>
  <c r="J48" i="15"/>
  <c r="C58" i="15"/>
  <c r="C59" i="15"/>
  <c r="C70" i="15"/>
  <c r="C61" i="15"/>
  <c r="C71" i="15"/>
  <c r="C63" i="15"/>
  <c r="C78" i="15"/>
  <c r="C56" i="15"/>
  <c r="C68" i="15"/>
  <c r="C83" i="15"/>
  <c r="C57" i="15"/>
  <c r="C50" i="15"/>
  <c r="C66" i="15"/>
  <c r="C64" i="15"/>
  <c r="C65" i="15"/>
  <c r="C52" i="15"/>
  <c r="C80" i="15"/>
  <c r="C53" i="15"/>
  <c r="C81" i="15"/>
  <c r="C69" i="15"/>
  <c r="C79" i="15"/>
  <c r="C51" i="15"/>
  <c r="L67" i="18"/>
  <c r="K11" i="18"/>
  <c r="K67" i="18"/>
  <c r="J11" i="18"/>
  <c r="J67" i="18"/>
  <c r="I67" i="18"/>
  <c r="H11" i="18"/>
  <c r="H67" i="18"/>
  <c r="H64" i="18"/>
  <c r="A71" i="52"/>
  <c r="A82" i="52"/>
  <c r="G89" i="52"/>
  <c r="S89" i="52" s="1"/>
  <c r="AE89" i="52" s="1"/>
  <c r="A101" i="52"/>
  <c r="A63" i="52"/>
  <c r="A33" i="52"/>
  <c r="G47" i="52"/>
  <c r="S47" i="52" s="1"/>
  <c r="AE47" i="52" s="1"/>
  <c r="A58" i="52"/>
  <c r="A100" i="52"/>
  <c r="L93" i="18"/>
  <c r="L92" i="18"/>
  <c r="K92" i="18"/>
  <c r="K93" i="18"/>
  <c r="J87" i="18"/>
  <c r="J93" i="18"/>
  <c r="J92" i="18"/>
  <c r="I93" i="18"/>
  <c r="I92" i="18"/>
  <c r="H93" i="18"/>
  <c r="E93" i="18"/>
  <c r="E92" i="18"/>
  <c r="D93" i="18"/>
  <c r="D92" i="18"/>
  <c r="B92" i="18"/>
  <c r="B93" i="18"/>
  <c r="I68" i="15"/>
  <c r="K21" i="15"/>
  <c r="J36" i="15"/>
  <c r="J58" i="15"/>
  <c r="J79" i="15"/>
  <c r="J15" i="15"/>
  <c r="J39" i="18"/>
  <c r="J78" i="15"/>
  <c r="J68" i="15"/>
  <c r="J14" i="15"/>
  <c r="J28" i="15"/>
  <c r="J81" i="15"/>
  <c r="A35" i="52"/>
  <c r="A41" i="52"/>
  <c r="A93" i="52"/>
  <c r="A34" i="52"/>
  <c r="A76" i="52"/>
  <c r="A94" i="52"/>
  <c r="A21" i="52"/>
  <c r="A95" i="52"/>
  <c r="A64" i="52"/>
  <c r="A29" i="52"/>
  <c r="A78" i="52"/>
  <c r="G46" i="52"/>
  <c r="A96" i="52"/>
  <c r="A22" i="52"/>
  <c r="A36" i="52"/>
  <c r="A67" i="52"/>
  <c r="A97" i="52"/>
  <c r="A66" i="52"/>
  <c r="A24" i="52"/>
  <c r="A37" i="52"/>
  <c r="A25" i="52"/>
  <c r="A56" i="52"/>
  <c r="K80" i="15"/>
  <c r="J38" i="15"/>
  <c r="J65" i="15"/>
  <c r="J51" i="15"/>
  <c r="J8" i="15"/>
  <c r="K13" i="15"/>
  <c r="J18" i="15"/>
  <c r="K99" i="18"/>
  <c r="J25" i="15"/>
  <c r="J70" i="15"/>
  <c r="J71" i="15"/>
  <c r="J69" i="15"/>
  <c r="J66" i="15"/>
  <c r="L83" i="18"/>
  <c r="L84" i="18"/>
  <c r="L74" i="18"/>
  <c r="K86" i="18"/>
  <c r="K83" i="18"/>
  <c r="K84" i="18"/>
  <c r="J24" i="18"/>
  <c r="K74" i="18"/>
  <c r="J97" i="18"/>
  <c r="J83" i="18"/>
  <c r="J84" i="18"/>
  <c r="J77" i="18"/>
  <c r="J74" i="18"/>
  <c r="J65" i="18"/>
  <c r="I96" i="18"/>
  <c r="I83" i="18"/>
  <c r="I84" i="18"/>
  <c r="I80" i="18"/>
  <c r="I74" i="18"/>
  <c r="H83" i="18"/>
  <c r="H84" i="18"/>
  <c r="H74" i="18"/>
  <c r="L11" i="75"/>
  <c r="A99" i="18"/>
  <c r="L15" i="75"/>
  <c r="A95" i="18"/>
  <c r="L19" i="75"/>
  <c r="A91" i="18"/>
  <c r="L24" i="75"/>
  <c r="A86" i="18"/>
  <c r="L30" i="75"/>
  <c r="A80" i="18"/>
  <c r="L34" i="75"/>
  <c r="A76" i="18"/>
  <c r="L41" i="75"/>
  <c r="A69" i="18"/>
  <c r="L47" i="75"/>
  <c r="A63" i="18"/>
  <c r="K57" i="18"/>
  <c r="E83" i="18"/>
  <c r="E74" i="18"/>
  <c r="E84" i="18"/>
  <c r="E67" i="18"/>
  <c r="J57" i="18"/>
  <c r="D83" i="18"/>
  <c r="D74" i="18"/>
  <c r="D84" i="18"/>
  <c r="D67" i="18"/>
  <c r="B74" i="18"/>
  <c r="B67" i="18"/>
  <c r="B83" i="18"/>
  <c r="B84" i="18"/>
  <c r="K26" i="15"/>
  <c r="K38" i="15"/>
  <c r="J16" i="15"/>
  <c r="J23" i="15"/>
  <c r="J10" i="15"/>
  <c r="K68" i="15"/>
  <c r="J57" i="15"/>
  <c r="I63" i="15"/>
  <c r="I78" i="15"/>
  <c r="L7" i="75"/>
  <c r="A103" i="18"/>
  <c r="K5" i="15"/>
  <c r="E48" i="15" s="1"/>
  <c r="J73" i="18"/>
  <c r="K88" i="18"/>
  <c r="J72" i="18"/>
  <c r="I65" i="18"/>
  <c r="J34" i="18"/>
  <c r="J70" i="18"/>
  <c r="J64" i="18"/>
  <c r="K34" i="18"/>
  <c r="J88" i="18"/>
  <c r="J78" i="18"/>
  <c r="J63" i="18"/>
  <c r="K82" i="18"/>
  <c r="J101" i="18"/>
  <c r="J91" i="18"/>
  <c r="K12" i="18"/>
  <c r="J19" i="18"/>
  <c r="L77" i="18"/>
  <c r="J51" i="18"/>
  <c r="K103" i="18"/>
  <c r="J21" i="18"/>
  <c r="L101" i="18"/>
  <c r="L82" i="18"/>
  <c r="D91" i="18"/>
  <c r="J48" i="18"/>
  <c r="J66" i="18"/>
  <c r="J86" i="18"/>
  <c r="D69" i="18"/>
  <c r="J12" i="18"/>
  <c r="J47" i="18"/>
  <c r="L100" i="18"/>
  <c r="L78" i="18"/>
  <c r="A27" i="52"/>
  <c r="A69" i="52"/>
  <c r="A92" i="52"/>
  <c r="A38" i="52"/>
  <c r="A68" i="52"/>
  <c r="A99" i="52"/>
  <c r="A39" i="52"/>
  <c r="A23" i="52"/>
  <c r="A32" i="52"/>
  <c r="A40" i="52"/>
  <c r="A65" i="52"/>
  <c r="A74" i="52"/>
  <c r="A80" i="52"/>
  <c r="A50" i="52"/>
  <c r="N46" i="52"/>
  <c r="A98" i="52"/>
  <c r="A20" i="52"/>
  <c r="A28" i="52"/>
  <c r="K96" i="18"/>
  <c r="J44" i="18"/>
  <c r="J36" i="18"/>
  <c r="J81" i="18"/>
  <c r="J14" i="18"/>
  <c r="L71" i="18"/>
  <c r="L65" i="18"/>
  <c r="J43" i="18"/>
  <c r="K78" i="18"/>
  <c r="J100" i="18"/>
  <c r="J99" i="18"/>
  <c r="J82" i="18"/>
  <c r="P12" i="31"/>
  <c r="P15" i="31"/>
  <c r="K5" i="18"/>
  <c r="E57" i="18" s="1"/>
  <c r="D86" i="18"/>
  <c r="D99" i="18"/>
  <c r="D80" i="18"/>
  <c r="D95" i="18"/>
  <c r="D76" i="18"/>
  <c r="J26" i="15"/>
  <c r="J21" i="15"/>
  <c r="J9" i="15"/>
  <c r="J22" i="15"/>
  <c r="J64" i="15"/>
  <c r="I51" i="15"/>
  <c r="L66" i="15"/>
  <c r="L65" i="15"/>
  <c r="L56" i="15"/>
  <c r="K40" i="15"/>
  <c r="L50" i="15"/>
  <c r="K61" i="15"/>
  <c r="J80" i="15"/>
  <c r="J13" i="15"/>
  <c r="J59" i="15"/>
  <c r="I103" i="18"/>
  <c r="I59" i="18"/>
  <c r="A51" i="52"/>
  <c r="A53" i="52"/>
  <c r="A55" i="52"/>
  <c r="A57" i="52"/>
  <c r="A59" i="52"/>
  <c r="C46" i="52"/>
  <c r="K46" i="52"/>
  <c r="J53" i="15"/>
  <c r="J52" i="15"/>
  <c r="J50" i="15"/>
  <c r="I76" i="18"/>
  <c r="J61" i="15"/>
  <c r="I50" i="15"/>
  <c r="I56" i="15"/>
  <c r="I61" i="15"/>
  <c r="J56" i="15"/>
  <c r="J63" i="15"/>
  <c r="J69" i="18"/>
  <c r="J76" i="18"/>
  <c r="J80" i="18"/>
  <c r="J95" i="18"/>
  <c r="K30" i="18"/>
  <c r="E80" i="15"/>
  <c r="O268" i="21"/>
  <c r="H29" i="18"/>
  <c r="H20" i="18"/>
  <c r="H18" i="18"/>
  <c r="J5" i="18"/>
  <c r="D57" i="18" s="1"/>
  <c r="H57" i="18"/>
  <c r="H5" i="18"/>
  <c r="B57" i="18" s="1"/>
  <c r="O260" i="21"/>
  <c r="J5" i="15"/>
  <c r="D48" i="15" s="1"/>
  <c r="H7" i="18"/>
  <c r="J40" i="15"/>
  <c r="K56" i="15"/>
  <c r="K44" i="18"/>
  <c r="K36" i="18"/>
  <c r="K77" i="18"/>
  <c r="K8" i="15"/>
  <c r="L76" i="18"/>
  <c r="K50" i="15"/>
  <c r="I91" i="18"/>
  <c r="J30" i="18"/>
  <c r="E64" i="18"/>
  <c r="K95" i="18"/>
  <c r="K39" i="18"/>
  <c r="K91" i="18"/>
  <c r="J28" i="18"/>
  <c r="K80" i="18"/>
  <c r="K76" i="18"/>
  <c r="J17" i="18"/>
  <c r="K69" i="18"/>
  <c r="K73" i="18"/>
  <c r="K71" i="18"/>
  <c r="D65" i="18"/>
  <c r="D70" i="18"/>
  <c r="D72" i="18"/>
  <c r="D77" i="18"/>
  <c r="D81" i="18"/>
  <c r="E97" i="18"/>
  <c r="E100" i="18"/>
  <c r="B64" i="18"/>
  <c r="B66" i="18"/>
  <c r="B71" i="18"/>
  <c r="B73" i="18"/>
  <c r="B78" i="18"/>
  <c r="B82" i="18"/>
  <c r="B88" i="18"/>
  <c r="B97" i="18"/>
  <c r="K22" i="15"/>
  <c r="K16" i="15"/>
  <c r="J7" i="18"/>
  <c r="I97" i="18"/>
  <c r="I81" i="18"/>
  <c r="I66" i="18"/>
  <c r="K47" i="18"/>
  <c r="K59" i="18"/>
  <c r="J7" i="15"/>
  <c r="I69" i="18"/>
  <c r="E78" i="18"/>
  <c r="L64" i="18"/>
  <c r="K100" i="18"/>
  <c r="K29" i="18"/>
  <c r="K72" i="18"/>
  <c r="J18" i="18"/>
  <c r="K24" i="18"/>
  <c r="E76" i="18"/>
  <c r="K17" i="18"/>
  <c r="I99" i="18"/>
  <c r="I101" i="18"/>
  <c r="B91" i="18"/>
  <c r="H28" i="18"/>
  <c r="I82" i="18"/>
  <c r="B80" i="18"/>
  <c r="H17" i="18"/>
  <c r="I63" i="18"/>
  <c r="I64" i="18"/>
  <c r="L69" i="15"/>
  <c r="L57" i="15"/>
  <c r="K14" i="15"/>
  <c r="I81" i="15"/>
  <c r="L71" i="15"/>
  <c r="L59" i="15"/>
  <c r="L58" i="15"/>
  <c r="K79" i="15"/>
  <c r="E56" i="15"/>
  <c r="L81" i="18"/>
  <c r="K21" i="18"/>
  <c r="L80" i="18"/>
  <c r="K7" i="18"/>
  <c r="J59" i="18"/>
  <c r="I100" i="18"/>
  <c r="I95" i="18"/>
  <c r="B63" i="18"/>
  <c r="B76" i="18"/>
  <c r="B86" i="18"/>
  <c r="B95" i="18"/>
  <c r="B65" i="18"/>
  <c r="B70" i="18"/>
  <c r="B72" i="18"/>
  <c r="B77" i="18"/>
  <c r="B81" i="18"/>
  <c r="B87" i="18"/>
  <c r="B96" i="18"/>
  <c r="B100" i="18"/>
  <c r="K37" i="15"/>
  <c r="L61" i="15"/>
  <c r="K59" i="15"/>
  <c r="K63" i="15"/>
  <c r="I71" i="15"/>
  <c r="I70" i="15"/>
  <c r="I53" i="15"/>
  <c r="K19" i="18"/>
  <c r="K14" i="18"/>
  <c r="K13" i="18"/>
  <c r="K101" i="18"/>
  <c r="K87" i="18"/>
  <c r="H43" i="18"/>
  <c r="E95" i="18"/>
  <c r="E86" i="18"/>
  <c r="L80" i="15"/>
  <c r="K23" i="15"/>
  <c r="E66" i="15"/>
  <c r="K9" i="15"/>
  <c r="L51" i="15"/>
  <c r="K36" i="15"/>
  <c r="K15" i="15"/>
  <c r="I65" i="15"/>
  <c r="K18" i="15"/>
  <c r="K7" i="15"/>
  <c r="L52" i="15"/>
  <c r="L68" i="15"/>
  <c r="K70" i="15"/>
  <c r="L87" i="18"/>
  <c r="K26" i="18"/>
  <c r="J45" i="18"/>
  <c r="K97" i="18"/>
  <c r="K35" i="18"/>
  <c r="J29" i="18"/>
  <c r="K81" i="18"/>
  <c r="E81" i="18"/>
  <c r="J25" i="18"/>
  <c r="K20" i="18"/>
  <c r="J20" i="18"/>
  <c r="E72" i="18"/>
  <c r="K18" i="18"/>
  <c r="K70" i="18"/>
  <c r="E70" i="18"/>
  <c r="J13" i="18"/>
  <c r="H45" i="18"/>
  <c r="K43" i="18"/>
  <c r="L97" i="18"/>
  <c r="L96" i="18"/>
  <c r="K28" i="18"/>
  <c r="E88" i="18"/>
  <c r="E66" i="18"/>
  <c r="K28" i="15"/>
  <c r="L79" i="15"/>
  <c r="L70" i="15"/>
  <c r="L64" i="15"/>
  <c r="E64" i="15"/>
  <c r="L53" i="15"/>
  <c r="K10" i="15"/>
  <c r="E52" i="15"/>
  <c r="J37" i="15"/>
  <c r="J27" i="15"/>
  <c r="I66" i="15"/>
  <c r="L78" i="15"/>
  <c r="L81" i="15"/>
  <c r="K25" i="15"/>
  <c r="K20" i="15"/>
  <c r="L63" i="15"/>
  <c r="K35" i="15"/>
  <c r="J20" i="15"/>
  <c r="I64" i="15"/>
  <c r="K49" i="18"/>
  <c r="L88" i="18"/>
  <c r="K25" i="18"/>
  <c r="L70" i="18"/>
  <c r="L66" i="18"/>
  <c r="J49" i="18"/>
  <c r="K48" i="18"/>
  <c r="K45" i="18"/>
  <c r="J35" i="18"/>
  <c r="K65" i="18"/>
  <c r="I87" i="18"/>
  <c r="I77" i="18"/>
  <c r="I70" i="18"/>
  <c r="H48" i="18"/>
  <c r="H44" i="18"/>
  <c r="H35" i="18"/>
  <c r="H25" i="18"/>
  <c r="H13" i="18"/>
  <c r="L72" i="18"/>
  <c r="E63" i="18"/>
  <c r="K63" i="18"/>
  <c r="K64" i="18"/>
  <c r="K66" i="18"/>
  <c r="B99" i="18"/>
  <c r="I86" i="18"/>
  <c r="I88" i="18"/>
  <c r="H24" i="18"/>
  <c r="I78" i="18"/>
  <c r="I73" i="18"/>
  <c r="I72" i="18"/>
  <c r="I71" i="18"/>
  <c r="B69" i="18"/>
  <c r="H34" i="18"/>
  <c r="L57" i="18"/>
  <c r="E101" i="18"/>
  <c r="E99" i="18"/>
  <c r="E96" i="18"/>
  <c r="E91" i="18"/>
  <c r="E87" i="18"/>
  <c r="E82" i="18"/>
  <c r="E80" i="18"/>
  <c r="E77" i="18"/>
  <c r="E73" i="18"/>
  <c r="E71" i="18"/>
  <c r="E69" i="18"/>
  <c r="E65" i="18"/>
  <c r="K27" i="15"/>
  <c r="D70" i="15"/>
  <c r="J35" i="15"/>
  <c r="K78" i="15"/>
  <c r="K81" i="15"/>
  <c r="D50" i="15"/>
  <c r="D51" i="15"/>
  <c r="E57" i="15"/>
  <c r="E59" i="15"/>
  <c r="D63" i="15"/>
  <c r="E68" i="15"/>
  <c r="E71" i="15"/>
  <c r="E103" i="18"/>
  <c r="L59" i="18"/>
  <c r="K51" i="18"/>
  <c r="L63" i="18"/>
  <c r="L69" i="18"/>
  <c r="L86" i="18"/>
  <c r="L91" i="18"/>
  <c r="L95" i="18"/>
  <c r="L99" i="18"/>
  <c r="E79" i="15"/>
  <c r="H36" i="18"/>
  <c r="H21" i="18"/>
  <c r="H14" i="18"/>
  <c r="H12" i="18"/>
  <c r="H77" i="18"/>
  <c r="K69" i="15"/>
  <c r="K66" i="15"/>
  <c r="I79" i="15"/>
  <c r="H49" i="18"/>
  <c r="H26" i="18"/>
  <c r="H87" i="18"/>
  <c r="H65" i="18"/>
  <c r="D87" i="18"/>
  <c r="D96" i="18"/>
  <c r="D100" i="18"/>
  <c r="D103" i="18"/>
  <c r="K64" i="15"/>
  <c r="K65" i="15"/>
  <c r="J47" i="52"/>
  <c r="V47" i="52" s="1"/>
  <c r="AH47" i="52" s="1"/>
  <c r="J89" i="52"/>
  <c r="V89" i="52" s="1"/>
  <c r="AH89" i="52" s="1"/>
  <c r="H30" i="18"/>
  <c r="H19" i="18"/>
  <c r="P14" i="31"/>
  <c r="K71" i="15"/>
  <c r="D80" i="15"/>
  <c r="K57" i="15"/>
  <c r="I80" i="15"/>
  <c r="I52" i="15"/>
  <c r="K58" i="15"/>
  <c r="K53" i="15"/>
  <c r="K52" i="15"/>
  <c r="K51" i="15"/>
  <c r="I69" i="15"/>
  <c r="I59" i="15"/>
  <c r="I58" i="15"/>
  <c r="I57" i="15"/>
  <c r="E51" i="15"/>
  <c r="E53" i="15"/>
  <c r="D57" i="15"/>
  <c r="E58" i="15"/>
  <c r="E61" i="15"/>
  <c r="E63" i="15"/>
  <c r="E65" i="15"/>
  <c r="D68" i="15"/>
  <c r="E69" i="15"/>
  <c r="E70" i="15"/>
  <c r="E78" i="15"/>
  <c r="E81" i="15"/>
  <c r="E83" i="15"/>
  <c r="H39" i="18"/>
  <c r="H47" i="18"/>
  <c r="H82" i="18"/>
  <c r="H88" i="18"/>
  <c r="H97" i="18"/>
  <c r="H73" i="18"/>
  <c r="D59" i="18"/>
  <c r="E50" i="15"/>
  <c r="D52" i="15"/>
  <c r="D53" i="15"/>
  <c r="D58" i="15"/>
  <c r="D59" i="15"/>
  <c r="D64" i="15"/>
  <c r="D65" i="15"/>
  <c r="D71" i="15"/>
  <c r="D78" i="15"/>
  <c r="D64" i="18"/>
  <c r="D66" i="18"/>
  <c r="D71" i="18"/>
  <c r="D73" i="18"/>
  <c r="D78" i="18"/>
  <c r="D82" i="18"/>
  <c r="D88" i="18"/>
  <c r="D97" i="18"/>
  <c r="D101" i="18"/>
  <c r="D63" i="18"/>
  <c r="L47" i="52"/>
  <c r="X47" i="52" s="1"/>
  <c r="AJ47" i="52" s="1"/>
  <c r="L89" i="52"/>
  <c r="X89" i="52" s="1"/>
  <c r="AJ89" i="52" s="1"/>
  <c r="H66" i="18"/>
  <c r="H70" i="18"/>
  <c r="H81" i="18"/>
  <c r="H100" i="18"/>
  <c r="H101" i="18"/>
  <c r="H71" i="18"/>
  <c r="E59" i="18"/>
  <c r="D56" i="15"/>
  <c r="D61" i="15"/>
  <c r="D66" i="15"/>
  <c r="D81" i="15"/>
  <c r="H78" i="18"/>
  <c r="H72" i="18"/>
  <c r="D69" i="15"/>
  <c r="D79" i="15"/>
  <c r="D83" i="15"/>
  <c r="F47" i="52"/>
  <c r="R47" i="52" s="1"/>
  <c r="AD47" i="52" s="1"/>
  <c r="H47" i="52"/>
  <c r="T47" i="52" s="1"/>
  <c r="AF47" i="52" s="1"/>
  <c r="K47" i="52"/>
  <c r="W47" i="52" s="1"/>
  <c r="AI47" i="52" s="1"/>
  <c r="F89" i="52"/>
  <c r="R89" i="52" s="1"/>
  <c r="AD89" i="52" s="1"/>
  <c r="H89" i="52"/>
  <c r="T89" i="52" s="1"/>
  <c r="AF89" i="52" s="1"/>
  <c r="K89" i="52"/>
  <c r="W89" i="52" s="1"/>
  <c r="AI89" i="52" s="1"/>
  <c r="F7" i="44" l="1"/>
  <c r="F8" i="44"/>
  <c r="F9" i="44"/>
  <c r="F18" i="44"/>
  <c r="F10" i="44"/>
  <c r="F11" i="44"/>
  <c r="F12" i="44"/>
  <c r="F13" i="44"/>
  <c r="B5" i="44"/>
  <c r="B11" i="44"/>
  <c r="B6" i="44"/>
  <c r="B8" i="44"/>
  <c r="B10" i="44"/>
  <c r="B12" i="44"/>
  <c r="B7" i="44"/>
  <c r="B9" i="44"/>
  <c r="B13" i="44"/>
  <c r="D6" i="44"/>
  <c r="D8" i="44"/>
  <c r="F50" i="44" s="1"/>
  <c r="D10" i="44"/>
  <c r="D12" i="44"/>
  <c r="D5" i="44"/>
  <c r="F33" i="44" s="1"/>
  <c r="D9" i="44"/>
  <c r="D13" i="44"/>
  <c r="D7" i="44"/>
  <c r="D11" i="44"/>
  <c r="C18" i="44"/>
  <c r="C7" i="44"/>
  <c r="C11" i="44"/>
  <c r="C6" i="44"/>
  <c r="C8" i="44"/>
  <c r="C10" i="44"/>
  <c r="C12" i="44"/>
  <c r="B54" i="44" s="1"/>
  <c r="C5" i="44"/>
  <c r="C9" i="44"/>
  <c r="C13" i="44"/>
  <c r="E18" i="44"/>
  <c r="E6" i="44"/>
  <c r="E34" i="44" s="1"/>
  <c r="E8" i="44"/>
  <c r="E36" i="44" s="1"/>
  <c r="E10" i="44"/>
  <c r="E12" i="44"/>
  <c r="E7" i="44"/>
  <c r="E11" i="44"/>
  <c r="D53" i="44" s="1"/>
  <c r="E5" i="44"/>
  <c r="E47" i="44" s="1"/>
  <c r="E9" i="44"/>
  <c r="E51" i="44" s="1"/>
  <c r="E13" i="44"/>
  <c r="E32" i="44"/>
  <c r="E46" i="44"/>
  <c r="C32" i="44"/>
  <c r="B18" i="44"/>
  <c r="B32" i="44"/>
  <c r="L231" i="21"/>
  <c r="L261" i="21" s="1"/>
  <c r="L234" i="21"/>
  <c r="L264" i="21" s="1"/>
  <c r="L235" i="21"/>
  <c r="L265" i="21" s="1"/>
  <c r="L233" i="21"/>
  <c r="L263" i="21" s="1"/>
  <c r="L232" i="21"/>
  <c r="L262" i="21" s="1"/>
  <c r="L236" i="21"/>
  <c r="L266" i="21" s="1"/>
  <c r="B46" i="44"/>
  <c r="F46" i="44"/>
  <c r="F32" i="44"/>
  <c r="D32" i="44"/>
  <c r="D46" i="44"/>
  <c r="D18" i="44"/>
  <c r="C46" i="44"/>
  <c r="J11" i="78"/>
  <c r="J48" i="78" s="1"/>
  <c r="J85" i="78" s="1"/>
  <c r="U28" i="78"/>
  <c r="U65" i="78" s="1"/>
  <c r="U102" i="78" s="1"/>
  <c r="U11" i="78"/>
  <c r="U48" i="78" s="1"/>
  <c r="U85" i="78" s="1"/>
  <c r="U32" i="78"/>
  <c r="U69" i="78" s="1"/>
  <c r="U106" i="78" s="1"/>
  <c r="J24" i="78"/>
  <c r="J61" i="78" s="1"/>
  <c r="J98" i="78" s="1"/>
  <c r="U24" i="78"/>
  <c r="U61" i="78" s="1"/>
  <c r="U98" i="78" s="1"/>
  <c r="J19" i="78"/>
  <c r="J56" i="78" s="1"/>
  <c r="J93" i="78" s="1"/>
  <c r="J16" i="78"/>
  <c r="J53" i="78" s="1"/>
  <c r="J90" i="78" s="1"/>
  <c r="U19" i="78"/>
  <c r="U56" i="78" s="1"/>
  <c r="U93" i="78" s="1"/>
  <c r="U16" i="78"/>
  <c r="U53" i="78" s="1"/>
  <c r="U90" i="78" s="1"/>
  <c r="J28" i="78"/>
  <c r="J65" i="78" s="1"/>
  <c r="J102" i="78" s="1"/>
  <c r="U17" i="78"/>
  <c r="U54" i="78" s="1"/>
  <c r="U91" i="78" s="1"/>
  <c r="B36" i="44" l="1"/>
  <c r="F49" i="44"/>
  <c r="E52" i="44"/>
  <c r="F52" i="44"/>
  <c r="E49" i="44"/>
  <c r="B53" i="44"/>
  <c r="E40" i="44"/>
  <c r="E35" i="44"/>
  <c r="E38" i="44"/>
  <c r="E54" i="44"/>
  <c r="E39" i="44"/>
  <c r="E33" i="44"/>
  <c r="B39" i="44"/>
  <c r="E53" i="44"/>
  <c r="E37" i="44"/>
  <c r="F40" i="44"/>
  <c r="B40" i="44"/>
  <c r="F15" i="44"/>
  <c r="F19" i="44" s="1"/>
  <c r="E50" i="44"/>
  <c r="E41" i="44"/>
  <c r="E15" i="44"/>
  <c r="E25" i="44" s="1"/>
  <c r="E48" i="44"/>
  <c r="D48" i="44"/>
  <c r="E55" i="44"/>
  <c r="B48" i="44"/>
  <c r="B34" i="44"/>
  <c r="B38" i="44"/>
  <c r="B50" i="44"/>
  <c r="B55" i="44"/>
  <c r="C15" i="44"/>
  <c r="C20" i="44" s="1"/>
  <c r="B15" i="44"/>
  <c r="B21" i="44" s="1"/>
  <c r="B49" i="44"/>
  <c r="B51" i="44"/>
  <c r="B52" i="44"/>
  <c r="B41" i="44"/>
  <c r="B35" i="44"/>
  <c r="B33" i="44"/>
  <c r="B47" i="44"/>
  <c r="B37" i="44"/>
  <c r="C37" i="44"/>
  <c r="C41" i="44"/>
  <c r="D34" i="44"/>
  <c r="D36" i="44"/>
  <c r="C39" i="44"/>
  <c r="D39" i="44"/>
  <c r="F53" i="44"/>
  <c r="D55" i="44"/>
  <c r="F38" i="44"/>
  <c r="C38" i="44"/>
  <c r="D54" i="44"/>
  <c r="C40" i="44"/>
  <c r="D47" i="44"/>
  <c r="D52" i="44"/>
  <c r="C33" i="44"/>
  <c r="F51" i="44"/>
  <c r="F55" i="44"/>
  <c r="D37" i="44"/>
  <c r="C35" i="44"/>
  <c r="F35" i="44"/>
  <c r="D38" i="44"/>
  <c r="C51" i="44"/>
  <c r="F37" i="44"/>
  <c r="D49" i="44"/>
  <c r="C36" i="44"/>
  <c r="D35" i="44"/>
  <c r="C53" i="44"/>
  <c r="D50" i="44"/>
  <c r="C48" i="44"/>
  <c r="F34" i="44"/>
  <c r="C54" i="44"/>
  <c r="D40" i="44"/>
  <c r="D15" i="44"/>
  <c r="D22" i="44" s="1"/>
  <c r="C47" i="44"/>
  <c r="F54" i="44"/>
  <c r="F39" i="44"/>
  <c r="F47" i="44"/>
  <c r="C50" i="44"/>
  <c r="F36" i="44"/>
  <c r="C49" i="44"/>
  <c r="C55" i="44"/>
  <c r="D41" i="44"/>
  <c r="F41" i="44"/>
  <c r="C34" i="44"/>
  <c r="C52" i="44"/>
  <c r="F48" i="44"/>
  <c r="D51" i="44"/>
  <c r="D33" i="44"/>
  <c r="J19" i="71"/>
  <c r="J16" i="71"/>
  <c r="J11" i="71"/>
  <c r="J32" i="78"/>
  <c r="J69" i="78" s="1"/>
  <c r="J106" i="78" s="1"/>
  <c r="J24" i="71"/>
  <c r="J28" i="71"/>
  <c r="J22" i="78"/>
  <c r="J59" i="78" s="1"/>
  <c r="J96" i="78" s="1"/>
  <c r="U29" i="78"/>
  <c r="U66" i="78" s="1"/>
  <c r="U103" i="78" s="1"/>
  <c r="U22" i="78"/>
  <c r="U59" i="78" s="1"/>
  <c r="U96" i="78" s="1"/>
  <c r="J9" i="78"/>
  <c r="J46" i="78" s="1"/>
  <c r="J83" i="78" s="1"/>
  <c r="U15" i="78"/>
  <c r="U52" i="78" s="1"/>
  <c r="U89" i="78" s="1"/>
  <c r="J10" i="78"/>
  <c r="J47" i="78" s="1"/>
  <c r="J84" i="78" s="1"/>
  <c r="U25" i="78"/>
  <c r="U62" i="78" s="1"/>
  <c r="U99" i="78" s="1"/>
  <c r="J14" i="78"/>
  <c r="J51" i="78" s="1"/>
  <c r="J88" i="78" s="1"/>
  <c r="U21" i="78"/>
  <c r="U58" i="78" s="1"/>
  <c r="U95" i="78" s="1"/>
  <c r="U13" i="78"/>
  <c r="U50" i="78" s="1"/>
  <c r="U87" i="78" s="1"/>
  <c r="J13" i="78"/>
  <c r="J50" i="78" s="1"/>
  <c r="J87" i="78" s="1"/>
  <c r="J21" i="78"/>
  <c r="J58" i="78" s="1"/>
  <c r="J95" i="78" s="1"/>
  <c r="J25" i="78"/>
  <c r="J62" i="78" s="1"/>
  <c r="J99" i="78" s="1"/>
  <c r="U14" i="78"/>
  <c r="U51" i="78" s="1"/>
  <c r="U88" i="78" s="1"/>
  <c r="U9" i="78"/>
  <c r="U46" i="78" s="1"/>
  <c r="U83" i="78" s="1"/>
  <c r="J29" i="78"/>
  <c r="J66" i="78" s="1"/>
  <c r="J103" i="78" s="1"/>
  <c r="J15" i="78"/>
  <c r="J52" i="78" s="1"/>
  <c r="J89" i="78" s="1"/>
  <c r="U20" i="78"/>
  <c r="U57" i="78" s="1"/>
  <c r="U94" i="78" s="1"/>
  <c r="J20" i="78"/>
  <c r="J57" i="78" s="1"/>
  <c r="J94" i="78" s="1"/>
  <c r="U10" i="78"/>
  <c r="U47" i="78" s="1"/>
  <c r="U84" i="78" s="1"/>
  <c r="F21" i="44" l="1"/>
  <c r="C29" i="44"/>
  <c r="F27" i="44"/>
  <c r="B22" i="44"/>
  <c r="B27" i="44"/>
  <c r="F29" i="44"/>
  <c r="B25" i="44"/>
  <c r="C21" i="44"/>
  <c r="F25" i="44"/>
  <c r="E29" i="44"/>
  <c r="E21" i="44"/>
  <c r="C23" i="44"/>
  <c r="E20" i="44"/>
  <c r="E43" i="44"/>
  <c r="B43" i="44"/>
  <c r="F23" i="44"/>
  <c r="F22" i="44"/>
  <c r="F26" i="44"/>
  <c r="E57" i="44"/>
  <c r="E24" i="44"/>
  <c r="E19" i="44"/>
  <c r="E23" i="44"/>
  <c r="E27" i="44"/>
  <c r="B24" i="44"/>
  <c r="E26" i="44"/>
  <c r="F20" i="44"/>
  <c r="E22" i="44"/>
  <c r="B57" i="44"/>
  <c r="B26" i="44"/>
  <c r="B19" i="44"/>
  <c r="B29" i="44"/>
  <c r="B23" i="44"/>
  <c r="F24" i="44"/>
  <c r="C27" i="44"/>
  <c r="B20" i="44"/>
  <c r="C22" i="44"/>
  <c r="C26" i="44"/>
  <c r="C24" i="44"/>
  <c r="C25" i="44"/>
  <c r="C19" i="44"/>
  <c r="J53" i="71"/>
  <c r="J90" i="71" s="1"/>
  <c r="Q45" i="31"/>
  <c r="J65" i="71"/>
  <c r="J102" i="71" s="1"/>
  <c r="Q57" i="31"/>
  <c r="J61" i="71"/>
  <c r="J98" i="71" s="1"/>
  <c r="Q53" i="31"/>
  <c r="J48" i="71"/>
  <c r="J85" i="71" s="1"/>
  <c r="Q40" i="31"/>
  <c r="J56" i="71"/>
  <c r="J93" i="71" s="1"/>
  <c r="Q48" i="31"/>
  <c r="D27" i="44"/>
  <c r="D26" i="44"/>
  <c r="D19" i="44"/>
  <c r="D43" i="44"/>
  <c r="D23" i="44"/>
  <c r="D21" i="44"/>
  <c r="D25" i="44"/>
  <c r="C57" i="44"/>
  <c r="D29" i="44"/>
  <c r="F43" i="44"/>
  <c r="C43" i="44"/>
  <c r="D24" i="44"/>
  <c r="D57" i="44"/>
  <c r="D20" i="44"/>
  <c r="F57" i="44"/>
  <c r="T72" i="78"/>
  <c r="T109" i="78"/>
  <c r="J32" i="71"/>
  <c r="U35" i="78"/>
  <c r="U72" i="78" s="1"/>
  <c r="U109" i="78" s="1"/>
  <c r="J21" i="71"/>
  <c r="J14" i="71"/>
  <c r="J29" i="71"/>
  <c r="J22" i="71"/>
  <c r="J20" i="71"/>
  <c r="J10" i="71"/>
  <c r="J25" i="71"/>
  <c r="J13" i="71"/>
  <c r="J15" i="71"/>
  <c r="J35" i="71" l="1"/>
  <c r="J72" i="71" s="1"/>
  <c r="J57" i="71"/>
  <c r="J94" i="71" s="1"/>
  <c r="Q49" i="31"/>
  <c r="J66" i="71"/>
  <c r="J103" i="71" s="1"/>
  <c r="Q58" i="31"/>
  <c r="J59" i="71"/>
  <c r="J96" i="71" s="1"/>
  <c r="Q51" i="31"/>
  <c r="J58" i="71"/>
  <c r="J95" i="71" s="1"/>
  <c r="Q50" i="31"/>
  <c r="J51" i="71"/>
  <c r="J88" i="71" s="1"/>
  <c r="Q43" i="31"/>
  <c r="J50" i="71"/>
  <c r="J87" i="71" s="1"/>
  <c r="Q42" i="31"/>
  <c r="J69" i="71"/>
  <c r="J106" i="71" s="1"/>
  <c r="Q61" i="31"/>
  <c r="J52" i="71"/>
  <c r="J89" i="71" s="1"/>
  <c r="Q44" i="31"/>
  <c r="J62" i="71"/>
  <c r="J99" i="71" s="1"/>
  <c r="Q54" i="31"/>
  <c r="J47" i="71"/>
  <c r="J84" i="71" s="1"/>
  <c r="Q39" i="31"/>
  <c r="J46" i="71"/>
  <c r="J83" i="71" s="1"/>
  <c r="J35" i="78"/>
  <c r="J72" i="78" s="1"/>
  <c r="J109" i="78" s="1"/>
  <c r="J109" i="71" l="1"/>
  <c r="Q64" i="31"/>
  <c r="I47" i="16" l="1"/>
  <c r="I50" i="16"/>
  <c r="I52" i="16"/>
  <c r="I49" i="16"/>
  <c r="I54" i="16"/>
  <c r="C85" i="60"/>
  <c r="I85" i="60" s="1"/>
  <c r="O85" i="60" s="1"/>
  <c r="U85" i="60" s="1"/>
  <c r="J26" i="16" l="1"/>
  <c r="J46" i="16" s="1"/>
  <c r="I48" i="16"/>
  <c r="I51" i="16"/>
  <c r="J13" i="16"/>
  <c r="J31" i="16" s="1"/>
  <c r="J51" i="16" s="1"/>
  <c r="J10" i="16"/>
  <c r="J28" i="16" s="1"/>
  <c r="J48" i="16" s="1"/>
  <c r="J9" i="16"/>
  <c r="J27" i="16" s="1"/>
  <c r="J47" i="16" s="1"/>
  <c r="J11" i="16"/>
  <c r="J29" i="16" s="1"/>
  <c r="J49" i="16" s="1"/>
  <c r="J14" i="16"/>
  <c r="J32" i="16" s="1"/>
  <c r="J52" i="16" s="1"/>
  <c r="I18" i="16"/>
  <c r="I36" i="16" s="1"/>
  <c r="J12" i="16"/>
  <c r="J30" i="16" s="1"/>
  <c r="J50" i="16" s="1"/>
  <c r="J15" i="16"/>
  <c r="J33" i="16" s="1"/>
  <c r="J53" i="16" s="1"/>
  <c r="C58" i="60"/>
  <c r="I58" i="60" s="1"/>
  <c r="O58" i="60" s="1"/>
  <c r="U58" i="60" s="1"/>
  <c r="I6" i="60"/>
  <c r="O6" i="60" s="1"/>
  <c r="U6" i="60" s="1"/>
  <c r="A1" i="60"/>
  <c r="Y80" i="60"/>
  <c r="T89" i="60"/>
  <c r="H87" i="60"/>
  <c r="T61" i="60"/>
  <c r="N62" i="60"/>
  <c r="H63" i="60"/>
  <c r="T37" i="60"/>
  <c r="T21" i="60"/>
  <c r="N47" i="60"/>
  <c r="N31" i="60"/>
  <c r="N15" i="60"/>
  <c r="H41" i="60"/>
  <c r="H25" i="60"/>
  <c r="H9" i="60"/>
  <c r="B68" i="60"/>
  <c r="B15" i="60"/>
  <c r="B31" i="60"/>
  <c r="B47" i="60"/>
  <c r="N87" i="60"/>
  <c r="T68" i="60"/>
  <c r="N69" i="60"/>
  <c r="H70" i="60"/>
  <c r="T44" i="60"/>
  <c r="T28" i="60"/>
  <c r="T12" i="60"/>
  <c r="N38" i="60"/>
  <c r="N22" i="60"/>
  <c r="H48" i="60"/>
  <c r="H32" i="60"/>
  <c r="H16" i="60"/>
  <c r="B61" i="60"/>
  <c r="B60" i="60"/>
  <c r="B24" i="60"/>
  <c r="B40" i="60"/>
  <c r="N90" i="60"/>
  <c r="T71" i="60"/>
  <c r="N72" i="60"/>
  <c r="H73" i="60"/>
  <c r="T47" i="60"/>
  <c r="T31" i="60"/>
  <c r="T15" i="60"/>
  <c r="N41" i="60"/>
  <c r="N25" i="60"/>
  <c r="N9" i="60"/>
  <c r="H35" i="60"/>
  <c r="H19" i="60"/>
  <c r="B92" i="60"/>
  <c r="B74" i="60"/>
  <c r="B21" i="60"/>
  <c r="B37" i="60"/>
  <c r="T90" i="60"/>
  <c r="H88" i="60"/>
  <c r="T62" i="60"/>
  <c r="N63" i="60"/>
  <c r="H64" i="60"/>
  <c r="T38" i="60"/>
  <c r="T22" i="60"/>
  <c r="N48" i="60"/>
  <c r="N32" i="60"/>
  <c r="N16" i="60"/>
  <c r="H42" i="60"/>
  <c r="H26" i="60"/>
  <c r="H10" i="60"/>
  <c r="B67" i="60"/>
  <c r="B14" i="60"/>
  <c r="B30" i="60"/>
  <c r="B46" i="60"/>
  <c r="T94" i="60"/>
  <c r="H91" i="60"/>
  <c r="T65" i="60"/>
  <c r="N66" i="60"/>
  <c r="H67" i="60"/>
  <c r="T41" i="60"/>
  <c r="T25" i="60"/>
  <c r="T9" i="60"/>
  <c r="N35" i="60"/>
  <c r="N19" i="60"/>
  <c r="H45" i="60"/>
  <c r="H29" i="60"/>
  <c r="H13" i="60"/>
  <c r="B64" i="60"/>
  <c r="B11" i="60"/>
  <c r="B27" i="60"/>
  <c r="B43" i="60"/>
  <c r="N91" i="60"/>
  <c r="T72" i="60"/>
  <c r="N73" i="60"/>
  <c r="H74" i="60"/>
  <c r="T48" i="60"/>
  <c r="T32" i="60"/>
  <c r="T16" i="60"/>
  <c r="N42" i="60"/>
  <c r="N26" i="60"/>
  <c r="N10" i="60"/>
  <c r="H36" i="60"/>
  <c r="H20" i="60"/>
  <c r="B91" i="60"/>
  <c r="B73" i="60"/>
  <c r="B20" i="60"/>
  <c r="B36" i="60"/>
  <c r="T87" i="60"/>
  <c r="T75" i="60"/>
  <c r="N77" i="60"/>
  <c r="N60" i="60"/>
  <c r="H61" i="60"/>
  <c r="T35" i="60"/>
  <c r="T19" i="60"/>
  <c r="N45" i="60"/>
  <c r="N29" i="60"/>
  <c r="N13" i="60"/>
  <c r="H39" i="60"/>
  <c r="H23" i="60"/>
  <c r="B88" i="60"/>
  <c r="B70" i="60"/>
  <c r="B17" i="60"/>
  <c r="B33" i="60"/>
  <c r="B50" i="60"/>
  <c r="H92" i="60"/>
  <c r="T66" i="60"/>
  <c r="N67" i="60"/>
  <c r="H68" i="60"/>
  <c r="T42" i="60"/>
  <c r="T26" i="60"/>
  <c r="T10" i="60"/>
  <c r="N36" i="60"/>
  <c r="N20" i="60"/>
  <c r="H46" i="60"/>
  <c r="H30" i="60"/>
  <c r="H14" i="60"/>
  <c r="B63" i="60"/>
  <c r="B26" i="60"/>
  <c r="A80" i="60"/>
  <c r="Y53" i="60"/>
  <c r="A53" i="60"/>
  <c r="Y1" i="60"/>
  <c r="N88" i="60"/>
  <c r="T69" i="60"/>
  <c r="N70" i="60"/>
  <c r="H71" i="60"/>
  <c r="T45" i="60"/>
  <c r="T29" i="60"/>
  <c r="T13" i="60"/>
  <c r="N39" i="60"/>
  <c r="N23" i="60"/>
  <c r="H50" i="60"/>
  <c r="H33" i="60"/>
  <c r="H17" i="60"/>
  <c r="B87" i="60"/>
  <c r="B77" i="60"/>
  <c r="B23" i="60"/>
  <c r="B39" i="60"/>
  <c r="T88" i="60"/>
  <c r="T77" i="60"/>
  <c r="T60" i="60"/>
  <c r="N61" i="60"/>
  <c r="H62" i="60"/>
  <c r="T36" i="60"/>
  <c r="T20" i="60"/>
  <c r="N46" i="60"/>
  <c r="N30" i="60"/>
  <c r="N14" i="60"/>
  <c r="H40" i="60"/>
  <c r="H24" i="60"/>
  <c r="H8" i="60"/>
  <c r="B69" i="60"/>
  <c r="B16" i="60"/>
  <c r="B32" i="60"/>
  <c r="T91" i="60"/>
  <c r="H89" i="60"/>
  <c r="T63" i="60"/>
  <c r="N64" i="60"/>
  <c r="H65" i="60"/>
  <c r="T39" i="60"/>
  <c r="T23" i="60"/>
  <c r="N50" i="60"/>
  <c r="N33" i="60"/>
  <c r="N17" i="60"/>
  <c r="H43" i="60"/>
  <c r="H27" i="60"/>
  <c r="H11" i="60"/>
  <c r="B66" i="60"/>
  <c r="B13" i="60"/>
  <c r="B29" i="60"/>
  <c r="B45" i="60"/>
  <c r="N89" i="60"/>
  <c r="T70" i="60"/>
  <c r="N71" i="60"/>
  <c r="H72" i="60"/>
  <c r="T46" i="60"/>
  <c r="T30" i="60"/>
  <c r="T14" i="60"/>
  <c r="N40" i="60"/>
  <c r="N24" i="60"/>
  <c r="N8" i="60"/>
  <c r="H34" i="60"/>
  <c r="H18" i="60"/>
  <c r="B94" i="60"/>
  <c r="B75" i="60"/>
  <c r="B22" i="60"/>
  <c r="B38" i="60"/>
  <c r="B44" i="60"/>
  <c r="N92" i="60"/>
  <c r="T73" i="60"/>
  <c r="N74" i="60"/>
  <c r="H75" i="60"/>
  <c r="T50" i="60"/>
  <c r="T33" i="60"/>
  <c r="T17" i="60"/>
  <c r="N43" i="60"/>
  <c r="N27" i="60"/>
  <c r="N11" i="60"/>
  <c r="H37" i="60"/>
  <c r="H21" i="60"/>
  <c r="B90" i="60"/>
  <c r="B72" i="60"/>
  <c r="B19" i="60"/>
  <c r="B35" i="60"/>
  <c r="T92" i="60"/>
  <c r="H90" i="60"/>
  <c r="T64" i="60"/>
  <c r="N65" i="60"/>
  <c r="H66" i="60"/>
  <c r="T40" i="60"/>
  <c r="T24" i="60"/>
  <c r="T8" i="60"/>
  <c r="N34" i="60"/>
  <c r="N18" i="60"/>
  <c r="H44" i="60"/>
  <c r="H28" i="60"/>
  <c r="H12" i="60"/>
  <c r="B65" i="60"/>
  <c r="B12" i="60"/>
  <c r="B28" i="60"/>
  <c r="B48" i="60"/>
  <c r="H94" i="60"/>
  <c r="T67" i="60"/>
  <c r="N68" i="60"/>
  <c r="H69" i="60"/>
  <c r="T43" i="60"/>
  <c r="T27" i="60"/>
  <c r="T11" i="60"/>
  <c r="N37" i="60"/>
  <c r="N21" i="60"/>
  <c r="H47" i="60"/>
  <c r="H31" i="60"/>
  <c r="H15" i="60"/>
  <c r="B62" i="60"/>
  <c r="B9" i="60"/>
  <c r="B25" i="60"/>
  <c r="B41" i="60"/>
  <c r="N94" i="60"/>
  <c r="T74" i="60"/>
  <c r="N75" i="60"/>
  <c r="H77" i="60"/>
  <c r="H60" i="60"/>
  <c r="T34" i="60"/>
  <c r="T18" i="60"/>
  <c r="N44" i="60"/>
  <c r="N28" i="60"/>
  <c r="N12" i="60"/>
  <c r="H38" i="60"/>
  <c r="H22" i="60"/>
  <c r="B89" i="60"/>
  <c r="B71" i="60"/>
  <c r="B18" i="60"/>
  <c r="B34" i="60"/>
  <c r="B10" i="60"/>
  <c r="B42" i="60"/>
  <c r="B8" i="60"/>
  <c r="I56" i="16" l="1"/>
  <c r="J18" i="16"/>
  <c r="J36" i="16" s="1"/>
  <c r="J56" i="16" s="1"/>
  <c r="Q15" i="31"/>
  <c r="Q11" i="31"/>
  <c r="Q13" i="31"/>
  <c r="Q9" i="31"/>
  <c r="Q14" i="31"/>
  <c r="Q8" i="31"/>
  <c r="Q10" i="31"/>
  <c r="Q12" i="31"/>
  <c r="B61" i="12" l="1"/>
  <c r="B89" i="12"/>
  <c r="A31" i="11"/>
  <c r="B19" i="11"/>
  <c r="M230" i="21" s="1"/>
  <c r="B31" i="12"/>
  <c r="M4" i="11"/>
  <c r="B44" i="11"/>
  <c r="B5" i="15"/>
  <c r="A1" i="15" s="1"/>
  <c r="A59" i="12"/>
  <c r="A257" i="21" l="1"/>
  <c r="A227" i="21"/>
  <c r="B87" i="15"/>
  <c r="M6" i="19" s="1"/>
  <c r="A1" i="19" s="1"/>
  <c r="B110" i="15"/>
  <c r="M19" i="19" s="1"/>
  <c r="B104" i="15"/>
  <c r="M25" i="19" s="1"/>
  <c r="B118" i="15"/>
  <c r="M11" i="19" s="1"/>
  <c r="B111" i="15"/>
  <c r="M18" i="19" s="1"/>
  <c r="B105" i="15"/>
  <c r="M24" i="19" s="1"/>
  <c r="B112" i="15"/>
  <c r="M17" i="19" s="1"/>
  <c r="B119" i="15"/>
  <c r="M10" i="19" s="1"/>
  <c r="B113" i="15"/>
  <c r="M16" i="19" s="1"/>
  <c r="B108" i="15"/>
  <c r="M21" i="19" s="1"/>
  <c r="B114" i="15"/>
  <c r="M15" i="19" s="1"/>
  <c r="B120" i="15"/>
  <c r="M9" i="19" s="1"/>
  <c r="B93" i="15"/>
  <c r="M36" i="19" s="1"/>
  <c r="B109" i="15"/>
  <c r="M20" i="19" s="1"/>
  <c r="B115" i="15"/>
  <c r="M14" i="19" s="1"/>
  <c r="B103" i="15"/>
  <c r="M26" i="19" s="1"/>
  <c r="B65" i="15"/>
  <c r="A44" i="15"/>
  <c r="B81" i="15"/>
  <c r="B71" i="15"/>
  <c r="B76" i="15"/>
  <c r="B74" i="15"/>
  <c r="B75" i="15"/>
  <c r="B72" i="15"/>
  <c r="B73" i="15"/>
  <c r="B54" i="15"/>
  <c r="H5" i="15"/>
  <c r="B48" i="15" s="1"/>
  <c r="H48" i="15"/>
  <c r="B93" i="12" l="1"/>
  <c r="B66" i="12"/>
  <c r="B15" i="15"/>
  <c r="B97" i="15" s="1"/>
  <c r="M32" i="19" s="1"/>
  <c r="B47" i="11"/>
  <c r="M7" i="11"/>
  <c r="B18" i="15"/>
  <c r="B100" i="15" s="1"/>
  <c r="M29" i="19" s="1"/>
  <c r="B67" i="12"/>
  <c r="B16" i="15"/>
  <c r="B98" i="15" s="1"/>
  <c r="M31" i="19" s="1"/>
  <c r="B94" i="12"/>
  <c r="B50" i="11"/>
  <c r="B35" i="15"/>
  <c r="B117" i="15" s="1"/>
  <c r="M12" i="19" s="1"/>
  <c r="M10" i="11"/>
  <c r="B13" i="15"/>
  <c r="B95" i="15" s="1"/>
  <c r="M34" i="19" s="1"/>
  <c r="B46" i="11"/>
  <c r="M6" i="11"/>
  <c r="B104" i="12"/>
  <c r="B100" i="12"/>
  <c r="B97" i="12"/>
  <c r="B70" i="12"/>
  <c r="B95" i="12"/>
  <c r="B68" i="12"/>
  <c r="B10" i="15"/>
  <c r="B92" i="15" s="1"/>
  <c r="M37" i="19" s="1"/>
  <c r="B101" i="12"/>
  <c r="B90" i="12"/>
  <c r="B8" i="15"/>
  <c r="B90" i="15" s="1"/>
  <c r="M39" i="19" s="1"/>
  <c r="B9" i="15"/>
  <c r="B91" i="12"/>
  <c r="B64" i="12"/>
  <c r="B20" i="15"/>
  <c r="B102" i="15" s="1"/>
  <c r="M27" i="19" s="1"/>
  <c r="M8" i="11"/>
  <c r="B48" i="11"/>
  <c r="B105" i="12"/>
  <c r="M5" i="11"/>
  <c r="B45" i="11"/>
  <c r="B14" i="11"/>
  <c r="N268" i="21" s="1"/>
  <c r="B7" i="15"/>
  <c r="B99" i="12"/>
  <c r="B49" i="11"/>
  <c r="B25" i="15"/>
  <c r="B107" i="15" s="1"/>
  <c r="M22" i="19" s="1"/>
  <c r="M9" i="11"/>
  <c r="B103" i="12"/>
  <c r="B96" i="12"/>
  <c r="B69" i="12"/>
  <c r="B98" i="12"/>
  <c r="B71" i="12"/>
  <c r="B102" i="12"/>
  <c r="B65" i="12"/>
  <c r="B92" i="12"/>
  <c r="B14" i="15"/>
  <c r="B96" i="15" s="1"/>
  <c r="M33" i="19" s="1"/>
  <c r="B91" i="15" l="1"/>
  <c r="M38" i="19" s="1"/>
  <c r="B52" i="15"/>
  <c r="H54" i="15"/>
  <c r="B50" i="15"/>
  <c r="B89" i="15"/>
  <c r="M40" i="19" s="1"/>
  <c r="H72" i="15"/>
  <c r="H73" i="15"/>
  <c r="H76" i="15"/>
  <c r="H74" i="15"/>
  <c r="H75" i="15"/>
  <c r="B40" i="15"/>
  <c r="B41" i="11"/>
  <c r="R12" i="11"/>
  <c r="B52" i="11"/>
  <c r="B22" i="11"/>
  <c r="M234" i="21" s="1"/>
  <c r="B20" i="11"/>
  <c r="M236" i="21" s="1"/>
  <c r="B24" i="11"/>
  <c r="M232" i="21" s="1"/>
  <c r="H79" i="15"/>
  <c r="B79" i="15"/>
  <c r="H36" i="15"/>
  <c r="H14" i="15"/>
  <c r="B57" i="15"/>
  <c r="H57" i="15"/>
  <c r="B21" i="11"/>
  <c r="M235" i="21" s="1"/>
  <c r="B78" i="15"/>
  <c r="H35" i="15"/>
  <c r="H28" i="15"/>
  <c r="H71" i="15"/>
  <c r="H52" i="15"/>
  <c r="H9" i="15"/>
  <c r="B63" i="15"/>
  <c r="H20" i="15"/>
  <c r="H66" i="15"/>
  <c r="H23" i="15"/>
  <c r="B66" i="15"/>
  <c r="B23" i="11"/>
  <c r="M233" i="21" s="1"/>
  <c r="B70" i="15"/>
  <c r="H27" i="15"/>
  <c r="H70" i="15"/>
  <c r="B64" i="15"/>
  <c r="H64" i="15"/>
  <c r="H21" i="15"/>
  <c r="B25" i="11"/>
  <c r="M231" i="21" s="1"/>
  <c r="H58" i="15"/>
  <c r="H15" i="15"/>
  <c r="B58" i="15"/>
  <c r="H51" i="15"/>
  <c r="B51" i="15"/>
  <c r="H8" i="15"/>
  <c r="B27" i="11"/>
  <c r="M12" i="11"/>
  <c r="H25" i="15"/>
  <c r="B68" i="15"/>
  <c r="H69" i="15"/>
  <c r="H26" i="15"/>
  <c r="B69" i="15"/>
  <c r="H13" i="15"/>
  <c r="B56" i="15"/>
  <c r="H80" i="15"/>
  <c r="H37" i="15"/>
  <c r="B80" i="15"/>
  <c r="B61" i="15"/>
  <c r="H18" i="15"/>
  <c r="H22" i="15"/>
  <c r="H65" i="15"/>
  <c r="H38" i="15"/>
  <c r="H81" i="15"/>
  <c r="H7" i="15"/>
  <c r="B55" i="12"/>
  <c r="B53" i="15"/>
  <c r="H10" i="15"/>
  <c r="H53" i="15"/>
  <c r="B59" i="15"/>
  <c r="H16" i="15"/>
  <c r="H59" i="15"/>
  <c r="H78" i="15" l="1"/>
  <c r="B122" i="15"/>
  <c r="M7" i="19" s="1"/>
  <c r="H56" i="15"/>
  <c r="H61" i="15"/>
  <c r="H50" i="15"/>
  <c r="H68" i="15"/>
  <c r="H63" i="15"/>
  <c r="H40" i="15"/>
  <c r="B83" i="15"/>
  <c r="H83" i="15"/>
  <c r="H99" i="18"/>
  <c r="H80" i="18"/>
  <c r="H86" i="18"/>
  <c r="H95" i="18"/>
  <c r="H51" i="18"/>
  <c r="H63" i="18"/>
  <c r="H76" i="18"/>
  <c r="H59" i="18"/>
  <c r="B103" i="18"/>
  <c r="H91" i="18"/>
  <c r="H103" i="18"/>
  <c r="H69" i="18"/>
</calcChain>
</file>

<file path=xl/sharedStrings.xml><?xml version="1.0" encoding="utf-8"?>
<sst xmlns="http://schemas.openxmlformats.org/spreadsheetml/2006/main" count="2355" uniqueCount="531">
  <si>
    <t>All industries</t>
  </si>
  <si>
    <t>Pharmaceuticals</t>
  </si>
  <si>
    <t>Construction</t>
  </si>
  <si>
    <t>Education</t>
  </si>
  <si>
    <t>6-Industry</t>
  </si>
  <si>
    <t>Engineering</t>
  </si>
  <si>
    <t>Rest of manufacturing</t>
  </si>
  <si>
    <t>Health and social work</t>
  </si>
  <si>
    <t>Manufacturing</t>
  </si>
  <si>
    <t>Elementary occupations</t>
  </si>
  <si>
    <t>All occupations</t>
  </si>
  <si>
    <t xml:space="preserve"> </t>
  </si>
  <si>
    <t>Set new years here:-</t>
  </si>
  <si>
    <t>Levels (000s)</t>
  </si>
  <si>
    <t>Shares (per cent)</t>
  </si>
  <si>
    <t>Growth (% per annum)</t>
  </si>
  <si>
    <t>Change (000s)</t>
  </si>
  <si>
    <t>Existing years</t>
  </si>
  <si>
    <t>Levels</t>
  </si>
  <si>
    <t>Change</t>
  </si>
  <si>
    <t>Absolute levels and changes (000s)</t>
  </si>
  <si>
    <t>Annual growth and industry shares (percent)</t>
  </si>
  <si>
    <t>Annual growth and occupation shares (percent)</t>
  </si>
  <si>
    <t>1st</t>
  </si>
  <si>
    <t>2nd</t>
  </si>
  <si>
    <t>3rd</t>
  </si>
  <si>
    <t>4th</t>
  </si>
  <si>
    <t>5th</t>
  </si>
  <si>
    <t>to</t>
  </si>
  <si>
    <t>Years shown from</t>
  </si>
  <si>
    <t>Net</t>
  </si>
  <si>
    <t>Replacement</t>
  </si>
  <si>
    <t>Demand</t>
  </si>
  <si>
    <t>Total</t>
  </si>
  <si>
    <t>Requirement</t>
  </si>
  <si>
    <t>per cent</t>
  </si>
  <si>
    <t>thousands</t>
  </si>
  <si>
    <t>Shares</t>
  </si>
  <si>
    <t>% per annum</t>
  </si>
  <si>
    <t>Growth</t>
  </si>
  <si>
    <t>All qualifications</t>
  </si>
  <si>
    <t>Qualification</t>
  </si>
  <si>
    <t>Total Requirement</t>
  </si>
  <si>
    <t>Net Change</t>
  </si>
  <si>
    <t>Growth % per annum</t>
  </si>
  <si>
    <t>Shares of all qualifications (per cent)</t>
  </si>
  <si>
    <t>Shares of all occupations (per cent)</t>
  </si>
  <si>
    <t>Qualification levels (thousands)</t>
  </si>
  <si>
    <t>RD p.a%</t>
  </si>
  <si>
    <t>Replace-ment Demand</t>
  </si>
  <si>
    <t>Total Require-ment</t>
  </si>
  <si>
    <t>Years used in the formula for RD p.a%</t>
  </si>
  <si>
    <t>Pre-primary education</t>
  </si>
  <si>
    <t>Primary education (1st stage basic)</t>
  </si>
  <si>
    <t>Lower secondary education (2nd stage basic)</t>
  </si>
  <si>
    <t>Upper secondary education</t>
  </si>
  <si>
    <t>Post-secondary non-tertiary education</t>
  </si>
  <si>
    <t>First stage of tertiary education</t>
  </si>
  <si>
    <t>Second stage of tertiary education</t>
  </si>
  <si>
    <t>Components of change</t>
  </si>
  <si>
    <t>Base year</t>
  </si>
  <si>
    <t>Target year</t>
  </si>
  <si>
    <t>Scale effect</t>
  </si>
  <si>
    <t>Occupation effect</t>
  </si>
  <si>
    <t>Industry mix effect</t>
  </si>
  <si>
    <t>SOC2010 Sub-Major Groups</t>
  </si>
  <si>
    <t>000s</t>
  </si>
  <si>
    <t>% share</t>
  </si>
  <si>
    <t xml:space="preserve">%   </t>
  </si>
  <si>
    <t>Engineering [26-28]</t>
  </si>
  <si>
    <t>Pharmaceuticals [21]</t>
  </si>
  <si>
    <t>Construction [41-43]</t>
  </si>
  <si>
    <t>Education [85]</t>
  </si>
  <si>
    <t>Health and social work [86-88]</t>
  </si>
  <si>
    <t>Industry Mix Effect ("shift")</t>
  </si>
  <si>
    <t>Occupation effect                   ("share")</t>
  </si>
  <si>
    <t>occ share</t>
  </si>
  <si>
    <t>Target Year</t>
  </si>
  <si>
    <t>All Occupations (Base Year)</t>
  </si>
  <si>
    <t>Notes.    Benchmark projections generated by E3ME and WLME.</t>
  </si>
  <si>
    <r>
      <t>The “</t>
    </r>
    <r>
      <rPr>
        <b/>
        <i/>
        <sz val="9"/>
        <rFont val="Arial"/>
        <family val="2"/>
      </rPr>
      <t>Scale effect</t>
    </r>
    <r>
      <rPr>
        <sz val="9"/>
        <rFont val="Arial"/>
        <family val="2"/>
      </rPr>
      <t>”  shows the changes that would have occurred if employment in each occupation and industry grew at the same rate as for total employment.</t>
    </r>
  </si>
  <si>
    <r>
      <t xml:space="preserve">The </t>
    </r>
    <r>
      <rPr>
        <b/>
        <i/>
        <sz val="9"/>
        <rFont val="Arial"/>
        <family val="2"/>
      </rPr>
      <t>industry mix</t>
    </r>
    <r>
      <rPr>
        <sz val="9"/>
        <rFont val="Arial"/>
        <family val="2"/>
      </rPr>
      <t xml:space="preserve"> or “</t>
    </r>
    <r>
      <rPr>
        <b/>
        <i/>
        <sz val="9"/>
        <rFont val="Arial"/>
        <family val="2"/>
      </rPr>
      <t>shift</t>
    </r>
    <r>
      <rPr>
        <sz val="9"/>
        <rFont val="Arial"/>
        <family val="2"/>
      </rPr>
      <t xml:space="preserve">” effect  shows the contributions that would have been made if the occupational mix in each industry had remained constant (the industry mix or “shift” effect). </t>
    </r>
  </si>
  <si>
    <t xml:space="preserve">This has been calculated using ratios of change for total employment  in the industry,  divided by the ratio of change for all industries (to net out the scale effect). </t>
  </si>
  <si>
    <r>
      <t xml:space="preserve">It therefore differs from the “shift” effect reported in Meagher </t>
    </r>
    <r>
      <rPr>
        <i/>
        <sz val="9"/>
        <rFont val="Arial"/>
        <family val="2"/>
      </rPr>
      <t>et al.</t>
    </r>
    <r>
      <rPr>
        <sz val="9"/>
        <rFont val="Arial"/>
        <family val="2"/>
      </rPr>
      <t xml:space="preserve"> (2013) which also incorporates the scale effect.</t>
    </r>
  </si>
  <si>
    <r>
      <t xml:space="preserve">The contributions due to changes in </t>
    </r>
    <r>
      <rPr>
        <b/>
        <i/>
        <sz val="9"/>
        <rFont val="Arial"/>
        <family val="2"/>
      </rPr>
      <t>occupational mix</t>
    </r>
    <r>
      <rPr>
        <sz val="9"/>
        <rFont val="Arial"/>
        <family val="2"/>
      </rPr>
      <t xml:space="preserve"> (the “</t>
    </r>
    <r>
      <rPr>
        <b/>
        <i/>
        <sz val="9"/>
        <rFont val="Arial"/>
        <family val="2"/>
      </rPr>
      <t>share</t>
    </r>
    <r>
      <rPr>
        <sz val="9"/>
        <rFont val="Arial"/>
        <family val="2"/>
      </rPr>
      <t>”  effect) are calculated as the residual of the total change net of the scale effect and the industry mix (or “shift”) effect.</t>
    </r>
  </si>
  <si>
    <r>
      <t xml:space="preserve">Column 2 in the shift-share tables reported in Meagher </t>
    </r>
    <r>
      <rPr>
        <i/>
        <sz val="9"/>
        <rFont val="Arial"/>
        <family val="2"/>
      </rPr>
      <t>et al</t>
    </r>
    <r>
      <rPr>
        <sz val="9"/>
        <rFont val="Arial"/>
        <family val="2"/>
      </rPr>
      <t>. (2013)  (the “shift” effect) can be formed by adding the scale and industry effects  in % terms, as shown here.</t>
    </r>
  </si>
  <si>
    <t>Agriculture, etc</t>
  </si>
  <si>
    <t>Mining and quarrying</t>
  </si>
  <si>
    <t>Electrical equipment</t>
  </si>
  <si>
    <t>Wholesale and retail trade</t>
  </si>
  <si>
    <t>Media</t>
  </si>
  <si>
    <t>Telecommunications</t>
  </si>
  <si>
    <t>Health</t>
  </si>
  <si>
    <t>Arts and entertainment</t>
  </si>
  <si>
    <t>Mining and quarrying [05-09]</t>
  </si>
  <si>
    <t>Electrical equipment [27]</t>
  </si>
  <si>
    <t>Rest of manufacturing [13-25,29-33]</t>
  </si>
  <si>
    <t>Wholesale and retail trade [45-47]</t>
  </si>
  <si>
    <t>Telecommunications [61]</t>
  </si>
  <si>
    <t>Arts and entertainment [90-93]</t>
  </si>
  <si>
    <t>Media [58-60]</t>
  </si>
  <si>
    <t>Manufacturing [10-33]</t>
  </si>
  <si>
    <t>Current Input File:</t>
  </si>
  <si>
    <t>Manager</t>
  </si>
  <si>
    <t>Males</t>
  </si>
  <si>
    <t>Females</t>
  </si>
  <si>
    <t>Males and females</t>
  </si>
  <si>
    <t>Population</t>
  </si>
  <si>
    <t>Labour Force</t>
  </si>
  <si>
    <t>65+</t>
  </si>
  <si>
    <t>(in age bands)</t>
  </si>
  <si>
    <t>Where does the data come from for this? (LPB)</t>
  </si>
  <si>
    <t>Note: For Belgium there is no European LFS data for some of the ISCED Qualifications.</t>
  </si>
  <si>
    <t>15-19</t>
  </si>
  <si>
    <t>20-24</t>
  </si>
  <si>
    <t>25-29</t>
  </si>
  <si>
    <t>30-34</t>
  </si>
  <si>
    <t>35-39</t>
  </si>
  <si>
    <t>40-44</t>
  </si>
  <si>
    <t>45-49</t>
  </si>
  <si>
    <t>50-54</t>
  </si>
  <si>
    <t>55-59</t>
  </si>
  <si>
    <t>60-64</t>
  </si>
  <si>
    <t>15+</t>
  </si>
  <si>
    <t>All Low qualifications</t>
  </si>
  <si>
    <t>All Medium qualifications</t>
  </si>
  <si>
    <t>All High qualifications</t>
  </si>
  <si>
    <t>Date run</t>
  </si>
  <si>
    <t>Basic metals [24]</t>
  </si>
  <si>
    <t>Metal products [25]</t>
  </si>
  <si>
    <t>Publishing activities [58]</t>
  </si>
  <si>
    <t>Financial services [64]</t>
  </si>
  <si>
    <t>Employment activities [78]</t>
  </si>
  <si>
    <t>Membership organisations [94]</t>
  </si>
  <si>
    <t>Other manufacturing</t>
  </si>
  <si>
    <t>Sewerage</t>
  </si>
  <si>
    <t>Civil engineering</t>
  </si>
  <si>
    <t>Water transport</t>
  </si>
  <si>
    <t>Air transport</t>
  </si>
  <si>
    <t>Accommodation</t>
  </si>
  <si>
    <t>Publishing activities</t>
  </si>
  <si>
    <t>Scientific research and development</t>
  </si>
  <si>
    <t>Employment activities</t>
  </si>
  <si>
    <t>Choose Database File</t>
  </si>
  <si>
    <t>Replacement Demand rate</t>
  </si>
  <si>
    <t>Replacement Demand level</t>
  </si>
  <si>
    <t>Database</t>
  </si>
  <si>
    <t>Database current</t>
  </si>
  <si>
    <t>To return to this sheet from any page, just click the home icon</t>
  </si>
  <si>
    <t>Sheet name</t>
  </si>
  <si>
    <t>Contents</t>
  </si>
  <si>
    <t>WARNING</t>
  </si>
  <si>
    <t>BUSINESS REGISTER AND EMPLOYMENT SURVEY</t>
  </si>
  <si>
    <t>THESE DATA HAVE BEEN COLLECTED</t>
  </si>
  <si>
    <t>UNDER THE TERMS OF THE Statistics of Trade Act 1947</t>
  </si>
  <si>
    <t>THE ESTIMATES ARE BASED ON DATA ONS HAVE PLACED IN THE PUBLIC DOMAIN</t>
  </si>
  <si>
    <t>REPORTING</t>
  </si>
  <si>
    <t>The projections presented in this Workbook are calculated from a number of different data sources, using</t>
  </si>
  <si>
    <t>a variety of econometric and statistical techniques. As a result, precise margins of error cannot be assigned</t>
  </si>
  <si>
    <t>For unpublished analyses, a more lenient criterion can be used. However, the uncertainties associated with</t>
  </si>
  <si>
    <t>However, there is inevitably some degree of judgement required on the part of the researcher.</t>
  </si>
  <si>
    <t>For cases in between 1,000 and 10,000 individuals, it is difficult to prescribe general rules, and an element of</t>
  </si>
  <si>
    <t>publishable then the equivalent figures in the workbooks should not be published. Where the focus is on</t>
  </si>
  <si>
    <t>self-employment or upon occupations, a more stringent cut-off should be applied.</t>
  </si>
  <si>
    <t>PUBLISHED DATA: Ideally, a minimum of 10,000 individuals per cell</t>
  </si>
  <si>
    <t>UNPUBLISHED DATA: A minimum of 1,000 individuals per cell</t>
  </si>
  <si>
    <t>Aggregation of 75 detailed industries to 22 Industry groups</t>
  </si>
  <si>
    <t>Agriculture [01-03]</t>
  </si>
  <si>
    <t>Agriculture, etc [01-03]</t>
  </si>
  <si>
    <t>Coal, oil &amp; gas; Mining &amp; related [05-09]</t>
  </si>
  <si>
    <t>Food drink and tobacco [10-12]</t>
  </si>
  <si>
    <t>Food products [10]</t>
  </si>
  <si>
    <t>Beverages &amp; tobacco [11-12]</t>
  </si>
  <si>
    <t>Computers, etc [26]</t>
  </si>
  <si>
    <t>Machinery, etc [28]</t>
  </si>
  <si>
    <t>Textiles [13]</t>
  </si>
  <si>
    <t>Wearing apparel; Leather, etc [14,15]</t>
  </si>
  <si>
    <t>Wood, etc [16]</t>
  </si>
  <si>
    <t>Paper, etc [17]</t>
  </si>
  <si>
    <t>Printing &amp; recording [18]</t>
  </si>
  <si>
    <t>Coke &amp; refining; Chemicals,etc [19,20]</t>
  </si>
  <si>
    <t>Rubber &amp; plastic [22]</t>
  </si>
  <si>
    <t>Other non-metallic [23]</t>
  </si>
  <si>
    <t>Motor vehicles, etc [29]</t>
  </si>
  <si>
    <t>Other trans. equipment [30]</t>
  </si>
  <si>
    <t>Furniture [31]</t>
  </si>
  <si>
    <t>Other manufacturing [32]</t>
  </si>
  <si>
    <t>Repair &amp; installation [33]</t>
  </si>
  <si>
    <t>Electricity and gas [35]</t>
  </si>
  <si>
    <t>Electricity, gas, etc [35]</t>
  </si>
  <si>
    <t>Water and sewerage [36-39]</t>
  </si>
  <si>
    <t>Water [36]</t>
  </si>
  <si>
    <t>Sewerage [37]</t>
  </si>
  <si>
    <t>Waste management [38-39]</t>
  </si>
  <si>
    <t>Construction [41]</t>
  </si>
  <si>
    <t>Civil engineering [42]</t>
  </si>
  <si>
    <t>Specialised construction [43]</t>
  </si>
  <si>
    <t>Sale of motor vehicles [45]</t>
  </si>
  <si>
    <t>Wholesale trade [46]</t>
  </si>
  <si>
    <t>Retail trade [47]</t>
  </si>
  <si>
    <t>Transport and storage [49-53]</t>
  </si>
  <si>
    <t>Land transport, etc [49]</t>
  </si>
  <si>
    <t>Water transport [50]</t>
  </si>
  <si>
    <t>Air transport [51]</t>
  </si>
  <si>
    <t>Warehousing, etc [52]</t>
  </si>
  <si>
    <t>Postal, etc [53]</t>
  </si>
  <si>
    <t>Accommodation and food [55-56]</t>
  </si>
  <si>
    <t>Accommodation [55]</t>
  </si>
  <si>
    <t>Food &amp; beverage services [56]</t>
  </si>
  <si>
    <t>Film &amp;  music [59]</t>
  </si>
  <si>
    <t>Broadcasting [60]</t>
  </si>
  <si>
    <t>Information technology [61-63]</t>
  </si>
  <si>
    <t>Computer programming, etc [62]</t>
  </si>
  <si>
    <t>Information services [63]</t>
  </si>
  <si>
    <t>Finance and insurance [64-66]</t>
  </si>
  <si>
    <t>Insurance &amp; pensions [65]</t>
  </si>
  <si>
    <t>Auxiliary  services [66]</t>
  </si>
  <si>
    <t>Real estate [68]</t>
  </si>
  <si>
    <t>Professional services [69-75]</t>
  </si>
  <si>
    <t>Legal &amp; accounting [69]</t>
  </si>
  <si>
    <t>Head offices, etc [70]</t>
  </si>
  <si>
    <t>Architectural &amp; related [71]</t>
  </si>
  <si>
    <t>Scientific research [72]</t>
  </si>
  <si>
    <t>Advertising, etc [73]</t>
  </si>
  <si>
    <t>Other professional [74]</t>
  </si>
  <si>
    <t>Veterinary [75]</t>
  </si>
  <si>
    <t>Support services [77-82]</t>
  </si>
  <si>
    <t>Rental &amp; leasing [77]</t>
  </si>
  <si>
    <t>Travel, etc [79]</t>
  </si>
  <si>
    <t>Security, etc [80]</t>
  </si>
  <si>
    <t>Services to buildings [81]</t>
  </si>
  <si>
    <t>Office admin. [82]</t>
  </si>
  <si>
    <t>Public admin. and defence [84]</t>
  </si>
  <si>
    <t>Public admin. &amp; defence [84]</t>
  </si>
  <si>
    <t>Health [86]</t>
  </si>
  <si>
    <t>Residential care [87]</t>
  </si>
  <si>
    <t>Social work [88]</t>
  </si>
  <si>
    <t>Arts &amp; entertainment [90]</t>
  </si>
  <si>
    <t>Libraries, etc [91]</t>
  </si>
  <si>
    <t>Gambling [92]</t>
  </si>
  <si>
    <t>Sport &amp; recreation [93]</t>
  </si>
  <si>
    <t>Other services [94-99]</t>
  </si>
  <si>
    <t>Repair of  goods [95]</t>
  </si>
  <si>
    <t>Other personal service [96-99]</t>
  </si>
  <si>
    <t>Aggregation of 75 detailed industries to 6 Broad industrial sectors</t>
  </si>
  <si>
    <t>Primary sector and utilities [01-09,35-39]</t>
  </si>
  <si>
    <t>Trade, accomod. and transport [45-56]</t>
  </si>
  <si>
    <t>Business and other services [58-82,90-99]</t>
  </si>
  <si>
    <t>Non-market services [84-88]</t>
  </si>
  <si>
    <t>Primary sector and utilities</t>
  </si>
  <si>
    <t>Trade, accomod. and transport</t>
  </si>
  <si>
    <t>Business and other services</t>
  </si>
  <si>
    <t>75-Industry</t>
  </si>
  <si>
    <t>Coal, oil &amp; gas; Mining &amp; related</t>
  </si>
  <si>
    <t>Food products</t>
  </si>
  <si>
    <t>Beverages and tobacco</t>
  </si>
  <si>
    <t>Textiles</t>
  </si>
  <si>
    <t>Wearing apparel; Leather, etc</t>
  </si>
  <si>
    <t xml:space="preserve">Wood and cork </t>
  </si>
  <si>
    <t>Paper, etc</t>
  </si>
  <si>
    <t>Printing and recording</t>
  </si>
  <si>
    <t>Coke and petroleum; Chemicals, etc</t>
  </si>
  <si>
    <t>Rubber and plastic</t>
  </si>
  <si>
    <t>Other non-metallic</t>
  </si>
  <si>
    <t>Basic metals</t>
  </si>
  <si>
    <t>Metal products</t>
  </si>
  <si>
    <t>Computer, etc</t>
  </si>
  <si>
    <t>Machinery n.e.c.</t>
  </si>
  <si>
    <t>Motor vehicles, etc</t>
  </si>
  <si>
    <t>Other transport equipment</t>
  </si>
  <si>
    <t>Furniture</t>
  </si>
  <si>
    <t>Repair and installation</t>
  </si>
  <si>
    <t>Electricity, gas, etc</t>
  </si>
  <si>
    <t>Water</t>
  </si>
  <si>
    <t>Waste management</t>
  </si>
  <si>
    <t>Specialised construction</t>
  </si>
  <si>
    <t>Motor vehicle trade</t>
  </si>
  <si>
    <t>Wholesale trade</t>
  </si>
  <si>
    <t>Retail trade</t>
  </si>
  <si>
    <t>Land transport, etc</t>
  </si>
  <si>
    <t>Warehousing, etc</t>
  </si>
  <si>
    <t>Postal and courier</t>
  </si>
  <si>
    <t>Food and beverage services</t>
  </si>
  <si>
    <t>Film and music</t>
  </si>
  <si>
    <t>Broadcasting</t>
  </si>
  <si>
    <t>Computing services</t>
  </si>
  <si>
    <t>Information services</t>
  </si>
  <si>
    <t>Financial services</t>
  </si>
  <si>
    <t>Insurance and pensions</t>
  </si>
  <si>
    <t>Auxiliary financial services</t>
  </si>
  <si>
    <t>Real estate</t>
  </si>
  <si>
    <t>Legal and accounting</t>
  </si>
  <si>
    <t>Head offices, etc</t>
  </si>
  <si>
    <t>Architectural and related</t>
  </si>
  <si>
    <t>Advertising, etc</t>
  </si>
  <si>
    <t>Other professional</t>
  </si>
  <si>
    <t>Veterinary</t>
  </si>
  <si>
    <t>Rental and leasing</t>
  </si>
  <si>
    <t>Travel, etc</t>
  </si>
  <si>
    <t>Security, etc</t>
  </si>
  <si>
    <t>Services to buildings</t>
  </si>
  <si>
    <t>Office administrative</t>
  </si>
  <si>
    <t>Public administration and defence</t>
  </si>
  <si>
    <t xml:space="preserve">Education </t>
  </si>
  <si>
    <t>Residential care</t>
  </si>
  <si>
    <t>Social work</t>
  </si>
  <si>
    <t>Libraries, etc</t>
  </si>
  <si>
    <t>Gambling and betting</t>
  </si>
  <si>
    <t>Sport and recreation</t>
  </si>
  <si>
    <t>Membership organisations</t>
  </si>
  <si>
    <t>Repair of goods</t>
  </si>
  <si>
    <t>Other personal service</t>
  </si>
  <si>
    <t>22-Industry</t>
  </si>
  <si>
    <t>Agriculture</t>
  </si>
  <si>
    <t>Food drink and tobacco</t>
  </si>
  <si>
    <t>Electricity and gas</t>
  </si>
  <si>
    <t>Water and sewerage</t>
  </si>
  <si>
    <t>Transport and storage</t>
  </si>
  <si>
    <t>Accommodation and food</t>
  </si>
  <si>
    <t>Information technology</t>
  </si>
  <si>
    <t>Finance and insurance</t>
  </si>
  <si>
    <t>Professional services</t>
  </si>
  <si>
    <t>Support services</t>
  </si>
  <si>
    <t>Public admin. and defence</t>
  </si>
  <si>
    <t>Other services</t>
  </si>
  <si>
    <t>Sub-major group names:</t>
  </si>
  <si>
    <t>9-Occupation</t>
  </si>
  <si>
    <t>Major group names:</t>
  </si>
  <si>
    <t>Managers, directors and senior officials</t>
  </si>
  <si>
    <t>Professional occupations</t>
  </si>
  <si>
    <t>Skilled trades occupations</t>
  </si>
  <si>
    <t>Process, plant and machine operatives</t>
  </si>
  <si>
    <t>9-Qualification names:</t>
  </si>
  <si>
    <t>No Qualification</t>
  </si>
  <si>
    <t>Gender names:</t>
  </si>
  <si>
    <t>Status names:</t>
  </si>
  <si>
    <t>M+F</t>
  </si>
  <si>
    <t>All</t>
  </si>
  <si>
    <t>All in employment</t>
  </si>
  <si>
    <t>M</t>
  </si>
  <si>
    <t>EE</t>
  </si>
  <si>
    <t>Employees in employment</t>
  </si>
  <si>
    <t>F</t>
  </si>
  <si>
    <t>SE</t>
  </si>
  <si>
    <t>Self-employment</t>
  </si>
  <si>
    <t>FT</t>
  </si>
  <si>
    <t>Full-time employees</t>
  </si>
  <si>
    <t>PT</t>
  </si>
  <si>
    <t>Part-time employees</t>
  </si>
  <si>
    <t>Industry groups</t>
  </si>
  <si>
    <t>Industry sectors</t>
  </si>
  <si>
    <t>6-Qualification names:</t>
  </si>
  <si>
    <t>Qualification groups</t>
  </si>
  <si>
    <t>Industry</t>
  </si>
  <si>
    <t>Industry Group [SIC2007]</t>
  </si>
  <si>
    <t>Ind75 industry [SIC2007]</t>
  </si>
  <si>
    <t>Broad industry [SIC2007]</t>
  </si>
  <si>
    <t>9-Occupation (SOC2010)</t>
  </si>
  <si>
    <t>Aggregation of 9-Qualifications to 6-Qualification groups</t>
  </si>
  <si>
    <t>6-Qualifications (QCF)</t>
  </si>
  <si>
    <t>6-Qualification groups (QCF)</t>
  </si>
  <si>
    <t>Female</t>
  </si>
  <si>
    <t>Male</t>
  </si>
  <si>
    <t>Total employment</t>
  </si>
  <si>
    <t>Male employment</t>
  </si>
  <si>
    <t>Female employment</t>
  </si>
  <si>
    <t>(% share)</t>
  </si>
  <si>
    <t>Self employed</t>
  </si>
  <si>
    <t>Part time</t>
  </si>
  <si>
    <t>Full time</t>
  </si>
  <si>
    <t>Changes in Employment Status (000s)</t>
  </si>
  <si>
    <t>Employment by Gender</t>
  </si>
  <si>
    <t xml:space="preserve">Employment Status </t>
  </si>
  <si>
    <t xml:space="preserve">% p.a. changes </t>
  </si>
  <si>
    <t>Ind T1</t>
  </si>
  <si>
    <t>Ind T2</t>
  </si>
  <si>
    <t>Occ T2</t>
  </si>
  <si>
    <t>Employment by Industry Sector (6 industries)</t>
  </si>
  <si>
    <t>Employment by Industry Group (22 industries)</t>
  </si>
  <si>
    <t>Occ T3</t>
  </si>
  <si>
    <t>Ind T4</t>
  </si>
  <si>
    <t>Ind T6</t>
  </si>
  <si>
    <t>Occ T4</t>
  </si>
  <si>
    <t>Ind T5</t>
  </si>
  <si>
    <t>Employment by Industry Group in Sector (6 + 22 industries)</t>
  </si>
  <si>
    <t>Employment Status by Industry Group and Gender (22 industries)</t>
  </si>
  <si>
    <t>Ind F1</t>
  </si>
  <si>
    <t>Occ F1</t>
  </si>
  <si>
    <t>Ind F2</t>
  </si>
  <si>
    <t>Occ F2</t>
  </si>
  <si>
    <t>IndOcc T1</t>
  </si>
  <si>
    <t>Line Chart Employment by Industry (6 + 22 industries)</t>
  </si>
  <si>
    <t>Occ T1</t>
  </si>
  <si>
    <t>Bar Chart Growth in Employment by Industry Group (6 + 22 industries)</t>
  </si>
  <si>
    <t>Qual T1</t>
  </si>
  <si>
    <t>Employment by Qualification (9 qualifications)</t>
  </si>
  <si>
    <t>Qual F1</t>
  </si>
  <si>
    <t>Line chart Employment by Qualification (9 qualifications)</t>
  </si>
  <si>
    <t>ShiftShare T1</t>
  </si>
  <si>
    <t>RD F1</t>
  </si>
  <si>
    <t>RD T1</t>
  </si>
  <si>
    <t>Basic T1</t>
  </si>
  <si>
    <t>Basic T2</t>
  </si>
  <si>
    <t>Basic T3</t>
  </si>
  <si>
    <t>Employment by Industry Sector, Occupation Group and Qualification (9 occupations by 6 industries by 9 qualifications)</t>
  </si>
  <si>
    <t>IndOcc T2</t>
  </si>
  <si>
    <t>Linked to sheet IndustryTable4</t>
  </si>
  <si>
    <t>Select years for the Tables</t>
  </si>
  <si>
    <t>Linked to sheet Industry Table1</t>
  </si>
  <si>
    <t>Linked to sheet IndustryTable1</t>
  </si>
  <si>
    <r>
      <t xml:space="preserve">Uses the 1st, 2nd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</si>
  <si>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OccupationTable3</t>
  </si>
  <si>
    <r>
      <t xml:space="preserve">Uses the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</si>
  <si>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 Table1</t>
  </si>
  <si>
    <r>
      <t xml:space="preserve">Uses the 1st,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</si>
  <si>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r>
      <t xml:space="preserve">Uses the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 (via OccupationTable1)</t>
    </r>
  </si>
  <si>
    <t>Absolute Changes (000s)</t>
  </si>
  <si>
    <t>Occ F3</t>
  </si>
  <si>
    <t>Occ F4</t>
  </si>
  <si>
    <t>Changes in Occupational Employment Structure (9 occupations)</t>
  </si>
  <si>
    <t>Occupational Change by Gender (9 occupations)</t>
  </si>
  <si>
    <t>Part-time</t>
  </si>
  <si>
    <t>Full-time</t>
  </si>
  <si>
    <t>Occ F5</t>
  </si>
  <si>
    <t>Occupational Change by Status (9 occupations)</t>
  </si>
  <si>
    <t>Employment Change by Occupation Group and Gender and Replacement Demand (9 occupations)</t>
  </si>
  <si>
    <t>Occ T5</t>
  </si>
  <si>
    <t>Employment Change by Occupation Group, Status and Gender (9 occupations)</t>
  </si>
  <si>
    <r>
      <t xml:space="preserve">Uses the 1st, 3rdand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</si>
  <si>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Aggregation of 22 industry groups to 6 Broad industrial sectors</t>
  </si>
  <si>
    <t>Scenario</t>
  </si>
  <si>
    <t>.Main</t>
  </si>
  <si>
    <t>MDM version</t>
  </si>
  <si>
    <t>LEP name</t>
  </si>
  <si>
    <t>Employment Status by Industry and Gender (22 industries)</t>
  </si>
  <si>
    <t>Occupation Composition by Gender (9 occupations by 22 industries)</t>
  </si>
  <si>
    <t>Occupation Composition by Employment Status (9 occupations by 22 industries)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</si>
  <si>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</si>
  <si>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max</t>
  </si>
  <si>
    <t>min</t>
  </si>
  <si>
    <t>axis bounds</t>
  </si>
  <si>
    <t>major unit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</si>
  <si>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Summary Tables</t>
    </r>
    <r>
      <rPr>
        <sz val="10"/>
        <color indexed="54"/>
        <rFont val="Arial"/>
        <family val="2"/>
      </rPr>
      <t xml:space="preserve"> in sheet Manager</t>
    </r>
  </si>
  <si>
    <t>RQF8 Doctorate</t>
  </si>
  <si>
    <t>RQF 7-8</t>
  </si>
  <si>
    <t>RQF7 Other higher degree</t>
  </si>
  <si>
    <t>RQF 4-6</t>
  </si>
  <si>
    <t>RQF6 First degree</t>
  </si>
  <si>
    <t>RQF3 A level &amp; equivalent</t>
  </si>
  <si>
    <t>RQF5 Foundation degree;Nursing;Teaching</t>
  </si>
  <si>
    <t>RQF2 GCSE(A-C) &amp; equivalent</t>
  </si>
  <si>
    <t>RQF4 HE below degree level</t>
  </si>
  <si>
    <t>RQF1 GCSE(below grade C) &amp; equivalent</t>
  </si>
  <si>
    <t>Non-marketed services</t>
  </si>
  <si>
    <t>THIS EXCEL WORKBOOK CONTAINS DATA</t>
  </si>
  <si>
    <t>BASED ON THE ANNUAL BUSINESS INQUIRY /</t>
  </si>
  <si>
    <t>based on counts of at least 10,000 individuals. This should provide a reasonable degree of statistical robustness to</t>
  </si>
  <si>
    <t>the estimates whether historic or forecast, and also ensure that you are not in breach of the Statistics of trade Act, 1947.</t>
  </si>
  <si>
    <t>judgement on behalf of the user is needed.  At an industry level, and focussing just on employees, the limits</t>
  </si>
  <si>
    <t>set by ONS in publishing ABI or BRES data can be used as a general guide. If ONS do not regard estimates as</t>
  </si>
  <si>
    <t>projections involving fewer than 1,000 individuals are probably too great for such estimates to be useful.</t>
  </si>
  <si>
    <t>Employment Change by Occupation and Replacement Demand (26 occupations)</t>
  </si>
  <si>
    <t>Employment Change by Occupation in Occupation Group (9 + 26 occupations)</t>
  </si>
  <si>
    <t>Occupation Composition by Gender (26 occupations)</t>
  </si>
  <si>
    <t>Bar Chart Growth in Employment by Occupation (9 + 26 occupations)</t>
  </si>
  <si>
    <t>Line Chart Employment by Occupation (9 + 26 occupations)</t>
  </si>
  <si>
    <t>Shift-Share by Occupation (26 occupations)</t>
  </si>
  <si>
    <t>Replacement Demand by Occupation and Qualification (26 occupations by 9 qualifications)</t>
  </si>
  <si>
    <t>Replacement Demand by Occupation Group (9 + 26 occupations)</t>
  </si>
  <si>
    <t>Employment Change by Occupation and Replacement Demand (26 occupations by 9 qualifications)</t>
  </si>
  <si>
    <t>Occupation by Qualification (26 occupations by 9 qualifications)</t>
  </si>
  <si>
    <t>11 Corporate managers and directors</t>
  </si>
  <si>
    <t>12 Other managers and proprietors</t>
  </si>
  <si>
    <t>21 Science, research, engineering and technology professionals</t>
  </si>
  <si>
    <t>22 Health professionals</t>
  </si>
  <si>
    <t>23 Teaching and other educational professionals</t>
  </si>
  <si>
    <t>24 Business, media and public service professionals</t>
  </si>
  <si>
    <t>31 Science, engineering and technology associate professionals</t>
  </si>
  <si>
    <t>32 Health and social care associate professionals</t>
  </si>
  <si>
    <t>33 Protective service occupations</t>
  </si>
  <si>
    <t>34 Culture, media and sports occupations</t>
  </si>
  <si>
    <t>35 Business and public service associate professionals</t>
  </si>
  <si>
    <t>41 Administrative occupations</t>
  </si>
  <si>
    <t>42 Secretarial and related occupations</t>
  </si>
  <si>
    <t>51 Skilled agricultural and related trades</t>
  </si>
  <si>
    <t>52 Skilled metal, electrical and electronic trades</t>
  </si>
  <si>
    <t>53 Skilled construction and building trades</t>
  </si>
  <si>
    <t>54 Textiles, printing and other skilled trades</t>
  </si>
  <si>
    <t>61 Caring personal service occupations</t>
  </si>
  <si>
    <t>62 Leisure, travel and related personal service occupations</t>
  </si>
  <si>
    <t>63 Community and civil enforcement occupations</t>
  </si>
  <si>
    <t>71 Sales occupations</t>
  </si>
  <si>
    <t>72 Customer service occupations</t>
  </si>
  <si>
    <t>81 Process, plant and machine operatives</t>
  </si>
  <si>
    <t>82 Transport and mobile machine drivers and operatives</t>
  </si>
  <si>
    <t>91 Elementary trades and related occupations</t>
  </si>
  <si>
    <t>92 Elementary administration and service occupations</t>
  </si>
  <si>
    <t>26-Occupation</t>
  </si>
  <si>
    <t>Associate professional occupations</t>
  </si>
  <si>
    <t>Administrative and secretarial occupations</t>
  </si>
  <si>
    <t>Caring, leisure and other service occupations</t>
  </si>
  <si>
    <t>Sales and customer service occupations</t>
  </si>
  <si>
    <t>Aggregation of 26-Sub major occupation groups to 9-Major occupation groups</t>
  </si>
  <si>
    <t>26-Occupation (SOC2020)</t>
  </si>
  <si>
    <t>SOC2020 Sub-Major Groups</t>
  </si>
  <si>
    <t>LEP</t>
  </si>
  <si>
    <t>Nuffield - Rev 13547</t>
  </si>
  <si>
    <t>Date database created</t>
  </si>
  <si>
    <t>Copyright:  Warwick Institute for Employment Research / Cambridge Econometrics, 2023</t>
  </si>
  <si>
    <t>M:\IE\Projects\Nuffield via NFER AI and automation\Data\Results\Workbooks\LO\v2 Main\LO_Database.Main.xlsx</t>
  </si>
  <si>
    <t>M:\IE\Projects\Nuffield via NFER AI and automation\Data\Results\Workbooks\LEPs\OX_LEP\v2 Main\OX_LEP_Database.Main.xlsx</t>
  </si>
  <si>
    <r>
      <t xml:space="preserve">to the estimates. For further details, see the </t>
    </r>
    <r>
      <rPr>
        <i/>
        <sz val="12"/>
        <color theme="1"/>
        <rFont val="Arial"/>
        <family val="2"/>
      </rPr>
      <t xml:space="preserve">Skills Imperative 2035 </t>
    </r>
    <r>
      <rPr>
        <sz val="12"/>
        <color theme="1"/>
        <rFont val="Arial"/>
        <family val="2"/>
      </rPr>
      <t>Technical Report.</t>
    </r>
  </si>
  <si>
    <r>
      <t xml:space="preserve">The results update those previously produced under the </t>
    </r>
    <r>
      <rPr>
        <i/>
        <sz val="12"/>
        <color theme="1"/>
        <rFont val="Arial"/>
        <family val="2"/>
      </rPr>
      <t>Working Futures</t>
    </r>
    <r>
      <rPr>
        <sz val="12"/>
        <color theme="1"/>
        <rFont val="Arial"/>
        <family val="2"/>
      </rPr>
      <t xml:space="preserve"> banner.</t>
    </r>
  </si>
  <si>
    <t xml:space="preserve">As a general rule of thumb, it is advisable to only publish statistics or analyses which are </t>
  </si>
  <si>
    <t>Thus, in summary, we advise:</t>
  </si>
  <si>
    <t>6 Industries</t>
  </si>
  <si>
    <t>22 Industries</t>
  </si>
  <si>
    <t>6 + 22 Industries</t>
  </si>
  <si>
    <t>9 Occupations by 22 Industries</t>
  </si>
  <si>
    <t>9 Occupations</t>
  </si>
  <si>
    <t>26 Occupations</t>
  </si>
  <si>
    <t>9 + 26 Occupations</t>
  </si>
  <si>
    <t>9 Qualifications</t>
  </si>
  <si>
    <t>26 Occupations by 9 Qualifications</t>
  </si>
  <si>
    <t>9 Occupations by 9 Qualifications</t>
  </si>
  <si>
    <t>9 Occupations by 6 Industries by 9 Qualifications</t>
  </si>
  <si>
    <t>M:/IE/Projects/Nuffield via NFER AI and automation/Data/Results/Workbooks/LEPs/M3_LEP/M3_LEP_Database.Main.xlsx</t>
  </si>
  <si>
    <t>10. Enterprise M3</t>
  </si>
  <si>
    <t>28-02-2024 09:54:03</t>
  </si>
  <si>
    <t>Enterprise M3</t>
  </si>
  <si>
    <t>29 02 2024 03:50:07 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</si>
</sst>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-* #,##0.00_-;\-* #,##0.00_-;_-* &quot;-&quot;??_-;_-@_-"/>
    <numFmt numFmtId="164" formatCode="0.0"/>
    <numFmt numFmtId="165" formatCode="0.00000"/>
    <numFmt numFmtId="166" formatCode="#,##0.0"/>
    <numFmt numFmtId="167" formatCode="0.0%"/>
    <numFmt numFmtId="168" formatCode="_-* #,##0_-;\-* #,##0_-;_-* &quot;-&quot;??_-;_-@_-"/>
    <numFmt numFmtId="169" formatCode="_-* #,##0.00000_-;\-* #,##0.00000_-;_-* &quot;-&quot;??_-;_-@_-"/>
    <numFmt numFmtId="170" formatCode="0.000000"/>
  </numFmts>
  <fonts count="35" x14ac:knownFonts="1">
    <font>
      <sz val="10"/>
      <name val="Arial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2"/>
      <name val="Times New Roman"/>
      <family val="1"/>
    </font>
    <font>
      <sz val="10"/>
      <name val="Arial"/>
      <family val="2"/>
    </font>
    <font>
      <sz val="10"/>
      <name val="Times New Roman"/>
      <family val="1"/>
    </font>
    <font>
      <b/>
      <sz val="12"/>
      <name val="Arial"/>
      <family val="2"/>
    </font>
    <font>
      <i/>
      <sz val="10"/>
      <name val="Arial"/>
      <family val="2"/>
    </font>
    <font>
      <b/>
      <sz val="10"/>
      <color indexed="54"/>
      <name val="Arial"/>
      <family val="2"/>
    </font>
    <font>
      <sz val="10"/>
      <color indexed="54"/>
      <name val="Arial"/>
      <family val="2"/>
    </font>
    <font>
      <sz val="11"/>
      <name val="Arial"/>
      <family val="2"/>
    </font>
    <font>
      <sz val="9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9"/>
      <color rgb="FFFF0000"/>
      <name val="Courier New"/>
      <family val="3"/>
    </font>
    <font>
      <b/>
      <i/>
      <sz val="9"/>
      <name val="Arial"/>
      <family val="2"/>
    </font>
    <font>
      <i/>
      <sz val="9"/>
      <name val="Arial"/>
      <family val="2"/>
    </font>
    <font>
      <b/>
      <sz val="16"/>
      <name val="Arial"/>
      <family val="2"/>
    </font>
    <font>
      <sz val="10"/>
      <name val="Arial"/>
      <family val="2"/>
    </font>
    <font>
      <b/>
      <sz val="14"/>
      <color theme="1"/>
      <name val="Arial"/>
      <family val="2"/>
    </font>
    <font>
      <u/>
      <sz val="10"/>
      <color theme="10"/>
      <name val="Arial"/>
      <family val="2"/>
    </font>
    <font>
      <b/>
      <sz val="11"/>
      <name val="Arial"/>
      <family val="2"/>
    </font>
    <font>
      <sz val="10"/>
      <color theme="1"/>
      <name val="Times New Roman"/>
      <family val="1"/>
    </font>
    <font>
      <b/>
      <sz val="15"/>
      <color rgb="FFFFFFFF"/>
      <name val="Arial"/>
      <family val="2"/>
    </font>
    <font>
      <b/>
      <sz val="15"/>
      <color rgb="FFFF0000"/>
      <name val="Arial"/>
      <family val="2"/>
    </font>
    <font>
      <b/>
      <sz val="15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i/>
      <sz val="12"/>
      <color theme="1"/>
      <name val="Arial"/>
      <family val="2"/>
    </font>
    <font>
      <sz val="1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7">
    <xf numFmtId="0" fontId="0" fillId="0" borderId="0"/>
    <xf numFmtId="43" fontId="3" fillId="0" borderId="0" applyFont="0" applyFill="0" applyBorder="0" applyAlignment="0" applyProtection="0"/>
    <xf numFmtId="0" fontId="6" fillId="0" borderId="0"/>
    <xf numFmtId="0" fontId="8" fillId="0" borderId="0"/>
    <xf numFmtId="0" fontId="3" fillId="0" borderId="0"/>
    <xf numFmtId="0" fontId="15" fillId="0" borderId="0"/>
    <xf numFmtId="0" fontId="8" fillId="0" borderId="0"/>
    <xf numFmtId="0" fontId="8" fillId="0" borderId="0"/>
    <xf numFmtId="0" fontId="15" fillId="0" borderId="0"/>
    <xf numFmtId="0" fontId="2" fillId="0" borderId="0"/>
    <xf numFmtId="9" fontId="3" fillId="0" borderId="0" applyFont="0" applyFill="0" applyBorder="0" applyAlignment="0" applyProtection="0"/>
    <xf numFmtId="9" fontId="23" fillId="0" borderId="0" applyFont="0" applyFill="0" applyBorder="0" applyAlignment="0" applyProtection="0"/>
    <xf numFmtId="0" fontId="25" fillId="0" borderId="0" applyNumberFormat="0" applyFill="0" applyBorder="0" applyAlignment="0" applyProtection="0"/>
    <xf numFmtId="0" fontId="8" fillId="0" borderId="0"/>
    <xf numFmtId="0" fontId="3" fillId="0" borderId="0"/>
    <xf numFmtId="0" fontId="1" fillId="0" borderId="0"/>
    <xf numFmtId="0" fontId="8" fillId="0" borderId="0"/>
  </cellStyleXfs>
  <cellXfs count="391">
    <xf numFmtId="0" fontId="0" fillId="0" borderId="0" xfId="0"/>
    <xf numFmtId="0" fontId="5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1" fontId="0" fillId="0" borderId="0" xfId="0" applyNumberFormat="1"/>
    <xf numFmtId="3" fontId="0" fillId="0" borderId="0" xfId="0" applyNumberFormat="1"/>
    <xf numFmtId="0" fontId="0" fillId="0" borderId="0" xfId="0" applyAlignment="1">
      <alignment textRotation="90" wrapText="1"/>
    </xf>
    <xf numFmtId="0" fontId="7" fillId="0" borderId="0" xfId="0" applyFont="1"/>
    <xf numFmtId="1" fontId="7" fillId="0" borderId="0" xfId="2" applyNumberFormat="1" applyFont="1"/>
    <xf numFmtId="1" fontId="5" fillId="0" borderId="0" xfId="2" applyNumberFormat="1" applyFont="1"/>
    <xf numFmtId="0" fontId="0" fillId="0" borderId="0" xfId="0" applyAlignment="1">
      <alignment horizontal="right"/>
    </xf>
    <xf numFmtId="1" fontId="5" fillId="0" borderId="0" xfId="0" applyNumberFormat="1" applyFont="1"/>
    <xf numFmtId="164" fontId="7" fillId="0" borderId="0" xfId="3" applyNumberFormat="1" applyFont="1"/>
    <xf numFmtId="0" fontId="9" fillId="0" borderId="0" xfId="3" applyFont="1"/>
    <xf numFmtId="0" fontId="5" fillId="0" borderId="0" xfId="3" applyFont="1" applyAlignment="1">
      <alignment horizontal="right"/>
    </xf>
    <xf numFmtId="1" fontId="7" fillId="0" borderId="0" xfId="3" applyNumberFormat="1" applyFont="1"/>
    <xf numFmtId="0" fontId="0" fillId="0" borderId="9" xfId="0" applyBorder="1"/>
    <xf numFmtId="1" fontId="5" fillId="0" borderId="9" xfId="0" applyNumberFormat="1" applyFont="1" applyBorder="1"/>
    <xf numFmtId="0" fontId="0" fillId="0" borderId="10" xfId="0" applyBorder="1"/>
    <xf numFmtId="0" fontId="5" fillId="0" borderId="9" xfId="3" applyFont="1" applyBorder="1" applyAlignment="1">
      <alignment horizontal="right"/>
    </xf>
    <xf numFmtId="164" fontId="7" fillId="0" borderId="10" xfId="3" applyNumberFormat="1" applyFont="1" applyBorder="1"/>
    <xf numFmtId="3" fontId="7" fillId="0" borderId="0" xfId="3" applyNumberFormat="1" applyFont="1"/>
    <xf numFmtId="0" fontId="5" fillId="0" borderId="11" xfId="0" applyFont="1" applyBorder="1"/>
    <xf numFmtId="3" fontId="7" fillId="0" borderId="10" xfId="3" applyNumberFormat="1" applyFont="1" applyBorder="1"/>
    <xf numFmtId="0" fontId="10" fillId="0" borderId="0" xfId="0" applyFont="1"/>
    <xf numFmtId="3" fontId="10" fillId="0" borderId="0" xfId="0" applyNumberFormat="1" applyFont="1"/>
    <xf numFmtId="3" fontId="7" fillId="0" borderId="0" xfId="0" applyNumberFormat="1" applyFont="1"/>
    <xf numFmtId="3" fontId="7" fillId="0" borderId="10" xfId="0" applyNumberFormat="1" applyFont="1" applyBorder="1"/>
    <xf numFmtId="3" fontId="0" fillId="0" borderId="10" xfId="0" applyNumberFormat="1" applyBorder="1"/>
    <xf numFmtId="1" fontId="5" fillId="0" borderId="10" xfId="0" applyNumberFormat="1" applyFont="1" applyBorder="1"/>
    <xf numFmtId="0" fontId="0" fillId="0" borderId="11" xfId="0" applyBorder="1"/>
    <xf numFmtId="0" fontId="5" fillId="0" borderId="10" xfId="0" applyFont="1" applyBorder="1" applyAlignment="1">
      <alignment horizontal="right"/>
    </xf>
    <xf numFmtId="0" fontId="7" fillId="0" borderId="0" xfId="0" applyFont="1" applyAlignment="1">
      <alignment horizontal="right"/>
    </xf>
    <xf numFmtId="0" fontId="7" fillId="0" borderId="10" xfId="0" applyFont="1" applyBorder="1"/>
    <xf numFmtId="164" fontId="0" fillId="0" borderId="0" xfId="0" applyNumberFormat="1"/>
    <xf numFmtId="0" fontId="5" fillId="0" borderId="10" xfId="0" applyFont="1" applyBorder="1"/>
    <xf numFmtId="1" fontId="5" fillId="0" borderId="10" xfId="0" applyNumberFormat="1" applyFont="1" applyBorder="1" applyAlignment="1">
      <alignment horizontal="right"/>
    </xf>
    <xf numFmtId="164" fontId="0" fillId="0" borderId="10" xfId="0" applyNumberFormat="1" applyBorder="1"/>
    <xf numFmtId="164" fontId="10" fillId="0" borderId="0" xfId="0" applyNumberFormat="1" applyFont="1"/>
    <xf numFmtId="0" fontId="7" fillId="0" borderId="0" xfId="0" applyFont="1" applyAlignment="1">
      <alignment horizontal="left"/>
    </xf>
    <xf numFmtId="0" fontId="12" fillId="0" borderId="0" xfId="0" applyFont="1"/>
    <xf numFmtId="0" fontId="0" fillId="0" borderId="0" xfId="0" applyAlignment="1">
      <alignment horizontal="center"/>
    </xf>
    <xf numFmtId="1" fontId="0" fillId="0" borderId="0" xfId="0" applyNumberFormat="1" applyAlignment="1">
      <alignment horizontal="right"/>
    </xf>
    <xf numFmtId="164" fontId="7" fillId="0" borderId="0" xfId="0" applyNumberFormat="1" applyFont="1"/>
    <xf numFmtId="164" fontId="7" fillId="0" borderId="10" xfId="0" applyNumberFormat="1" applyFont="1" applyBorder="1"/>
    <xf numFmtId="0" fontId="0" fillId="2" borderId="13" xfId="0" applyFill="1" applyBorder="1"/>
    <xf numFmtId="0" fontId="0" fillId="2" borderId="14" xfId="0" applyFill="1" applyBorder="1"/>
    <xf numFmtId="0" fontId="0" fillId="2" borderId="15" xfId="0" applyFill="1" applyBorder="1"/>
    <xf numFmtId="0" fontId="0" fillId="2" borderId="0" xfId="0" applyFill="1"/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0" fillId="2" borderId="19" xfId="0" applyFill="1" applyBorder="1"/>
    <xf numFmtId="0" fontId="0" fillId="2" borderId="0" xfId="0" applyFill="1" applyAlignment="1">
      <alignment horizontal="center"/>
    </xf>
    <xf numFmtId="1" fontId="0" fillId="2" borderId="0" xfId="0" applyNumberFormat="1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0" borderId="10" xfId="0" applyBorder="1" applyAlignment="1">
      <alignment horizontal="right"/>
    </xf>
    <xf numFmtId="0" fontId="5" fillId="0" borderId="10" xfId="3" applyFont="1" applyBorder="1" applyAlignment="1">
      <alignment horizontal="right"/>
    </xf>
    <xf numFmtId="3" fontId="0" fillId="0" borderId="11" xfId="0" applyNumberFormat="1" applyBorder="1"/>
    <xf numFmtId="164" fontId="7" fillId="0" borderId="11" xfId="3" applyNumberFormat="1" applyFont="1" applyBorder="1"/>
    <xf numFmtId="166" fontId="0" fillId="0" borderId="10" xfId="0" applyNumberFormat="1" applyBorder="1"/>
    <xf numFmtId="166" fontId="7" fillId="0" borderId="0" xfId="3" applyNumberFormat="1" applyFont="1"/>
    <xf numFmtId="166" fontId="0" fillId="0" borderId="0" xfId="0" applyNumberFormat="1"/>
    <xf numFmtId="166" fontId="7" fillId="0" borderId="10" xfId="3" applyNumberFormat="1" applyFont="1" applyBorder="1"/>
    <xf numFmtId="0" fontId="0" fillId="0" borderId="0" xfId="0" applyAlignment="1">
      <alignment wrapText="1"/>
    </xf>
    <xf numFmtId="0" fontId="0" fillId="0" borderId="0" xfId="0" applyAlignment="1">
      <alignment horizontal="right" wrapText="1"/>
    </xf>
    <xf numFmtId="167" fontId="0" fillId="0" borderId="0" xfId="0" applyNumberFormat="1"/>
    <xf numFmtId="1" fontId="5" fillId="0" borderId="0" xfId="0" applyNumberFormat="1" applyFont="1" applyAlignment="1">
      <alignment horizontal="right"/>
    </xf>
    <xf numFmtId="1" fontId="5" fillId="0" borderId="9" xfId="0" applyNumberFormat="1" applyFont="1" applyBorder="1" applyAlignment="1">
      <alignment horizontal="right"/>
    </xf>
    <xf numFmtId="0" fontId="5" fillId="0" borderId="17" xfId="0" applyFont="1" applyBorder="1"/>
    <xf numFmtId="3" fontId="7" fillId="0" borderId="0" xfId="1" applyNumberFormat="1" applyFont="1"/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0" fontId="9" fillId="3" borderId="0" xfId="0" applyFont="1" applyFill="1"/>
    <xf numFmtId="0" fontId="0" fillId="3" borderId="0" xfId="0" applyFill="1"/>
    <xf numFmtId="0" fontId="3" fillId="0" borderId="0" xfId="0" applyFont="1" applyAlignment="1">
      <alignment horizontal="right"/>
    </xf>
    <xf numFmtId="0" fontId="3" fillId="0" borderId="0" xfId="0" applyFont="1"/>
    <xf numFmtId="0" fontId="3" fillId="0" borderId="0" xfId="0" applyFont="1" applyAlignment="1">
      <alignment horizontal="right" wrapText="1"/>
    </xf>
    <xf numFmtId="0" fontId="5" fillId="0" borderId="0" xfId="0" applyFont="1" applyAlignment="1">
      <alignment vertical="center" wrapText="1"/>
    </xf>
    <xf numFmtId="0" fontId="13" fillId="0" borderId="0" xfId="3" applyFont="1"/>
    <xf numFmtId="3" fontId="5" fillId="0" borderId="0" xfId="0" applyNumberFormat="1" applyFont="1"/>
    <xf numFmtId="0" fontId="0" fillId="0" borderId="9" xfId="0" applyBorder="1" applyAlignment="1">
      <alignment horizontal="right" wrapText="1"/>
    </xf>
    <xf numFmtId="1" fontId="3" fillId="0" borderId="0" xfId="2" applyNumberFormat="1" applyFont="1"/>
    <xf numFmtId="0" fontId="5" fillId="0" borderId="0" xfId="0" applyFont="1" applyAlignment="1">
      <alignment wrapText="1"/>
    </xf>
    <xf numFmtId="0" fontId="3" fillId="0" borderId="0" xfId="4"/>
    <xf numFmtId="0" fontId="3" fillId="0" borderId="10" xfId="4" applyBorder="1"/>
    <xf numFmtId="3" fontId="3" fillId="0" borderId="10" xfId="4" applyNumberFormat="1" applyBorder="1"/>
    <xf numFmtId="3" fontId="3" fillId="0" borderId="0" xfId="4" applyNumberFormat="1"/>
    <xf numFmtId="0" fontId="3" fillId="0" borderId="11" xfId="4" applyBorder="1" applyAlignment="1">
      <alignment horizontal="centerContinuous"/>
    </xf>
    <xf numFmtId="0" fontId="3" fillId="0" borderId="11" xfId="4" applyBorder="1"/>
    <xf numFmtId="164" fontId="3" fillId="0" borderId="0" xfId="4" applyNumberFormat="1"/>
    <xf numFmtId="164" fontId="3" fillId="0" borderId="10" xfId="4" applyNumberFormat="1" applyBorder="1"/>
    <xf numFmtId="0" fontId="5" fillId="0" borderId="11" xfId="0" applyFont="1" applyBorder="1" applyAlignment="1">
      <alignment horizontal="right"/>
    </xf>
    <xf numFmtId="1" fontId="5" fillId="0" borderId="10" xfId="4" applyNumberFormat="1" applyFont="1" applyBorder="1" applyAlignment="1">
      <alignment horizontal="left"/>
    </xf>
    <xf numFmtId="1" fontId="5" fillId="0" borderId="10" xfId="4" applyNumberFormat="1" applyFont="1" applyBorder="1" applyAlignment="1">
      <alignment horizontal="left" wrapText="1"/>
    </xf>
    <xf numFmtId="0" fontId="3" fillId="0" borderId="0" xfId="4" applyAlignment="1">
      <alignment wrapText="1"/>
    </xf>
    <xf numFmtId="0" fontId="3" fillId="0" borderId="0" xfId="4" applyAlignment="1">
      <alignment horizontal="centerContinuous"/>
    </xf>
    <xf numFmtId="0" fontId="3" fillId="0" borderId="0" xfId="4" applyAlignment="1">
      <alignment horizontal="right" wrapText="1"/>
    </xf>
    <xf numFmtId="0" fontId="0" fillId="0" borderId="10" xfId="0" applyBorder="1" applyAlignment="1">
      <alignment horizontal="right" wrapText="1"/>
    </xf>
    <xf numFmtId="0" fontId="3" fillId="0" borderId="10" xfId="4" applyBorder="1" applyAlignment="1">
      <alignment horizontal="right" wrapText="1"/>
    </xf>
    <xf numFmtId="1" fontId="3" fillId="0" borderId="0" xfId="4" applyNumberFormat="1"/>
    <xf numFmtId="1" fontId="3" fillId="0" borderId="10" xfId="4" applyNumberFormat="1" applyBorder="1"/>
    <xf numFmtId="1" fontId="3" fillId="0" borderId="0" xfId="4" applyNumberFormat="1" applyAlignment="1">
      <alignment horizontal="right" wrapText="1"/>
    </xf>
    <xf numFmtId="1" fontId="3" fillId="0" borderId="10" xfId="4" applyNumberFormat="1" applyBorder="1" applyAlignment="1">
      <alignment horizontal="right" wrapText="1"/>
    </xf>
    <xf numFmtId="0" fontId="5" fillId="0" borderId="0" xfId="4" applyFont="1" applyAlignment="1">
      <alignment horizontal="center"/>
    </xf>
    <xf numFmtId="3" fontId="3" fillId="0" borderId="11" xfId="4" applyNumberFormat="1" applyBorder="1"/>
    <xf numFmtId="1" fontId="5" fillId="0" borderId="10" xfId="4" applyNumberFormat="1" applyFont="1" applyBorder="1" applyAlignment="1">
      <alignment wrapText="1"/>
    </xf>
    <xf numFmtId="0" fontId="5" fillId="0" borderId="0" xfId="4" applyFont="1"/>
    <xf numFmtId="0" fontId="3" fillId="0" borderId="10" xfId="0" applyFont="1" applyBorder="1" applyAlignment="1">
      <alignment horizontal="right" wrapText="1"/>
    </xf>
    <xf numFmtId="0" fontId="3" fillId="0" borderId="10" xfId="4" applyBorder="1" applyAlignment="1">
      <alignment horizontal="right"/>
    </xf>
    <xf numFmtId="0" fontId="3" fillId="0" borderId="0" xfId="4" applyAlignment="1">
      <alignment horizontal="right"/>
    </xf>
    <xf numFmtId="0" fontId="5" fillId="0" borderId="11" xfId="4" applyFont="1" applyBorder="1"/>
    <xf numFmtId="0" fontId="3" fillId="0" borderId="11" xfId="4" applyBorder="1" applyAlignment="1">
      <alignment horizontal="right"/>
    </xf>
    <xf numFmtId="1" fontId="5" fillId="0" borderId="10" xfId="4" applyNumberFormat="1" applyFont="1" applyBorder="1"/>
    <xf numFmtId="0" fontId="5" fillId="0" borderId="10" xfId="4" applyFont="1" applyBorder="1" applyAlignment="1">
      <alignment horizontal="right"/>
    </xf>
    <xf numFmtId="0" fontId="10" fillId="0" borderId="0" xfId="4" applyFont="1"/>
    <xf numFmtId="3" fontId="10" fillId="0" borderId="0" xfId="4" applyNumberFormat="1" applyFont="1"/>
    <xf numFmtId="0" fontId="0" fillId="0" borderId="0" xfId="0" quotePrefix="1"/>
    <xf numFmtId="0" fontId="0" fillId="0" borderId="0" xfId="0" applyAlignment="1">
      <alignment textRotation="90"/>
    </xf>
    <xf numFmtId="1" fontId="3" fillId="0" borderId="0" xfId="0" applyNumberFormat="1" applyFont="1"/>
    <xf numFmtId="0" fontId="3" fillId="2" borderId="20" xfId="0" applyFont="1" applyFill="1" applyBorder="1" applyAlignment="1">
      <alignment horizontal="center"/>
    </xf>
    <xf numFmtId="0" fontId="16" fillId="4" borderId="0" xfId="5" applyFont="1" applyFill="1"/>
    <xf numFmtId="0" fontId="15" fillId="4" borderId="0" xfId="5" applyFill="1"/>
    <xf numFmtId="0" fontId="15" fillId="0" borderId="0" xfId="5"/>
    <xf numFmtId="0" fontId="16" fillId="4" borderId="11" xfId="5" applyFont="1" applyFill="1" applyBorder="1" applyAlignment="1">
      <alignment horizontal="right"/>
    </xf>
    <xf numFmtId="1" fontId="16" fillId="4" borderId="11" xfId="5" applyNumberFormat="1" applyFont="1" applyFill="1" applyBorder="1" applyAlignment="1">
      <alignment horizontal="right"/>
    </xf>
    <xf numFmtId="1" fontId="5" fillId="4" borderId="0" xfId="6" applyNumberFormat="1" applyFont="1" applyFill="1"/>
    <xf numFmtId="0" fontId="16" fillId="4" borderId="10" xfId="5" applyFont="1" applyFill="1" applyBorder="1" applyAlignment="1">
      <alignment horizontal="right"/>
    </xf>
    <xf numFmtId="1" fontId="15" fillId="0" borderId="0" xfId="5" applyNumberFormat="1"/>
    <xf numFmtId="0" fontId="16" fillId="0" borderId="0" xfId="5" applyFont="1"/>
    <xf numFmtId="0" fontId="17" fillId="0" borderId="0" xfId="5" applyFont="1"/>
    <xf numFmtId="1" fontId="17" fillId="0" borderId="0" xfId="0" applyNumberFormat="1" applyFont="1"/>
    <xf numFmtId="0" fontId="19" fillId="0" borderId="0" xfId="0" applyFont="1" applyAlignment="1">
      <alignment horizontal="left" vertical="center" readingOrder="1"/>
    </xf>
    <xf numFmtId="168" fontId="15" fillId="0" borderId="0" xfId="1" applyNumberFormat="1" applyFont="1"/>
    <xf numFmtId="164" fontId="15" fillId="0" borderId="0" xfId="5" applyNumberFormat="1"/>
    <xf numFmtId="164" fontId="15" fillId="0" borderId="11" xfId="5" applyNumberFormat="1" applyBorder="1"/>
    <xf numFmtId="1" fontId="5" fillId="0" borderId="0" xfId="6" applyNumberFormat="1" applyFont="1"/>
    <xf numFmtId="0" fontId="16" fillId="0" borderId="0" xfId="5" applyFont="1" applyAlignment="1">
      <alignment horizontal="right"/>
    </xf>
    <xf numFmtId="0" fontId="15" fillId="0" borderId="10" xfId="5" applyBorder="1"/>
    <xf numFmtId="0" fontId="15" fillId="0" borderId="11" xfId="5" applyBorder="1"/>
    <xf numFmtId="164" fontId="15" fillId="0" borderId="10" xfId="5" applyNumberFormat="1" applyBorder="1"/>
    <xf numFmtId="1" fontId="15" fillId="0" borderId="10" xfId="5" applyNumberFormat="1" applyBorder="1"/>
    <xf numFmtId="0" fontId="3" fillId="0" borderId="10" xfId="5" applyFont="1" applyBorder="1"/>
    <xf numFmtId="3" fontId="15" fillId="0" borderId="11" xfId="5" applyNumberFormat="1" applyBorder="1"/>
    <xf numFmtId="3" fontId="15" fillId="0" borderId="0" xfId="5" applyNumberFormat="1"/>
    <xf numFmtId="3" fontId="15" fillId="0" borderId="10" xfId="5" applyNumberFormat="1" applyBorder="1"/>
    <xf numFmtId="0" fontId="16" fillId="4" borderId="11" xfId="5" applyFont="1" applyFill="1" applyBorder="1" applyAlignment="1">
      <alignment horizontal="center"/>
    </xf>
    <xf numFmtId="0" fontId="16" fillId="4" borderId="0" xfId="5" applyFont="1" applyFill="1" applyAlignment="1">
      <alignment horizontal="right"/>
    </xf>
    <xf numFmtId="0" fontId="15" fillId="4" borderId="10" xfId="5" applyFill="1" applyBorder="1"/>
    <xf numFmtId="0" fontId="9" fillId="3" borderId="0" xfId="4" applyFont="1" applyFill="1"/>
    <xf numFmtId="0" fontId="3" fillId="3" borderId="0" xfId="4" applyFill="1"/>
    <xf numFmtId="0" fontId="12" fillId="0" borderId="0" xfId="4" applyFont="1"/>
    <xf numFmtId="0" fontId="16" fillId="4" borderId="9" xfId="5" applyFont="1" applyFill="1" applyBorder="1" applyAlignment="1">
      <alignment horizontal="right"/>
    </xf>
    <xf numFmtId="0" fontId="1" fillId="0" borderId="0" xfId="5" applyFont="1"/>
    <xf numFmtId="0" fontId="1" fillId="0" borderId="0" xfId="5" applyFont="1" applyAlignment="1">
      <alignment wrapText="1"/>
    </xf>
    <xf numFmtId="168" fontId="15" fillId="0" borderId="0" xfId="1" applyNumberFormat="1" applyFont="1" applyFill="1" applyBorder="1"/>
    <xf numFmtId="168" fontId="15" fillId="0" borderId="0" xfId="1" applyNumberFormat="1" applyFont="1" applyFill="1"/>
    <xf numFmtId="2" fontId="15" fillId="0" borderId="11" xfId="5" applyNumberFormat="1" applyBorder="1"/>
    <xf numFmtId="2" fontId="15" fillId="0" borderId="0" xfId="5" applyNumberFormat="1"/>
    <xf numFmtId="0" fontId="1" fillId="4" borderId="10" xfId="5" applyFont="1" applyFill="1" applyBorder="1"/>
    <xf numFmtId="168" fontId="15" fillId="0" borderId="10" xfId="1" applyNumberFormat="1" applyFont="1" applyFill="1" applyBorder="1"/>
    <xf numFmtId="0" fontId="15" fillId="0" borderId="0" xfId="5" applyAlignment="1">
      <alignment vertical="top" wrapText="1"/>
    </xf>
    <xf numFmtId="169" fontId="1" fillId="0" borderId="0" xfId="1" applyNumberFormat="1" applyFont="1" applyFill="1"/>
    <xf numFmtId="0" fontId="14" fillId="0" borderId="0" xfId="0" applyFont="1" applyAlignment="1">
      <alignment horizontal="left" vertical="top"/>
    </xf>
    <xf numFmtId="0" fontId="15" fillId="0" borderId="0" xfId="5" applyAlignment="1">
      <alignment horizontal="left" vertical="top"/>
    </xf>
    <xf numFmtId="4" fontId="0" fillId="0" borderId="0" xfId="0" applyNumberFormat="1"/>
    <xf numFmtId="2" fontId="7" fillId="0" borderId="0" xfId="3" applyNumberFormat="1" applyFont="1"/>
    <xf numFmtId="0" fontId="0" fillId="2" borderId="15" xfId="0" applyFill="1" applyBorder="1" applyAlignment="1">
      <alignment horizontal="right"/>
    </xf>
    <xf numFmtId="0" fontId="22" fillId="0" borderId="0" xfId="0" applyFont="1"/>
    <xf numFmtId="0" fontId="5" fillId="2" borderId="12" xfId="0" applyFont="1" applyFill="1" applyBorder="1" applyAlignment="1">
      <alignment horizontal="left" vertical="center"/>
    </xf>
    <xf numFmtId="0" fontId="5" fillId="2" borderId="12" xfId="0" applyFont="1" applyFill="1" applyBorder="1" applyAlignment="1">
      <alignment vertical="center"/>
    </xf>
    <xf numFmtId="1" fontId="3" fillId="0" borderId="0" xfId="4" applyNumberFormat="1" applyAlignment="1">
      <alignment horizontal="right"/>
    </xf>
    <xf numFmtId="0" fontId="5" fillId="0" borderId="9" xfId="4" applyFont="1" applyBorder="1"/>
    <xf numFmtId="0" fontId="5" fillId="0" borderId="10" xfId="4" applyFont="1" applyBorder="1"/>
    <xf numFmtId="0" fontId="18" fillId="0" borderId="0" xfId="4" applyFont="1"/>
    <xf numFmtId="0" fontId="5" fillId="0" borderId="0" xfId="3" applyFont="1"/>
    <xf numFmtId="0" fontId="5" fillId="0" borderId="0" xfId="4" applyFont="1" applyAlignment="1">
      <alignment horizontal="right"/>
    </xf>
    <xf numFmtId="0" fontId="5" fillId="0" borderId="11" xfId="4" applyFont="1" applyBorder="1" applyAlignment="1">
      <alignment horizontal="centerContinuous"/>
    </xf>
    <xf numFmtId="0" fontId="3" fillId="0" borderId="9" xfId="4" applyBorder="1" applyAlignment="1">
      <alignment horizontal="centerContinuous"/>
    </xf>
    <xf numFmtId="0" fontId="3" fillId="0" borderId="9" xfId="4" applyBorder="1"/>
    <xf numFmtId="1" fontId="5" fillId="0" borderId="10" xfId="4" applyNumberFormat="1" applyFont="1" applyBorder="1" applyAlignment="1">
      <alignment horizontal="right"/>
    </xf>
    <xf numFmtId="3" fontId="3" fillId="0" borderId="0" xfId="1" applyNumberFormat="1" applyFont="1"/>
    <xf numFmtId="3" fontId="3" fillId="0" borderId="0" xfId="1" applyNumberFormat="1" applyFont="1" applyBorder="1"/>
    <xf numFmtId="3" fontId="3" fillId="0" borderId="10" xfId="1" applyNumberFormat="1" applyFont="1" applyBorder="1"/>
    <xf numFmtId="3" fontId="3" fillId="0" borderId="11" xfId="1" applyNumberFormat="1" applyFont="1" applyBorder="1"/>
    <xf numFmtId="0" fontId="16" fillId="4" borderId="0" xfId="5" applyFont="1" applyFill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9" fillId="0" borderId="0" xfId="0" applyFont="1"/>
    <xf numFmtId="0" fontId="5" fillId="0" borderId="9" xfId="0" applyFont="1" applyBorder="1"/>
    <xf numFmtId="1" fontId="18" fillId="0" borderId="0" xfId="0" applyNumberFormat="1" applyFont="1"/>
    <xf numFmtId="2" fontId="15" fillId="0" borderId="10" xfId="5" applyNumberFormat="1" applyBorder="1"/>
    <xf numFmtId="0" fontId="0" fillId="2" borderId="10" xfId="0" applyFill="1" applyBorder="1"/>
    <xf numFmtId="0" fontId="5" fillId="2" borderId="14" xfId="0" applyFont="1" applyFill="1" applyBorder="1" applyAlignment="1">
      <alignment horizontal="left" vertical="center"/>
    </xf>
    <xf numFmtId="167" fontId="0" fillId="0" borderId="0" xfId="11" applyNumberFormat="1" applyFont="1" applyAlignment="1"/>
    <xf numFmtId="0" fontId="5" fillId="0" borderId="9" xfId="0" applyFont="1" applyBorder="1" applyAlignment="1">
      <alignment vertical="center" wrapText="1"/>
    </xf>
    <xf numFmtId="0" fontId="0" fillId="0" borderId="9" xfId="0" applyBorder="1" applyAlignment="1">
      <alignment horizontal="right"/>
    </xf>
    <xf numFmtId="0" fontId="24" fillId="0" borderId="0" xfId="5" applyFont="1"/>
    <xf numFmtId="0" fontId="0" fillId="2" borderId="23" xfId="0" applyFill="1" applyBorder="1" applyAlignment="1">
      <alignment horizontal="right"/>
    </xf>
    <xf numFmtId="3" fontId="10" fillId="0" borderId="10" xfId="0" applyNumberFormat="1" applyFont="1" applyBorder="1"/>
    <xf numFmtId="164" fontId="10" fillId="0" borderId="10" xfId="0" applyNumberFormat="1" applyFont="1" applyBorder="1"/>
    <xf numFmtId="3" fontId="3" fillId="0" borderId="0" xfId="5" applyNumberFormat="1" applyFont="1"/>
    <xf numFmtId="0" fontId="5" fillId="0" borderId="0" xfId="0" applyFont="1" applyAlignment="1">
      <alignment horizontal="left"/>
    </xf>
    <xf numFmtId="0" fontId="5" fillId="0" borderId="22" xfId="0" applyFont="1" applyBorder="1"/>
    <xf numFmtId="0" fontId="25" fillId="0" borderId="22" xfId="12" applyBorder="1"/>
    <xf numFmtId="0" fontId="3" fillId="0" borderId="22" xfId="0" applyFont="1" applyBorder="1"/>
    <xf numFmtId="0" fontId="0" fillId="0" borderId="22" xfId="0" applyBorder="1"/>
    <xf numFmtId="0" fontId="26" fillId="0" borderId="0" xfId="0" applyFont="1"/>
    <xf numFmtId="0" fontId="3" fillId="0" borderId="0" xfId="13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7" fillId="0" borderId="0" xfId="7" applyFont="1" applyAlignment="1">
      <alignment horizontal="center"/>
    </xf>
    <xf numFmtId="0" fontId="31" fillId="0" borderId="0" xfId="7" applyFont="1" applyAlignment="1">
      <alignment horizontal="center" vertical="center"/>
    </xf>
    <xf numFmtId="0" fontId="27" fillId="0" borderId="5" xfId="7" applyFont="1" applyBorder="1" applyAlignment="1">
      <alignment horizontal="center"/>
    </xf>
    <xf numFmtId="0" fontId="1" fillId="0" borderId="1" xfId="7" applyFont="1" applyBorder="1" applyAlignment="1">
      <alignment horizontal="center" vertical="center"/>
    </xf>
    <xf numFmtId="0" fontId="1" fillId="0" borderId="2" xfId="7" applyFont="1" applyBorder="1" applyAlignment="1">
      <alignment horizontal="center" vertical="center"/>
    </xf>
    <xf numFmtId="0" fontId="31" fillId="0" borderId="2" xfId="7" applyFont="1" applyBorder="1" applyAlignment="1">
      <alignment horizontal="center" vertical="center"/>
    </xf>
    <xf numFmtId="0" fontId="1" fillId="0" borderId="3" xfId="7" applyFont="1" applyBorder="1" applyAlignment="1">
      <alignment horizontal="center" vertical="center"/>
    </xf>
    <xf numFmtId="0" fontId="32" fillId="0" borderId="4" xfId="7" applyFont="1" applyBorder="1" applyAlignment="1">
      <alignment horizontal="center" vertical="center"/>
    </xf>
    <xf numFmtId="0" fontId="32" fillId="0" borderId="0" xfId="7" applyFont="1" applyAlignment="1">
      <alignment horizontal="center" vertical="center"/>
    </xf>
    <xf numFmtId="0" fontId="1" fillId="0" borderId="5" xfId="7" applyFont="1" applyBorder="1" applyAlignment="1">
      <alignment horizontal="center" vertical="center"/>
    </xf>
    <xf numFmtId="0" fontId="31" fillId="0" borderId="4" xfId="7" applyFont="1" applyBorder="1" applyAlignment="1">
      <alignment horizontal="center" vertical="center"/>
    </xf>
    <xf numFmtId="0" fontId="8" fillId="0" borderId="0" xfId="7" applyAlignment="1">
      <alignment horizontal="center"/>
    </xf>
    <xf numFmtId="0" fontId="5" fillId="0" borderId="0" xfId="14" applyFont="1"/>
    <xf numFmtId="0" fontId="3" fillId="0" borderId="0" xfId="14"/>
    <xf numFmtId="1" fontId="16" fillId="0" borderId="0" xfId="0" applyNumberFormat="1" applyFont="1"/>
    <xf numFmtId="1" fontId="0" fillId="0" borderId="10" xfId="0" applyNumberFormat="1" applyBorder="1"/>
    <xf numFmtId="1" fontId="7" fillId="0" borderId="0" xfId="0" applyNumberFormat="1" applyFont="1"/>
    <xf numFmtId="1" fontId="5" fillId="0" borderId="11" xfId="0" applyNumberFormat="1" applyFont="1" applyBorder="1"/>
    <xf numFmtId="167" fontId="0" fillId="0" borderId="10" xfId="11" applyNumberFormat="1" applyFont="1" applyBorder="1" applyAlignment="1"/>
    <xf numFmtId="1" fontId="3" fillId="0" borderId="10" xfId="4" applyNumberFormat="1" applyBorder="1" applyAlignment="1">
      <alignment horizontal="center" wrapText="1"/>
    </xf>
    <xf numFmtId="0" fontId="3" fillId="0" borderId="0" xfId="15" applyFont="1"/>
    <xf numFmtId="1" fontId="3" fillId="0" borderId="0" xfId="15" applyNumberFormat="1" applyFont="1"/>
    <xf numFmtId="3" fontId="3" fillId="0" borderId="0" xfId="15" applyNumberFormat="1" applyFont="1"/>
    <xf numFmtId="3" fontId="3" fillId="0" borderId="0" xfId="15" applyNumberFormat="1" applyFont="1" applyAlignment="1">
      <alignment horizontal="right"/>
    </xf>
    <xf numFmtId="1" fontId="3" fillId="0" borderId="0" xfId="15" applyNumberFormat="1" applyFont="1" applyAlignment="1">
      <alignment horizontal="right"/>
    </xf>
    <xf numFmtId="1" fontId="5" fillId="0" borderId="0" xfId="15" applyNumberFormat="1" applyFont="1"/>
    <xf numFmtId="0" fontId="5" fillId="0" borderId="11" xfId="15" applyFont="1" applyBorder="1"/>
    <xf numFmtId="0" fontId="3" fillId="0" borderId="11" xfId="15" applyFont="1" applyBorder="1"/>
    <xf numFmtId="1" fontId="3" fillId="0" borderId="10" xfId="15" applyNumberFormat="1" applyFont="1" applyBorder="1"/>
    <xf numFmtId="0" fontId="5" fillId="0" borderId="10" xfId="15" applyFont="1" applyBorder="1" applyAlignment="1">
      <alignment horizontal="right"/>
    </xf>
    <xf numFmtId="0" fontId="5" fillId="0" borderId="0" xfId="15" applyFont="1" applyAlignment="1">
      <alignment horizontal="centerContinuous"/>
    </xf>
    <xf numFmtId="3" fontId="3" fillId="0" borderId="10" xfId="15" applyNumberFormat="1" applyFont="1" applyBorder="1"/>
    <xf numFmtId="0" fontId="3" fillId="0" borderId="0" xfId="15" applyFont="1" applyAlignment="1">
      <alignment horizontal="right"/>
    </xf>
    <xf numFmtId="3" fontId="3" fillId="0" borderId="0" xfId="3" applyNumberFormat="1" applyFont="1"/>
    <xf numFmtId="1" fontId="5" fillId="0" borderId="11" xfId="15" applyNumberFormat="1" applyFont="1" applyBorder="1"/>
    <xf numFmtId="3" fontId="3" fillId="0" borderId="10" xfId="3" applyNumberFormat="1" applyFont="1" applyBorder="1" applyAlignment="1">
      <alignment horizontal="right"/>
    </xf>
    <xf numFmtId="0" fontId="3" fillId="0" borderId="10" xfId="15" applyFont="1" applyBorder="1"/>
    <xf numFmtId="1" fontId="5" fillId="0" borderId="0" xfId="15" applyNumberFormat="1" applyFont="1" applyAlignment="1">
      <alignment horizontal="centerContinuous"/>
    </xf>
    <xf numFmtId="0" fontId="5" fillId="0" borderId="10" xfId="15" applyFont="1" applyBorder="1"/>
    <xf numFmtId="1" fontId="5" fillId="0" borderId="10" xfId="15" applyNumberFormat="1" applyFont="1" applyBorder="1" applyAlignment="1">
      <alignment horizontal="right"/>
    </xf>
    <xf numFmtId="1" fontId="3" fillId="0" borderId="10" xfId="3" applyNumberFormat="1" applyFont="1" applyBorder="1" applyAlignment="1">
      <alignment horizontal="right"/>
    </xf>
    <xf numFmtId="0" fontId="5" fillId="0" borderId="0" xfId="15" applyFont="1" applyAlignment="1">
      <alignment horizontal="right"/>
    </xf>
    <xf numFmtId="0" fontId="5" fillId="0" borderId="0" xfId="15" applyFont="1"/>
    <xf numFmtId="1" fontId="5" fillId="0" borderId="0" xfId="15" applyNumberFormat="1" applyFont="1" applyAlignment="1">
      <alignment horizontal="right"/>
    </xf>
    <xf numFmtId="1" fontId="3" fillId="0" borderId="0" xfId="16" applyNumberFormat="1" applyFont="1"/>
    <xf numFmtId="1" fontId="5" fillId="0" borderId="0" xfId="16" applyNumberFormat="1" applyFont="1"/>
    <xf numFmtId="1" fontId="10" fillId="0" borderId="0" xfId="16" applyNumberFormat="1" applyFont="1"/>
    <xf numFmtId="1" fontId="3" fillId="0" borderId="0" xfId="16" applyNumberFormat="1" applyFont="1" applyAlignment="1">
      <alignment horizontal="right"/>
    </xf>
    <xf numFmtId="1" fontId="3" fillId="0" borderId="10" xfId="16" applyNumberFormat="1" applyFont="1" applyBorder="1"/>
    <xf numFmtId="1" fontId="26" fillId="0" borderId="11" xfId="16" applyNumberFormat="1" applyFont="1" applyBorder="1"/>
    <xf numFmtId="1" fontId="3" fillId="0" borderId="11" xfId="16" applyNumberFormat="1" applyFont="1" applyBorder="1"/>
    <xf numFmtId="1" fontId="18" fillId="0" borderId="10" xfId="16" applyNumberFormat="1" applyFont="1" applyBorder="1"/>
    <xf numFmtId="1" fontId="5" fillId="0" borderId="10" xfId="16" applyNumberFormat="1" applyFont="1" applyBorder="1" applyAlignment="1">
      <alignment horizontal="right"/>
    </xf>
    <xf numFmtId="1" fontId="18" fillId="0" borderId="0" xfId="16" applyNumberFormat="1" applyFont="1"/>
    <xf numFmtId="0" fontId="16" fillId="0" borderId="11" xfId="5" applyFont="1" applyBorder="1" applyAlignment="1">
      <alignment horizontal="right"/>
    </xf>
    <xf numFmtId="1" fontId="16" fillId="0" borderId="11" xfId="5" applyNumberFormat="1" applyFont="1" applyBorder="1" applyAlignment="1">
      <alignment horizontal="right"/>
    </xf>
    <xf numFmtId="0" fontId="16" fillId="0" borderId="10" xfId="5" applyFont="1" applyBorder="1" applyAlignment="1">
      <alignment horizontal="right"/>
    </xf>
    <xf numFmtId="1" fontId="5" fillId="0" borderId="10" xfId="6" applyNumberFormat="1" applyFont="1" applyBorder="1"/>
    <xf numFmtId="0" fontId="16" fillId="0" borderId="10" xfId="5" applyFont="1" applyBorder="1"/>
    <xf numFmtId="0" fontId="16" fillId="0" borderId="11" xfId="5" applyFont="1" applyBorder="1"/>
    <xf numFmtId="0" fontId="31" fillId="0" borderId="0" xfId="5" applyFont="1"/>
    <xf numFmtId="1" fontId="5" fillId="0" borderId="11" xfId="6" applyNumberFormat="1" applyFont="1" applyBorder="1"/>
    <xf numFmtId="3" fontId="5" fillId="0" borderId="0" xfId="15" applyNumberFormat="1" applyFont="1" applyAlignment="1">
      <alignment horizontal="centerContinuous"/>
    </xf>
    <xf numFmtId="1" fontId="5" fillId="0" borderId="0" xfId="7" applyNumberFormat="1" applyFont="1"/>
    <xf numFmtId="3" fontId="5" fillId="0" borderId="10" xfId="15" applyNumberFormat="1" applyFont="1" applyBorder="1" applyAlignment="1">
      <alignment horizontal="right"/>
    </xf>
    <xf numFmtId="3" fontId="5" fillId="0" borderId="0" xfId="3" applyNumberFormat="1" applyFont="1"/>
    <xf numFmtId="0" fontId="3" fillId="0" borderId="0" xfId="3" applyFont="1"/>
    <xf numFmtId="1" fontId="3" fillId="0" borderId="0" xfId="3" applyNumberFormat="1" applyFont="1"/>
    <xf numFmtId="1" fontId="3" fillId="0" borderId="0" xfId="3" applyNumberFormat="1" applyFont="1" applyAlignment="1">
      <alignment horizontal="right"/>
    </xf>
    <xf numFmtId="1" fontId="5" fillId="0" borderId="0" xfId="3" applyNumberFormat="1" applyFont="1"/>
    <xf numFmtId="1" fontId="5" fillId="0" borderId="0" xfId="3" applyNumberFormat="1" applyFont="1" applyAlignment="1">
      <alignment horizontal="left"/>
    </xf>
    <xf numFmtId="1" fontId="5" fillId="0" borderId="0" xfId="3" applyNumberFormat="1" applyFont="1" applyAlignment="1">
      <alignment horizontal="right"/>
    </xf>
    <xf numFmtId="0" fontId="5" fillId="0" borderId="11" xfId="3" applyFont="1" applyBorder="1"/>
    <xf numFmtId="1" fontId="5" fillId="0" borderId="11" xfId="3" applyNumberFormat="1" applyFont="1" applyBorder="1"/>
    <xf numFmtId="0" fontId="3" fillId="0" borderId="11" xfId="3" applyFont="1" applyBorder="1"/>
    <xf numFmtId="1" fontId="3" fillId="0" borderId="11" xfId="3" applyNumberFormat="1" applyFont="1" applyBorder="1"/>
    <xf numFmtId="0" fontId="5" fillId="0" borderId="0" xfId="3" applyFont="1" applyAlignment="1">
      <alignment horizontal="left"/>
    </xf>
    <xf numFmtId="0" fontId="3" fillId="0" borderId="10" xfId="3" applyFont="1" applyBorder="1"/>
    <xf numFmtId="1" fontId="3" fillId="0" borderId="10" xfId="3" applyNumberFormat="1" applyFont="1" applyBorder="1"/>
    <xf numFmtId="0" fontId="4" fillId="0" borderId="0" xfId="3" applyFont="1"/>
    <xf numFmtId="0" fontId="5" fillId="0" borderId="10" xfId="3" applyFont="1" applyBorder="1"/>
    <xf numFmtId="1" fontId="5" fillId="0" borderId="10" xfId="3" applyNumberFormat="1" applyFont="1" applyBorder="1" applyAlignment="1">
      <alignment horizontal="right"/>
    </xf>
    <xf numFmtId="2" fontId="3" fillId="0" borderId="0" xfId="3" applyNumberFormat="1" applyFont="1" applyAlignment="1">
      <alignment horizontal="right"/>
    </xf>
    <xf numFmtId="164" fontId="3" fillId="0" borderId="0" xfId="3" applyNumberFormat="1" applyFont="1" applyAlignment="1">
      <alignment horizontal="right"/>
    </xf>
    <xf numFmtId="164" fontId="3" fillId="0" borderId="0" xfId="16" applyNumberFormat="1" applyFont="1" applyAlignment="1">
      <alignment horizontal="right"/>
    </xf>
    <xf numFmtId="164" fontId="3" fillId="0" borderId="10" xfId="16" applyNumberFormat="1" applyFont="1" applyBorder="1" applyAlignment="1">
      <alignment horizontal="right"/>
    </xf>
    <xf numFmtId="166" fontId="3" fillId="0" borderId="0" xfId="3" applyNumberFormat="1" applyFont="1"/>
    <xf numFmtId="166" fontId="3" fillId="0" borderId="0" xfId="15" applyNumberFormat="1" applyFont="1"/>
    <xf numFmtId="166" fontId="7" fillId="0" borderId="0" xfId="1" applyNumberFormat="1" applyFont="1"/>
    <xf numFmtId="166" fontId="7" fillId="0" borderId="0" xfId="1" applyNumberFormat="1" applyFont="1" applyBorder="1"/>
    <xf numFmtId="166" fontId="7" fillId="0" borderId="0" xfId="0" applyNumberFormat="1" applyFont="1"/>
    <xf numFmtId="166" fontId="7" fillId="0" borderId="10" xfId="1" applyNumberFormat="1" applyFont="1" applyBorder="1"/>
    <xf numFmtId="166" fontId="7" fillId="0" borderId="10" xfId="0" applyNumberFormat="1" applyFont="1" applyBorder="1"/>
    <xf numFmtId="166" fontId="3" fillId="0" borderId="0" xfId="4" applyNumberFormat="1"/>
    <xf numFmtId="166" fontId="3" fillId="0" borderId="10" xfId="4" applyNumberFormat="1" applyBorder="1"/>
    <xf numFmtId="166" fontId="3" fillId="0" borderId="10" xfId="15" applyNumberFormat="1" applyFont="1" applyBorder="1"/>
    <xf numFmtId="165" fontId="3" fillId="0" borderId="0" xfId="15" applyNumberFormat="1" applyFont="1"/>
    <xf numFmtId="170" fontId="0" fillId="0" borderId="0" xfId="0" applyNumberFormat="1"/>
    <xf numFmtId="1" fontId="10" fillId="0" borderId="0" xfId="16" applyNumberFormat="1" applyFont="1" applyAlignment="1">
      <alignment horizontal="right"/>
    </xf>
    <xf numFmtId="1" fontId="3" fillId="0" borderId="10" xfId="16" applyNumberFormat="1" applyFont="1" applyBorder="1" applyAlignment="1">
      <alignment horizontal="right"/>
    </xf>
    <xf numFmtId="1" fontId="10" fillId="0" borderId="10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center"/>
    </xf>
    <xf numFmtId="1" fontId="5" fillId="0" borderId="0" xfId="16" applyNumberFormat="1" applyFont="1" applyAlignment="1">
      <alignment horizontal="right"/>
    </xf>
    <xf numFmtId="1" fontId="3" fillId="0" borderId="11" xfId="16" applyNumberFormat="1" applyFont="1" applyBorder="1" applyAlignment="1">
      <alignment horizontal="right"/>
    </xf>
    <xf numFmtId="0" fontId="5" fillId="0" borderId="10" xfId="3" applyFont="1" applyBorder="1" applyAlignment="1">
      <alignment horizontal="center"/>
    </xf>
    <xf numFmtId="4" fontId="3" fillId="0" borderId="0" xfId="3" applyNumberFormat="1" applyFont="1"/>
    <xf numFmtId="4" fontId="3" fillId="0" borderId="0" xfId="15" applyNumberFormat="1" applyFont="1"/>
    <xf numFmtId="0" fontId="13" fillId="0" borderId="0" xfId="15" applyFont="1"/>
    <xf numFmtId="0" fontId="13" fillId="0" borderId="0" xfId="15" applyFont="1" applyAlignment="1">
      <alignment horizontal="centerContinuous"/>
    </xf>
    <xf numFmtId="0" fontId="13" fillId="0" borderId="0" xfId="4" applyFont="1"/>
    <xf numFmtId="0" fontId="3" fillId="0" borderId="0" xfId="4" applyAlignment="1">
      <alignment horizontal="center" vertical="center"/>
    </xf>
    <xf numFmtId="164" fontId="3" fillId="0" borderId="0" xfId="3" applyNumberFormat="1" applyFont="1" applyAlignment="1">
      <alignment horizontal="center" vertical="center"/>
    </xf>
    <xf numFmtId="1" fontId="3" fillId="0" borderId="0" xfId="15" applyNumberFormat="1" applyFont="1" applyAlignment="1">
      <alignment vertical="center"/>
    </xf>
    <xf numFmtId="3" fontId="3" fillId="0" borderId="0" xfId="3" applyNumberFormat="1" applyFont="1" applyAlignment="1">
      <alignment horizontal="center" vertical="center"/>
    </xf>
    <xf numFmtId="3" fontId="3" fillId="0" borderId="0" xfId="15" applyNumberFormat="1" applyFont="1" applyAlignment="1">
      <alignment horizontal="center" vertical="center"/>
    </xf>
    <xf numFmtId="1" fontId="5" fillId="0" borderId="10" xfId="15" applyNumberFormat="1" applyFont="1" applyBorder="1" applyAlignment="1">
      <alignment vertical="center"/>
    </xf>
    <xf numFmtId="3" fontId="5" fillId="0" borderId="10" xfId="15" applyNumberFormat="1" applyFont="1" applyBorder="1" applyAlignment="1">
      <alignment horizontal="center" vertical="center"/>
    </xf>
    <xf numFmtId="164" fontId="5" fillId="0" borderId="10" xfId="3" applyNumberFormat="1" applyFont="1" applyBorder="1" applyAlignment="1">
      <alignment horizontal="center" vertical="center"/>
    </xf>
    <xf numFmtId="0" fontId="5" fillId="0" borderId="10" xfId="4" applyFont="1" applyBorder="1" applyAlignment="1">
      <alignment horizontal="center" vertical="center"/>
    </xf>
    <xf numFmtId="9" fontId="0" fillId="0" borderId="0" xfId="11" applyFont="1"/>
    <xf numFmtId="9" fontId="5" fillId="0" borderId="0" xfId="11" applyFont="1"/>
    <xf numFmtId="0" fontId="5" fillId="0" borderId="10" xfId="0" applyFont="1" applyBorder="1" applyAlignment="1">
      <alignment horizontal="center"/>
    </xf>
    <xf numFmtId="1" fontId="5" fillId="0" borderId="10" xfId="0" applyNumberFormat="1" applyFont="1" applyBorder="1" applyAlignment="1">
      <alignment horizontal="center"/>
    </xf>
    <xf numFmtId="3" fontId="13" fillId="0" borderId="0" xfId="3" applyNumberFormat="1" applyFont="1"/>
    <xf numFmtId="3" fontId="5" fillId="0" borderId="0" xfId="0" applyNumberFormat="1" applyFont="1" applyAlignment="1">
      <alignment wrapText="1"/>
    </xf>
    <xf numFmtId="0" fontId="5" fillId="0" borderId="0" xfId="0" applyFont="1" applyAlignment="1">
      <alignment horizontal="right" wrapText="1"/>
    </xf>
    <xf numFmtId="0" fontId="3" fillId="0" borderId="0" xfId="0" applyFont="1" applyAlignment="1">
      <alignment wrapText="1"/>
    </xf>
    <xf numFmtId="1" fontId="3" fillId="0" borderId="9" xfId="0" applyNumberFormat="1" applyFont="1" applyBorder="1" applyAlignment="1">
      <alignment horizontal="right" wrapText="1"/>
    </xf>
    <xf numFmtId="3" fontId="3" fillId="0" borderId="0" xfId="0" applyNumberFormat="1" applyFont="1" applyAlignment="1">
      <alignment wrapText="1"/>
    </xf>
    <xf numFmtId="167" fontId="3" fillId="0" borderId="0" xfId="11" applyNumberFormat="1" applyFont="1" applyAlignment="1">
      <alignment wrapText="1"/>
    </xf>
    <xf numFmtId="0" fontId="10" fillId="0" borderId="10" xfId="0" applyFont="1" applyBorder="1"/>
    <xf numFmtId="167" fontId="3" fillId="0" borderId="0" xfId="10" applyNumberFormat="1" applyFont="1" applyAlignment="1">
      <alignment wrapText="1"/>
    </xf>
    <xf numFmtId="3" fontId="3" fillId="0" borderId="10" xfId="0" applyNumberFormat="1" applyFont="1" applyBorder="1" applyAlignment="1">
      <alignment wrapText="1"/>
    </xf>
    <xf numFmtId="167" fontId="3" fillId="0" borderId="10" xfId="10" applyNumberFormat="1" applyFont="1" applyBorder="1" applyAlignment="1">
      <alignment wrapText="1"/>
    </xf>
    <xf numFmtId="164" fontId="3" fillId="0" borderId="0" xfId="3" applyNumberFormat="1" applyFont="1"/>
    <xf numFmtId="1" fontId="3" fillId="0" borderId="0" xfId="0" applyNumberFormat="1" applyFont="1" applyAlignment="1">
      <alignment horizontal="right"/>
    </xf>
    <xf numFmtId="0" fontId="9" fillId="0" borderId="11" xfId="3" applyFont="1" applyBorder="1"/>
    <xf numFmtId="167" fontId="3" fillId="0" borderId="0" xfId="10" applyNumberFormat="1" applyFont="1" applyBorder="1" applyAlignment="1">
      <alignment wrapText="1"/>
    </xf>
    <xf numFmtId="0" fontId="30" fillId="0" borderId="0" xfId="7" applyFont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4" fillId="0" borderId="0" xfId="7" applyFont="1" applyAlignment="1">
      <alignment horizontal="center" vertical="center"/>
    </xf>
    <xf numFmtId="1" fontId="3" fillId="0" borderId="0" xfId="0" applyNumberFormat="1" applyFont="1" applyAlignment="1">
      <alignment textRotation="90"/>
    </xf>
    <xf numFmtId="0" fontId="1" fillId="0" borderId="4" xfId="7" applyFont="1" applyBorder="1" applyAlignment="1">
      <alignment horizontal="center" vertical="center"/>
    </xf>
    <xf numFmtId="0" fontId="27" fillId="0" borderId="4" xfId="7" applyFont="1" applyBorder="1" applyAlignment="1">
      <alignment horizontal="center"/>
    </xf>
    <xf numFmtId="0" fontId="27" fillId="0" borderId="6" xfId="7" applyFont="1" applyBorder="1" applyAlignment="1">
      <alignment horizontal="center"/>
    </xf>
    <xf numFmtId="0" fontId="27" fillId="0" borderId="7" xfId="7" applyFont="1" applyBorder="1" applyAlignment="1">
      <alignment horizontal="center"/>
    </xf>
    <xf numFmtId="0" fontId="27" fillId="0" borderId="8" xfId="7" applyFont="1" applyBorder="1" applyAlignment="1">
      <alignment horizontal="center"/>
    </xf>
    <xf numFmtId="0" fontId="5" fillId="3" borderId="0" xfId="4" applyFont="1" applyFill="1"/>
    <xf numFmtId="0" fontId="26" fillId="0" borderId="0" xfId="3" applyFont="1"/>
    <xf numFmtId="0" fontId="27" fillId="0" borderId="0" xfId="7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8" fillId="5" borderId="0" xfId="7" applyFont="1" applyFill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0" fillId="0" borderId="0" xfId="7" applyFont="1" applyAlignment="1">
      <alignment horizontal="center" vertical="center" wrapText="1"/>
    </xf>
    <xf numFmtId="0" fontId="30" fillId="0" borderId="0" xfId="7" applyFont="1" applyAlignment="1">
      <alignment horizontal="center" vertical="center"/>
    </xf>
    <xf numFmtId="0" fontId="5" fillId="0" borderId="0" xfId="3" applyFont="1" applyAlignment="1">
      <alignment horizontal="center"/>
    </xf>
    <xf numFmtId="0" fontId="5" fillId="0" borderId="10" xfId="3" applyFont="1" applyBorder="1" applyAlignment="1">
      <alignment horizontal="center"/>
    </xf>
    <xf numFmtId="1" fontId="5" fillId="0" borderId="11" xfId="16" applyNumberFormat="1" applyFont="1" applyBorder="1" applyAlignment="1">
      <alignment horizontal="center"/>
    </xf>
    <xf numFmtId="1" fontId="5" fillId="0" borderId="0" xfId="15" applyNumberFormat="1" applyFont="1" applyAlignment="1">
      <alignment horizontal="center"/>
    </xf>
    <xf numFmtId="0" fontId="5" fillId="0" borderId="0" xfId="15" applyFont="1" applyAlignment="1">
      <alignment horizontal="center"/>
    </xf>
    <xf numFmtId="1" fontId="5" fillId="0" borderId="0" xfId="16" applyNumberFormat="1" applyFont="1" applyAlignment="1">
      <alignment horizontal="center"/>
    </xf>
    <xf numFmtId="0" fontId="5" fillId="0" borderId="0" xfId="0" applyFont="1" applyAlignment="1">
      <alignment horizontal="center"/>
    </xf>
    <xf numFmtId="0" fontId="16" fillId="0" borderId="0" xfId="5" applyFont="1" applyAlignment="1">
      <alignment horizontal="center"/>
    </xf>
    <xf numFmtId="0" fontId="16" fillId="0" borderId="9" xfId="5" applyFont="1" applyBorder="1" applyAlignment="1">
      <alignment horizontal="center"/>
    </xf>
    <xf numFmtId="0" fontId="9" fillId="0" borderId="0" xfId="3" applyFont="1" applyAlignment="1">
      <alignment horizontal="left" vertical="top" wrapText="1"/>
    </xf>
    <xf numFmtId="0" fontId="7" fillId="0" borderId="11" xfId="0" applyFont="1" applyBorder="1" applyAlignment="1">
      <alignment horizontal="center" wrapText="1"/>
    </xf>
    <xf numFmtId="1" fontId="7" fillId="0" borderId="11" xfId="0" applyNumberFormat="1" applyFont="1" applyBorder="1" applyAlignment="1">
      <alignment horizontal="center" wrapText="1"/>
    </xf>
    <xf numFmtId="0" fontId="5" fillId="0" borderId="11" xfId="4" applyFont="1" applyBorder="1" applyAlignment="1">
      <alignment horizontal="center"/>
    </xf>
    <xf numFmtId="0" fontId="5" fillId="0" borderId="0" xfId="4" applyFont="1" applyAlignment="1">
      <alignment horizontal="center"/>
    </xf>
    <xf numFmtId="0" fontId="16" fillId="4" borderId="10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14" fillId="0" borderId="0" xfId="0" applyFont="1" applyAlignment="1">
      <alignment horizontal="left" vertical="top" wrapText="1"/>
    </xf>
    <xf numFmtId="0" fontId="5" fillId="0" borderId="9" xfId="4" applyFont="1" applyBorder="1" applyAlignment="1">
      <alignment horizontal="center"/>
    </xf>
  </cellXfs>
  <cellStyles count="17">
    <cellStyle name="Comma" xfId="1" builtinId="3"/>
    <cellStyle name="Hyperlink" xfId="12" builtinId="8"/>
    <cellStyle name="Normal" xfId="0" builtinId="0"/>
    <cellStyle name="Normal 2" xfId="4" xr:uid="{00000000-0005-0000-0000-000003000000}"/>
    <cellStyle name="Normal 2 2" xfId="7" xr:uid="{00000000-0005-0000-0000-000004000000}"/>
    <cellStyle name="Normal 3" xfId="6" xr:uid="{00000000-0005-0000-0000-000005000000}"/>
    <cellStyle name="Normal 3 2" xfId="14" xr:uid="{00000000-0005-0000-0000-000006000000}"/>
    <cellStyle name="Normal 4" xfId="8" xr:uid="{00000000-0005-0000-0000-000007000000}"/>
    <cellStyle name="Normal 5" xfId="5" xr:uid="{00000000-0005-0000-0000-000008000000}"/>
    <cellStyle name="Normal 6" xfId="9" xr:uid="{00000000-0005-0000-0000-000009000000}"/>
    <cellStyle name="Normal 7" xfId="15" xr:uid="{00000000-0005-0000-0000-00000A000000}"/>
    <cellStyle name="Normal_16UK" xfId="2" xr:uid="{00000000-0005-0000-0000-00000B000000}"/>
    <cellStyle name="Normal_Book2" xfId="16" xr:uid="{00000000-0005-0000-0000-00000C000000}"/>
    <cellStyle name="Normal_SSDAtables" xfId="3" xr:uid="{00000000-0005-0000-0000-00000E000000}"/>
    <cellStyle name="Normal_WarningSheet" xfId="13" xr:uid="{00000000-0005-0000-0000-00000F000000}"/>
    <cellStyle name="Percent" xfId="11" builtinId="5"/>
    <cellStyle name="Percent 2" xfId="10" xr:uid="{00000000-0005-0000-0000-000011000000}"/>
  </cellStyles>
  <dxfs count="13"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47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externalLink" Target="externalLinks/externalLink1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ustomXml" Target="../customXml/item1.xml"/><Relationship Id="rId20" Type="http://schemas.openxmlformats.org/officeDocument/2006/relationships/worksheet" Target="worksheets/sheet20.xml"/><Relationship Id="rId41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4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7.xml"/></Relationships>
</file>

<file path=xl/charts/_rels/chart5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756178915522327"/>
          <c:y val="2.8320326004183771E-2"/>
          <c:w val="0.63925054006941662"/>
          <c:h val="0.8964848024772655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F1'!$M$7:$M$40</c:f>
              <c:numCache>
                <c:formatCode>General</c:formatCode>
                <c:ptCount val="34"/>
                <c:pt idx="0">
                  <c:v>-8.4406823586569146E-3</c:v>
                </c:pt>
                <c:pt idx="2">
                  <c:v>0.89984833546488119</c:v>
                </c:pt>
                <c:pt idx="3">
                  <c:v>-1.279584211937479</c:v>
                </c:pt>
                <c:pt idx="4">
                  <c:v>-0.85033067811851604</c:v>
                </c:pt>
                <c:pt idx="5">
                  <c:v>-0.19260694440755843</c:v>
                </c:pt>
                <c:pt idx="7">
                  <c:v>-0.94029628451903768</c:v>
                </c:pt>
                <c:pt idx="8">
                  <c:v>-3.6470655363978755</c:v>
                </c:pt>
                <c:pt idx="9">
                  <c:v>-1.4602986839019949</c:v>
                </c:pt>
                <c:pt idx="10">
                  <c:v>-0.50101174906972412</c:v>
                </c:pt>
                <c:pt idx="11">
                  <c:v>0.28876182879089551</c:v>
                </c:pt>
                <c:pt idx="12">
                  <c:v>-0.13686992115355956</c:v>
                </c:pt>
                <c:pt idx="13">
                  <c:v>8.6352552787527515E-2</c:v>
                </c:pt>
                <c:pt idx="14">
                  <c:v>-6.2509627873561957</c:v>
                </c:pt>
                <c:pt idx="15">
                  <c:v>-0.98801985929528602</c:v>
                </c:pt>
                <c:pt idx="17">
                  <c:v>-0.10542389252277129</c:v>
                </c:pt>
                <c:pt idx="18">
                  <c:v>-0.50548322355367103</c:v>
                </c:pt>
                <c:pt idx="19">
                  <c:v>1.5601505259608572</c:v>
                </c:pt>
                <c:pt idx="20">
                  <c:v>0.8454691347876242</c:v>
                </c:pt>
                <c:pt idx="22">
                  <c:v>2.5722103402766816</c:v>
                </c:pt>
                <c:pt idx="24">
                  <c:v>0.65147777713090438</c:v>
                </c:pt>
                <c:pt idx="25">
                  <c:v>1.5107709538380476</c:v>
                </c:pt>
                <c:pt idx="26">
                  <c:v>3.9524553351452552</c:v>
                </c:pt>
                <c:pt idx="27">
                  <c:v>1.1402503460726354</c:v>
                </c:pt>
                <c:pt idx="29">
                  <c:v>4.7123301175184151</c:v>
                </c:pt>
                <c:pt idx="30">
                  <c:v>-7.6394147789523359</c:v>
                </c:pt>
                <c:pt idx="31">
                  <c:v>11.879118368723773</c:v>
                </c:pt>
                <c:pt idx="32">
                  <c:v>-2.6546509503433624</c:v>
                </c:pt>
                <c:pt idx="33">
                  <c:v>-2.1346966871180095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93-4BE8-A289-BE30E28486EE}"/>
            </c:ext>
          </c:extLst>
        </c:ser>
        <c:ser>
          <c:idx val="0"/>
          <c:order val="1"/>
          <c:tx>
            <c:strRef>
              <c:f>'Ind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F1'!$N$7:$N$40</c:f>
              <c:numCache>
                <c:formatCode>General</c:formatCode>
                <c:ptCount val="34"/>
                <c:pt idx="0">
                  <c:v>0.45434319276140833</c:v>
                </c:pt>
                <c:pt idx="2">
                  <c:v>0.39142833116343478</c:v>
                </c:pt>
                <c:pt idx="3">
                  <c:v>0.12780633443161271</c:v>
                </c:pt>
                <c:pt idx="4">
                  <c:v>0.14036514937836309</c:v>
                </c:pt>
                <c:pt idx="5">
                  <c:v>0.25916459981827344</c:v>
                </c:pt>
                <c:pt idx="7">
                  <c:v>-0.40242595993443819</c:v>
                </c:pt>
                <c:pt idx="8">
                  <c:v>1.2897354472019229</c:v>
                </c:pt>
                <c:pt idx="9">
                  <c:v>0.75801705285813981</c:v>
                </c:pt>
                <c:pt idx="10">
                  <c:v>0.7345086596098227</c:v>
                </c:pt>
                <c:pt idx="11">
                  <c:v>0.7174724368534946</c:v>
                </c:pt>
                <c:pt idx="12">
                  <c:v>-0.60371967860198827</c:v>
                </c:pt>
                <c:pt idx="13">
                  <c:v>1.0181628242748042</c:v>
                </c:pt>
                <c:pt idx="14">
                  <c:v>-0.39548816181389501</c:v>
                </c:pt>
                <c:pt idx="15">
                  <c:v>0.62275854492910288</c:v>
                </c:pt>
                <c:pt idx="17">
                  <c:v>1.325147887156608</c:v>
                </c:pt>
                <c:pt idx="18">
                  <c:v>0.42985733679654636</c:v>
                </c:pt>
                <c:pt idx="19">
                  <c:v>0.17354236659408162</c:v>
                </c:pt>
                <c:pt idx="20">
                  <c:v>0.51450979158045307</c:v>
                </c:pt>
                <c:pt idx="22">
                  <c:v>1.0248719185084632</c:v>
                </c:pt>
                <c:pt idx="24">
                  <c:v>-1.2000179867624916</c:v>
                </c:pt>
                <c:pt idx="25">
                  <c:v>-1.6724673113846067</c:v>
                </c:pt>
                <c:pt idx="26">
                  <c:v>1.3295684553941367</c:v>
                </c:pt>
                <c:pt idx="27">
                  <c:v>-1.0440757310475779</c:v>
                </c:pt>
                <c:pt idx="29">
                  <c:v>1.2199554452501093</c:v>
                </c:pt>
                <c:pt idx="30">
                  <c:v>-0.15632930257701849</c:v>
                </c:pt>
                <c:pt idx="31">
                  <c:v>-1.5266579940480751</c:v>
                </c:pt>
                <c:pt idx="32">
                  <c:v>0.41784403826530259</c:v>
                </c:pt>
                <c:pt idx="33">
                  <c:v>0.46607505577145325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93-4BE8-A289-BE30E28486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1426392"/>
        <c:axId val="137969896"/>
      </c:barChart>
      <c:catAx>
        <c:axId val="251426392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9698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37969896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5281505458472884"/>
              <c:y val="0.9570317063482980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426392"/>
        <c:crosses val="autoZero"/>
        <c:crossBetween val="between"/>
        <c:minorUnit val="1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5699934191150069"/>
          <c:y val="0.95507858041695559"/>
          <c:w val="0.11544027811637315"/>
          <c:h val="4.199220752344492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328143736555897E-2"/>
          <c:y val="6.9182531574561834E-2"/>
          <c:w val="0.87224041939852393"/>
          <c:h val="0.786165131529111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F2'!$L$6</c:f>
              <c:strCache>
                <c:ptCount val="1"/>
                <c:pt idx="0">
                  <c:v>Agriculture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F2'!$M$6:$AL$6</c:f>
              <c:numCache>
                <c:formatCode>#,##0</c:formatCode>
                <c:ptCount val="26"/>
                <c:pt idx="0">
                  <c:v>5.2050000000000116</c:v>
                </c:pt>
                <c:pt idx="1">
                  <c:v>6.0140000000000002</c:v>
                </c:pt>
                <c:pt idx="2">
                  <c:v>7.0780000000000136</c:v>
                </c:pt>
                <c:pt idx="3">
                  <c:v>4.6930000000000058</c:v>
                </c:pt>
                <c:pt idx="4">
                  <c:v>9.1450000000000102</c:v>
                </c:pt>
                <c:pt idx="5">
                  <c:v>6.7529999999999895</c:v>
                </c:pt>
                <c:pt idx="6">
                  <c:v>6.0350000000000001</c:v>
                </c:pt>
                <c:pt idx="7">
                  <c:v>6.9400000000000031</c:v>
                </c:pt>
                <c:pt idx="8">
                  <c:v>6.4289999999999887</c:v>
                </c:pt>
                <c:pt idx="9">
                  <c:v>7.5080000000000124</c:v>
                </c:pt>
                <c:pt idx="10">
                  <c:v>5.9030000000000209</c:v>
                </c:pt>
                <c:pt idx="11">
                  <c:v>5.9500000000000055</c:v>
                </c:pt>
                <c:pt idx="12">
                  <c:v>5.9930000000000021</c:v>
                </c:pt>
                <c:pt idx="13">
                  <c:v>6.0610000000000124</c:v>
                </c:pt>
                <c:pt idx="14">
                  <c:v>6.1040000000000028</c:v>
                </c:pt>
                <c:pt idx="15">
                  <c:v>6.1159999999999926</c:v>
                </c:pt>
                <c:pt idx="16">
                  <c:v>6.1320000000000121</c:v>
                </c:pt>
                <c:pt idx="17">
                  <c:v>6.1480000000000175</c:v>
                </c:pt>
                <c:pt idx="18">
                  <c:v>6.1610000000000058</c:v>
                </c:pt>
                <c:pt idx="19">
                  <c:v>6.1730000000000018</c:v>
                </c:pt>
                <c:pt idx="20">
                  <c:v>6.1940000000000071</c:v>
                </c:pt>
                <c:pt idx="21">
                  <c:v>6.2129999999999903</c:v>
                </c:pt>
                <c:pt idx="22">
                  <c:v>6.2320000000000091</c:v>
                </c:pt>
                <c:pt idx="23">
                  <c:v>6.2500000000000018</c:v>
                </c:pt>
                <c:pt idx="24" formatCode="#,##0.00">
                  <c:v>6.2669999999999915</c:v>
                </c:pt>
                <c:pt idx="25">
                  <c:v>6.2839999999999883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A4-40D6-BD1E-474194B8C77E}"/>
            </c:ext>
          </c:extLst>
        </c:ser>
        <c:ser>
          <c:idx val="2"/>
          <c:order val="1"/>
          <c:tx>
            <c:strRef>
              <c:f>'Ind F2'!$L$7</c:f>
              <c:strCache>
                <c:ptCount val="1"/>
                <c:pt idx="0">
                  <c:v>Mining and quarrying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F2'!$M$7:$AL$7</c:f>
              <c:numCache>
                <c:formatCode>#,##0</c:formatCode>
                <c:ptCount val="26"/>
                <c:pt idx="0">
                  <c:v>0.30100000000000016</c:v>
                </c:pt>
                <c:pt idx="1">
                  <c:v>0.22200000000000034</c:v>
                </c:pt>
                <c:pt idx="2">
                  <c:v>0.67699999999999838</c:v>
                </c:pt>
                <c:pt idx="3">
                  <c:v>0.72699999999999987</c:v>
                </c:pt>
                <c:pt idx="4">
                  <c:v>0.27100000000000052</c:v>
                </c:pt>
                <c:pt idx="5">
                  <c:v>0.2629999999999999</c:v>
                </c:pt>
                <c:pt idx="6">
                  <c:v>0.35399999999999987</c:v>
                </c:pt>
                <c:pt idx="7">
                  <c:v>0.38599999999999984</c:v>
                </c:pt>
                <c:pt idx="8">
                  <c:v>0.2009999999999999</c:v>
                </c:pt>
                <c:pt idx="9">
                  <c:v>0.6469999999999988</c:v>
                </c:pt>
                <c:pt idx="10">
                  <c:v>0.4609999999999998</c:v>
                </c:pt>
                <c:pt idx="11">
                  <c:v>0.45000000000000118</c:v>
                </c:pt>
                <c:pt idx="12">
                  <c:v>0.44699999999999884</c:v>
                </c:pt>
                <c:pt idx="13">
                  <c:v>0.43399999999999966</c:v>
                </c:pt>
                <c:pt idx="14">
                  <c:v>0.42000000000000015</c:v>
                </c:pt>
                <c:pt idx="15">
                  <c:v>0.41099999999999881</c:v>
                </c:pt>
                <c:pt idx="16">
                  <c:v>0.40499999999999953</c:v>
                </c:pt>
                <c:pt idx="17">
                  <c:v>0.39899999999999991</c:v>
                </c:pt>
                <c:pt idx="18">
                  <c:v>0.39300000000000135</c:v>
                </c:pt>
                <c:pt idx="19">
                  <c:v>0.38900000000000007</c:v>
                </c:pt>
                <c:pt idx="20">
                  <c:v>0.38499999999999934</c:v>
                </c:pt>
                <c:pt idx="21">
                  <c:v>0.37999999999999945</c:v>
                </c:pt>
                <c:pt idx="22">
                  <c:v>0.37599999999999906</c:v>
                </c:pt>
                <c:pt idx="23">
                  <c:v>0.37199999999999994</c:v>
                </c:pt>
                <c:pt idx="24" formatCode="#,##0.00">
                  <c:v>0.36900000000000044</c:v>
                </c:pt>
                <c:pt idx="25">
                  <c:v>0.36599999999999983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A4-40D6-BD1E-474194B8C77E}"/>
            </c:ext>
          </c:extLst>
        </c:ser>
        <c:ser>
          <c:idx val="3"/>
          <c:order val="2"/>
          <c:tx>
            <c:strRef>
              <c:f>'Ind F2'!$L$8</c:f>
              <c:strCache>
                <c:ptCount val="1"/>
                <c:pt idx="0">
                  <c:v>Electricity and gas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F2'!$M$8:$AL$8</c:f>
              <c:numCache>
                <c:formatCode>#,##0</c:formatCode>
                <c:ptCount val="26"/>
                <c:pt idx="0">
                  <c:v>3.4670000000000036</c:v>
                </c:pt>
                <c:pt idx="1">
                  <c:v>3.4069999999999885</c:v>
                </c:pt>
                <c:pt idx="2">
                  <c:v>3.546000000000002</c:v>
                </c:pt>
                <c:pt idx="3">
                  <c:v>3.2699999999999907</c:v>
                </c:pt>
                <c:pt idx="4">
                  <c:v>5.4099999999999921</c:v>
                </c:pt>
                <c:pt idx="5">
                  <c:v>5.6449999999999934</c:v>
                </c:pt>
                <c:pt idx="6">
                  <c:v>7.7529999999999895</c:v>
                </c:pt>
                <c:pt idx="7">
                  <c:v>7.5640000000000116</c:v>
                </c:pt>
                <c:pt idx="8">
                  <c:v>3.1650000000000049</c:v>
                </c:pt>
                <c:pt idx="9">
                  <c:v>3.0239999999999925</c:v>
                </c:pt>
                <c:pt idx="10">
                  <c:v>3.7940000000000009</c:v>
                </c:pt>
                <c:pt idx="11">
                  <c:v>3.7679999999999927</c:v>
                </c:pt>
                <c:pt idx="12">
                  <c:v>3.6970000000000032</c:v>
                </c:pt>
                <c:pt idx="13">
                  <c:v>3.6799999999999993</c:v>
                </c:pt>
                <c:pt idx="14">
                  <c:v>3.6799999999999988</c:v>
                </c:pt>
                <c:pt idx="15">
                  <c:v>3.6770000000000018</c:v>
                </c:pt>
                <c:pt idx="16">
                  <c:v>3.6729999999999969</c:v>
                </c:pt>
                <c:pt idx="17">
                  <c:v>3.6730000000000018</c:v>
                </c:pt>
                <c:pt idx="18">
                  <c:v>3.6719999999999975</c:v>
                </c:pt>
                <c:pt idx="19">
                  <c:v>3.6730000000000067</c:v>
                </c:pt>
                <c:pt idx="20">
                  <c:v>3.677</c:v>
                </c:pt>
                <c:pt idx="21">
                  <c:v>3.6809999999999965</c:v>
                </c:pt>
                <c:pt idx="22">
                  <c:v>3.6869999999999927</c:v>
                </c:pt>
                <c:pt idx="23">
                  <c:v>3.6929999999999956</c:v>
                </c:pt>
                <c:pt idx="24" formatCode="#,##0.00">
                  <c:v>3.6990000000000109</c:v>
                </c:pt>
                <c:pt idx="25">
                  <c:v>3.7060000000000053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CA4-40D6-BD1E-474194B8C77E}"/>
            </c:ext>
          </c:extLst>
        </c:ser>
        <c:ser>
          <c:idx val="0"/>
          <c:order val="3"/>
          <c:tx>
            <c:strRef>
              <c:f>'Ind F2'!$L$9</c:f>
              <c:strCache>
                <c:ptCount val="1"/>
                <c:pt idx="0">
                  <c:v>Water and sewerage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chemeClr val="tx1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F2'!$M$9:$AL$9</c:f>
              <c:numCache>
                <c:formatCode>#,##0</c:formatCode>
                <c:ptCount val="26"/>
                <c:pt idx="0">
                  <c:v>4.2620000000000058</c:v>
                </c:pt>
                <c:pt idx="1">
                  <c:v>4.5310000000000006</c:v>
                </c:pt>
                <c:pt idx="2">
                  <c:v>4.4499999999999869</c:v>
                </c:pt>
                <c:pt idx="3">
                  <c:v>3.5690000000000048</c:v>
                </c:pt>
                <c:pt idx="4">
                  <c:v>4.1199999999999966</c:v>
                </c:pt>
                <c:pt idx="5">
                  <c:v>3.345000000000002</c:v>
                </c:pt>
                <c:pt idx="6">
                  <c:v>3.623999999999997</c:v>
                </c:pt>
                <c:pt idx="7">
                  <c:v>4.7140000000000013</c:v>
                </c:pt>
                <c:pt idx="8">
                  <c:v>4.2590000000000021</c:v>
                </c:pt>
                <c:pt idx="9">
                  <c:v>4.5730000000000022</c:v>
                </c:pt>
                <c:pt idx="10">
                  <c:v>4.2109999999999914</c:v>
                </c:pt>
                <c:pt idx="11">
                  <c:v>4.1359999999999948</c:v>
                </c:pt>
                <c:pt idx="12">
                  <c:v>4.1149999999999896</c:v>
                </c:pt>
                <c:pt idx="13">
                  <c:v>4.200999999999997</c:v>
                </c:pt>
                <c:pt idx="14">
                  <c:v>4.4059999999999997</c:v>
                </c:pt>
                <c:pt idx="15">
                  <c:v>4.5230000000000103</c:v>
                </c:pt>
                <c:pt idx="16">
                  <c:v>4.6119999999999983</c:v>
                </c:pt>
                <c:pt idx="17">
                  <c:v>4.6809999999999947</c:v>
                </c:pt>
                <c:pt idx="18">
                  <c:v>4.7389999999999972</c:v>
                </c:pt>
                <c:pt idx="19">
                  <c:v>4.7909999999999808</c:v>
                </c:pt>
                <c:pt idx="20">
                  <c:v>4.8379999999999983</c:v>
                </c:pt>
                <c:pt idx="21">
                  <c:v>4.883</c:v>
                </c:pt>
                <c:pt idx="22">
                  <c:v>4.9260000000000081</c:v>
                </c:pt>
                <c:pt idx="23">
                  <c:v>4.968000000000016</c:v>
                </c:pt>
                <c:pt idx="24" formatCode="#,##0.00">
                  <c:v>5.0100000000000025</c:v>
                </c:pt>
                <c:pt idx="25">
                  <c:v>5.0509999999999904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BB-4C95-A899-B448F94DD7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4626528"/>
        <c:axId val="254626912"/>
      </c:areaChart>
      <c:catAx>
        <c:axId val="2546265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9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46269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5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8815128382492435"/>
          <c:y val="0.95968676636462247"/>
          <c:w val="0.67507859518612257"/>
          <c:h val="4.0103619672626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569115872938642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F2'!$L$12</c:f>
              <c:strCache>
                <c:ptCount val="1"/>
                <c:pt idx="0">
                  <c:v>Food drink and tobacco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F2'!$M$12:$AL$12</c:f>
              <c:numCache>
                <c:formatCode>#,##0</c:formatCode>
                <c:ptCount val="26"/>
                <c:pt idx="0">
                  <c:v>3.8020000000000018</c:v>
                </c:pt>
                <c:pt idx="1">
                  <c:v>5.6259999999999994</c:v>
                </c:pt>
                <c:pt idx="2">
                  <c:v>3.8430000000000017</c:v>
                </c:pt>
                <c:pt idx="3">
                  <c:v>3.1680000000000126</c:v>
                </c:pt>
                <c:pt idx="4">
                  <c:v>3.7140000000000066</c:v>
                </c:pt>
                <c:pt idx="5">
                  <c:v>3.6470000000000011</c:v>
                </c:pt>
                <c:pt idx="6">
                  <c:v>3.3690000000000073</c:v>
                </c:pt>
                <c:pt idx="7">
                  <c:v>4.1230000000000038</c:v>
                </c:pt>
                <c:pt idx="8">
                  <c:v>3.6880000000000015</c:v>
                </c:pt>
                <c:pt idx="9">
                  <c:v>4.4449999999999941</c:v>
                </c:pt>
                <c:pt idx="10">
                  <c:v>4.4270000000000014</c:v>
                </c:pt>
                <c:pt idx="11">
                  <c:v>4.5360000000000031</c:v>
                </c:pt>
                <c:pt idx="12">
                  <c:v>4.6609999999999978</c:v>
                </c:pt>
                <c:pt idx="13">
                  <c:v>4.7369999999999868</c:v>
                </c:pt>
                <c:pt idx="14">
                  <c:v>4.8050000000000042</c:v>
                </c:pt>
                <c:pt idx="15">
                  <c:v>4.8669999999999938</c:v>
                </c:pt>
                <c:pt idx="16">
                  <c:v>4.917999999999993</c:v>
                </c:pt>
                <c:pt idx="17">
                  <c:v>4.969000000000003</c:v>
                </c:pt>
                <c:pt idx="18">
                  <c:v>5.0209999999999972</c:v>
                </c:pt>
                <c:pt idx="19">
                  <c:v>5.0729999999999889</c:v>
                </c:pt>
                <c:pt idx="20">
                  <c:v>5.1279999999999868</c:v>
                </c:pt>
                <c:pt idx="21">
                  <c:v>5.1839999999999922</c:v>
                </c:pt>
                <c:pt idx="22">
                  <c:v>5.2389999999999866</c:v>
                </c:pt>
                <c:pt idx="23">
                  <c:v>5.2929999999999922</c:v>
                </c:pt>
                <c:pt idx="24" formatCode="#,##0.00">
                  <c:v>5.3449999999999864</c:v>
                </c:pt>
                <c:pt idx="25">
                  <c:v>5.397000000000002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A0-41D5-BF7E-8A4B7EBE3C25}"/>
            </c:ext>
          </c:extLst>
        </c:ser>
        <c:ser>
          <c:idx val="2"/>
          <c:order val="1"/>
          <c:tx>
            <c:strRef>
              <c:f>'Ind F2'!$L$13</c:f>
              <c:strCache>
                <c:ptCount val="1"/>
                <c:pt idx="0">
                  <c:v>Engineering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F2'!$M$13:$AL$13</c:f>
              <c:numCache>
                <c:formatCode>#,##0</c:formatCode>
                <c:ptCount val="26"/>
                <c:pt idx="0">
                  <c:v>17.431999999999992</c:v>
                </c:pt>
                <c:pt idx="1">
                  <c:v>15.451999999999988</c:v>
                </c:pt>
                <c:pt idx="2">
                  <c:v>13.577000000000021</c:v>
                </c:pt>
                <c:pt idx="3">
                  <c:v>13.453999999999965</c:v>
                </c:pt>
                <c:pt idx="4">
                  <c:v>13.278999999999982</c:v>
                </c:pt>
                <c:pt idx="5">
                  <c:v>11.546999999999993</c:v>
                </c:pt>
                <c:pt idx="6">
                  <c:v>12.238000000000026</c:v>
                </c:pt>
                <c:pt idx="7">
                  <c:v>11.672999999999998</c:v>
                </c:pt>
                <c:pt idx="8">
                  <c:v>10.950000000000006</c:v>
                </c:pt>
                <c:pt idx="9">
                  <c:v>12.817000000000007</c:v>
                </c:pt>
                <c:pt idx="10">
                  <c:v>12.446</c:v>
                </c:pt>
                <c:pt idx="11">
                  <c:v>12.588000000000015</c:v>
                </c:pt>
                <c:pt idx="12">
                  <c:v>12.39499999999996</c:v>
                </c:pt>
                <c:pt idx="13">
                  <c:v>12.319000000000013</c:v>
                </c:pt>
                <c:pt idx="14">
                  <c:v>12.187999999999978</c:v>
                </c:pt>
                <c:pt idx="15">
                  <c:v>12.002999999999998</c:v>
                </c:pt>
                <c:pt idx="16">
                  <c:v>11.741999999999996</c:v>
                </c:pt>
                <c:pt idx="17">
                  <c:v>11.486000000000008</c:v>
                </c:pt>
                <c:pt idx="18">
                  <c:v>11.23500000000001</c:v>
                </c:pt>
                <c:pt idx="19">
                  <c:v>10.99200000000002</c:v>
                </c:pt>
                <c:pt idx="20">
                  <c:v>10.762999999999966</c:v>
                </c:pt>
                <c:pt idx="21">
                  <c:v>10.535000000000025</c:v>
                </c:pt>
                <c:pt idx="22">
                  <c:v>10.311000000000014</c:v>
                </c:pt>
                <c:pt idx="23">
                  <c:v>10.091000000000001</c:v>
                </c:pt>
                <c:pt idx="24" formatCode="#,##0.00">
                  <c:v>9.8749999999999982</c:v>
                </c:pt>
                <c:pt idx="25">
                  <c:v>9.664000000000021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A0-41D5-BF7E-8A4B7EBE3C25}"/>
            </c:ext>
          </c:extLst>
        </c:ser>
        <c:ser>
          <c:idx val="3"/>
          <c:order val="2"/>
          <c:tx>
            <c:strRef>
              <c:f>'Ind F2'!$L$14</c:f>
              <c:strCache>
                <c:ptCount val="1"/>
                <c:pt idx="0">
                  <c:v>Rest of 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F2'!$M$14:$AL$14</c:f>
              <c:numCache>
                <c:formatCode>#,##0</c:formatCode>
                <c:ptCount val="26"/>
                <c:pt idx="0">
                  <c:v>32.812000000000026</c:v>
                </c:pt>
                <c:pt idx="1">
                  <c:v>30.665000000000056</c:v>
                </c:pt>
                <c:pt idx="2">
                  <c:v>33.98299999999989</c:v>
                </c:pt>
                <c:pt idx="3">
                  <c:v>28.749999999999968</c:v>
                </c:pt>
                <c:pt idx="4">
                  <c:v>30.723000000000024</c:v>
                </c:pt>
                <c:pt idx="5">
                  <c:v>31.302000000000042</c:v>
                </c:pt>
                <c:pt idx="6">
                  <c:v>32.546999999999962</c:v>
                </c:pt>
                <c:pt idx="7">
                  <c:v>32.375999999999884</c:v>
                </c:pt>
                <c:pt idx="8">
                  <c:v>33.832999999999885</c:v>
                </c:pt>
                <c:pt idx="9">
                  <c:v>32.484000000000002</c:v>
                </c:pt>
                <c:pt idx="10">
                  <c:v>32.335000000000015</c:v>
                </c:pt>
                <c:pt idx="11">
                  <c:v>31.906000000000081</c:v>
                </c:pt>
                <c:pt idx="12">
                  <c:v>31.412000000000013</c:v>
                </c:pt>
                <c:pt idx="13">
                  <c:v>30.843000000000117</c:v>
                </c:pt>
                <c:pt idx="14">
                  <c:v>30.497000000000007</c:v>
                </c:pt>
                <c:pt idx="15">
                  <c:v>30.045999999999946</c:v>
                </c:pt>
                <c:pt idx="16">
                  <c:v>29.693999999999953</c:v>
                </c:pt>
                <c:pt idx="17">
                  <c:v>29.342999999999989</c:v>
                </c:pt>
                <c:pt idx="18">
                  <c:v>29.00699999999998</c:v>
                </c:pt>
                <c:pt idx="19">
                  <c:v>28.687000000000062</c:v>
                </c:pt>
                <c:pt idx="20">
                  <c:v>28.399999999999967</c:v>
                </c:pt>
                <c:pt idx="21">
                  <c:v>28.099000000000018</c:v>
                </c:pt>
                <c:pt idx="22">
                  <c:v>27.80500000000011</c:v>
                </c:pt>
                <c:pt idx="23">
                  <c:v>27.519000000000034</c:v>
                </c:pt>
                <c:pt idx="24" formatCode="#,##0.00">
                  <c:v>27.240999999999943</c:v>
                </c:pt>
                <c:pt idx="25">
                  <c:v>26.97900000000006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EA0-41D5-BF7E-8A4B7EBE3C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989464"/>
        <c:axId val="253597832"/>
      </c:areaChart>
      <c:catAx>
        <c:axId val="2519894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78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783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9894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3123053901208482"/>
          <c:y val="0.93514739877602659"/>
          <c:w val="0.50157767336115666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98752634219052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61.794999999999916</c:v>
                </c:pt>
                <c:pt idx="1">
                  <c:v>54.108000000000004</c:v>
                </c:pt>
                <c:pt idx="2">
                  <c:v>53.94400000000018</c:v>
                </c:pt>
                <c:pt idx="3">
                  <c:v>54.164000000000129</c:v>
                </c:pt>
                <c:pt idx="4">
                  <c:v>55.680999999999941</c:v>
                </c:pt>
                <c:pt idx="5">
                  <c:v>54.764000000000159</c:v>
                </c:pt>
                <c:pt idx="6">
                  <c:v>61.422999999999966</c:v>
                </c:pt>
                <c:pt idx="7">
                  <c:v>67.383000000000067</c:v>
                </c:pt>
                <c:pt idx="8">
                  <c:v>61.839999999999989</c:v>
                </c:pt>
                <c:pt idx="9">
                  <c:v>60.325000000000038</c:v>
                </c:pt>
                <c:pt idx="10">
                  <c:v>62.178999999999839</c:v>
                </c:pt>
                <c:pt idx="11">
                  <c:v>61.492000000000026</c:v>
                </c:pt>
                <c:pt idx="12">
                  <c:v>62.38299999999991</c:v>
                </c:pt>
                <c:pt idx="13">
                  <c:v>64.423999999999936</c:v>
                </c:pt>
                <c:pt idx="14">
                  <c:v>65.992000000000061</c:v>
                </c:pt>
                <c:pt idx="15">
                  <c:v>66.668000000000376</c:v>
                </c:pt>
                <c:pt idx="16">
                  <c:v>67.268999999999878</c:v>
                </c:pt>
                <c:pt idx="17">
                  <c:v>67.710000000000065</c:v>
                </c:pt>
                <c:pt idx="18">
                  <c:v>68.236000000000089</c:v>
                </c:pt>
                <c:pt idx="19">
                  <c:v>68.725999999999871</c:v>
                </c:pt>
                <c:pt idx="20">
                  <c:v>69.306999999999931</c:v>
                </c:pt>
                <c:pt idx="21">
                  <c:v>69.905000000000044</c:v>
                </c:pt>
                <c:pt idx="22">
                  <c:v>70.522999999999954</c:v>
                </c:pt>
                <c:pt idx="23">
                  <c:v>71.157000000000011</c:v>
                </c:pt>
                <c:pt idx="24" formatCode="#,##0.00">
                  <c:v>71.800999999999888</c:v>
                </c:pt>
                <c:pt idx="25">
                  <c:v>72.454999999999885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91-4833-92D7-C94527035F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8616"/>
        <c:axId val="253599008"/>
      </c:areaChart>
      <c:catAx>
        <c:axId val="25359861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0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900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861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51577326789024558"/>
          <c:y val="0.93514739877602659"/>
          <c:w val="0.12776035076180794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0332874972819527E-2"/>
          <c:y val="7.3221832118928271E-2"/>
          <c:w val="0.8795569405248217"/>
          <c:h val="0.771967315768129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F2'!$L$19</c:f>
              <c:strCache>
                <c:ptCount val="1"/>
                <c:pt idx="0">
                  <c:v>Wholesale and retail trade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F2'!$M$19:$AL$19</c:f>
              <c:numCache>
                <c:formatCode>#,##0</c:formatCode>
                <c:ptCount val="26"/>
                <c:pt idx="0">
                  <c:v>125.04799999999959</c:v>
                </c:pt>
                <c:pt idx="1">
                  <c:v>127.27900000000011</c:v>
                </c:pt>
                <c:pt idx="2">
                  <c:v>127.81200000000001</c:v>
                </c:pt>
                <c:pt idx="3">
                  <c:v>126.64499999999981</c:v>
                </c:pt>
                <c:pt idx="4">
                  <c:v>128.76999999999987</c:v>
                </c:pt>
                <c:pt idx="5">
                  <c:v>127.53499999999985</c:v>
                </c:pt>
                <c:pt idx="6">
                  <c:v>134.05100000000004</c:v>
                </c:pt>
                <c:pt idx="7">
                  <c:v>129.01100000000039</c:v>
                </c:pt>
                <c:pt idx="8">
                  <c:v>132.07600000000014</c:v>
                </c:pt>
                <c:pt idx="9">
                  <c:v>134.59400000000011</c:v>
                </c:pt>
                <c:pt idx="10">
                  <c:v>137.79900000000006</c:v>
                </c:pt>
                <c:pt idx="11">
                  <c:v>138.32600000000014</c:v>
                </c:pt>
                <c:pt idx="12">
                  <c:v>138.49599999999955</c:v>
                </c:pt>
                <c:pt idx="13">
                  <c:v>138.62800000000007</c:v>
                </c:pt>
                <c:pt idx="14">
                  <c:v>138.93</c:v>
                </c:pt>
                <c:pt idx="15">
                  <c:v>139.28799999999998</c:v>
                </c:pt>
                <c:pt idx="16">
                  <c:v>139.51800000000014</c:v>
                </c:pt>
                <c:pt idx="17">
                  <c:v>139.70699999999962</c:v>
                </c:pt>
                <c:pt idx="18">
                  <c:v>139.87700000000001</c:v>
                </c:pt>
                <c:pt idx="19">
                  <c:v>140.04300000000015</c:v>
                </c:pt>
                <c:pt idx="20">
                  <c:v>140.24100000000007</c:v>
                </c:pt>
                <c:pt idx="21">
                  <c:v>140.44799999999969</c:v>
                </c:pt>
                <c:pt idx="22">
                  <c:v>140.65199999999996</c:v>
                </c:pt>
                <c:pt idx="23">
                  <c:v>140.91499999999996</c:v>
                </c:pt>
                <c:pt idx="24" formatCode="#,##0.00">
                  <c:v>141.1719999999998</c:v>
                </c:pt>
                <c:pt idx="25">
                  <c:v>141.42999999999981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2F-44B2-8BA6-32F17547BDD2}"/>
            </c:ext>
          </c:extLst>
        </c:ser>
        <c:ser>
          <c:idx val="2"/>
          <c:order val="1"/>
          <c:tx>
            <c:strRef>
              <c:f>'Ind F2'!$L$20</c:f>
              <c:strCache>
                <c:ptCount val="1"/>
                <c:pt idx="0">
                  <c:v>Transport and storage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F2'!$M$20:$AL$20</c:f>
              <c:numCache>
                <c:formatCode>#,##0</c:formatCode>
                <c:ptCount val="26"/>
                <c:pt idx="0">
                  <c:v>27.09400000000003</c:v>
                </c:pt>
                <c:pt idx="1">
                  <c:v>27.897000000000059</c:v>
                </c:pt>
                <c:pt idx="2">
                  <c:v>28.642000000000063</c:v>
                </c:pt>
                <c:pt idx="3">
                  <c:v>25.364999999999913</c:v>
                </c:pt>
                <c:pt idx="4">
                  <c:v>29.740999999999982</c:v>
                </c:pt>
                <c:pt idx="5">
                  <c:v>30.096000000000046</c:v>
                </c:pt>
                <c:pt idx="6">
                  <c:v>33.761999999999922</c:v>
                </c:pt>
                <c:pt idx="7">
                  <c:v>31.127999999999968</c:v>
                </c:pt>
                <c:pt idx="8">
                  <c:v>31.314999999999966</c:v>
                </c:pt>
                <c:pt idx="9">
                  <c:v>31.988999999999841</c:v>
                </c:pt>
                <c:pt idx="10">
                  <c:v>29.342999999999986</c:v>
                </c:pt>
                <c:pt idx="11">
                  <c:v>30.575999999999993</c:v>
                </c:pt>
                <c:pt idx="12">
                  <c:v>30.545999999999932</c:v>
                </c:pt>
                <c:pt idx="13">
                  <c:v>30.620999999999974</c:v>
                </c:pt>
                <c:pt idx="14">
                  <c:v>30.762999999999977</c:v>
                </c:pt>
                <c:pt idx="15">
                  <c:v>30.84999999999993</c:v>
                </c:pt>
                <c:pt idx="16">
                  <c:v>30.901000000000003</c:v>
                </c:pt>
                <c:pt idx="17">
                  <c:v>30.948999999999909</c:v>
                </c:pt>
                <c:pt idx="18">
                  <c:v>30.992000000000022</c:v>
                </c:pt>
                <c:pt idx="19">
                  <c:v>31.037000000000045</c:v>
                </c:pt>
                <c:pt idx="20">
                  <c:v>31.088999999999977</c:v>
                </c:pt>
                <c:pt idx="21">
                  <c:v>31.133000000000013</c:v>
                </c:pt>
                <c:pt idx="22">
                  <c:v>31.176000000000055</c:v>
                </c:pt>
                <c:pt idx="23">
                  <c:v>31.215999999999958</c:v>
                </c:pt>
                <c:pt idx="24" formatCode="#,##0.00">
                  <c:v>31.255000000000049</c:v>
                </c:pt>
                <c:pt idx="25">
                  <c:v>31.292999999999928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2F-44B2-8BA6-32F17547BDD2}"/>
            </c:ext>
          </c:extLst>
        </c:ser>
        <c:ser>
          <c:idx val="3"/>
          <c:order val="2"/>
          <c:tx>
            <c:strRef>
              <c:f>'Ind F2'!$L$21</c:f>
              <c:strCache>
                <c:ptCount val="1"/>
                <c:pt idx="0">
                  <c:v>Accommodation and food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F2'!$M$21:$AL$21</c:f>
              <c:numCache>
                <c:formatCode>#,##0</c:formatCode>
                <c:ptCount val="26"/>
                <c:pt idx="0">
                  <c:v>44.217000000000006</c:v>
                </c:pt>
                <c:pt idx="1">
                  <c:v>50.369999999999912</c:v>
                </c:pt>
                <c:pt idx="2">
                  <c:v>55.219999999999935</c:v>
                </c:pt>
                <c:pt idx="3">
                  <c:v>51.940999999999811</c:v>
                </c:pt>
                <c:pt idx="4">
                  <c:v>52.121000000000123</c:v>
                </c:pt>
                <c:pt idx="5">
                  <c:v>56.652999999999892</c:v>
                </c:pt>
                <c:pt idx="6">
                  <c:v>56.741000000000099</c:v>
                </c:pt>
                <c:pt idx="7">
                  <c:v>53.968999999999987</c:v>
                </c:pt>
                <c:pt idx="8">
                  <c:v>57.437999999999889</c:v>
                </c:pt>
                <c:pt idx="9">
                  <c:v>61.044000000000139</c:v>
                </c:pt>
                <c:pt idx="10">
                  <c:v>56.35499999999994</c:v>
                </c:pt>
                <c:pt idx="11">
                  <c:v>53.603000000000087</c:v>
                </c:pt>
                <c:pt idx="12">
                  <c:v>54.931000000000068</c:v>
                </c:pt>
                <c:pt idx="13">
                  <c:v>56.613000000000028</c:v>
                </c:pt>
                <c:pt idx="14">
                  <c:v>58.282000000000025</c:v>
                </c:pt>
                <c:pt idx="15">
                  <c:v>59.578000000000024</c:v>
                </c:pt>
                <c:pt idx="16">
                  <c:v>60.705999999999968</c:v>
                </c:pt>
                <c:pt idx="17">
                  <c:v>61.733999999999995</c:v>
                </c:pt>
                <c:pt idx="18">
                  <c:v>62.704999999999799</c:v>
                </c:pt>
                <c:pt idx="19">
                  <c:v>63.635000000000026</c:v>
                </c:pt>
                <c:pt idx="20">
                  <c:v>64.549000000000063</c:v>
                </c:pt>
                <c:pt idx="21">
                  <c:v>65.430999999999955</c:v>
                </c:pt>
                <c:pt idx="22">
                  <c:v>66.282000000000011</c:v>
                </c:pt>
                <c:pt idx="23">
                  <c:v>67.104000000000113</c:v>
                </c:pt>
                <c:pt idx="24" formatCode="#,##0.00">
                  <c:v>67.894000000000048</c:v>
                </c:pt>
                <c:pt idx="25">
                  <c:v>68.657999999999973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82F-44B2-8BA6-32F17547BD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9792"/>
        <c:axId val="253600184"/>
      </c:areaChart>
      <c:catAx>
        <c:axId val="253599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600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9239364011245532E-3"/>
              <c:y val="1.0460261731275467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0427915780318149"/>
          <c:y val="0.93514739877602659"/>
          <c:w val="0.55467554807872665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37541227605042E-2"/>
          <c:w val="0.87381770767952038"/>
          <c:h val="0.7777793701261565"/>
        </c:manualLayout>
      </c:layout>
      <c:areaChart>
        <c:grouping val="stacked"/>
        <c:varyColors val="0"/>
        <c:ser>
          <c:idx val="1"/>
          <c:order val="0"/>
          <c:tx>
            <c:strRef>
              <c:f>'Ind F2'!$L$24</c:f>
              <c:strCache>
                <c:ptCount val="1"/>
                <c:pt idx="0">
                  <c:v>Media</c:v>
                </c:pt>
              </c:strCache>
            </c:strRef>
          </c:tx>
          <c:spPr>
            <a:solidFill>
              <a:schemeClr val="tx1">
                <a:lumMod val="95000"/>
                <a:lumOff val="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F2'!$M$24:$AL$24</c:f>
              <c:numCache>
                <c:formatCode>#,##0</c:formatCode>
                <c:ptCount val="26"/>
                <c:pt idx="0">
                  <c:v>5.105999999999991</c:v>
                </c:pt>
                <c:pt idx="1">
                  <c:v>5.6730000000000116</c:v>
                </c:pt>
                <c:pt idx="2">
                  <c:v>8.6609999999999943</c:v>
                </c:pt>
                <c:pt idx="3">
                  <c:v>6.6579999999999924</c:v>
                </c:pt>
                <c:pt idx="4">
                  <c:v>6.4080000000000066</c:v>
                </c:pt>
                <c:pt idx="5">
                  <c:v>8.0879999999999921</c:v>
                </c:pt>
                <c:pt idx="6">
                  <c:v>5.6869999999999967</c:v>
                </c:pt>
                <c:pt idx="7">
                  <c:v>6.0869999999999846</c:v>
                </c:pt>
                <c:pt idx="8">
                  <c:v>6.4520000000000035</c:v>
                </c:pt>
                <c:pt idx="9">
                  <c:v>5.2880000000000056</c:v>
                </c:pt>
                <c:pt idx="10">
                  <c:v>5.8570000000000055</c:v>
                </c:pt>
                <c:pt idx="11">
                  <c:v>5.7590000000000039</c:v>
                </c:pt>
                <c:pt idx="12">
                  <c:v>5.7239999999999949</c:v>
                </c:pt>
                <c:pt idx="13">
                  <c:v>5.6839999999999931</c:v>
                </c:pt>
                <c:pt idx="14">
                  <c:v>5.6549999999999958</c:v>
                </c:pt>
                <c:pt idx="15">
                  <c:v>5.6490000000000027</c:v>
                </c:pt>
                <c:pt idx="16">
                  <c:v>5.63700000000002</c:v>
                </c:pt>
                <c:pt idx="17">
                  <c:v>5.6239999999999917</c:v>
                </c:pt>
                <c:pt idx="18">
                  <c:v>5.6120000000000001</c:v>
                </c:pt>
                <c:pt idx="19">
                  <c:v>5.5989999999999984</c:v>
                </c:pt>
                <c:pt idx="20">
                  <c:v>5.5859999999999967</c:v>
                </c:pt>
                <c:pt idx="21">
                  <c:v>5.571999999999993</c:v>
                </c:pt>
                <c:pt idx="22">
                  <c:v>5.5589999999999931</c:v>
                </c:pt>
                <c:pt idx="23">
                  <c:v>5.5450000000000026</c:v>
                </c:pt>
                <c:pt idx="24" formatCode="#,##0.00">
                  <c:v>5.5320000000000054</c:v>
                </c:pt>
                <c:pt idx="25">
                  <c:v>5.5190000000000046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7B-4588-829A-546C63534D57}"/>
            </c:ext>
          </c:extLst>
        </c:ser>
        <c:ser>
          <c:idx val="2"/>
          <c:order val="1"/>
          <c:tx>
            <c:strRef>
              <c:f>'Ind F2'!$L$25</c:f>
              <c:strCache>
                <c:ptCount val="1"/>
                <c:pt idx="0">
                  <c:v>Information technology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F2'!$M$25:$AL$25</c:f>
              <c:numCache>
                <c:formatCode>#,##0</c:formatCode>
                <c:ptCount val="26"/>
                <c:pt idx="0">
                  <c:v>46.171999999999876</c:v>
                </c:pt>
                <c:pt idx="1">
                  <c:v>50.058999999999997</c:v>
                </c:pt>
                <c:pt idx="2">
                  <c:v>44.913999999999945</c:v>
                </c:pt>
                <c:pt idx="3">
                  <c:v>53.207999999999998</c:v>
                </c:pt>
                <c:pt idx="4">
                  <c:v>49.907000000000011</c:v>
                </c:pt>
                <c:pt idx="5">
                  <c:v>56.414999999999921</c:v>
                </c:pt>
                <c:pt idx="6">
                  <c:v>58.134000000000007</c:v>
                </c:pt>
                <c:pt idx="7">
                  <c:v>50.957000000000029</c:v>
                </c:pt>
                <c:pt idx="8">
                  <c:v>51.798000000000194</c:v>
                </c:pt>
                <c:pt idx="9">
                  <c:v>55.774999999999906</c:v>
                </c:pt>
                <c:pt idx="10">
                  <c:v>56.659000000000013</c:v>
                </c:pt>
                <c:pt idx="11">
                  <c:v>57.980000000000011</c:v>
                </c:pt>
                <c:pt idx="12">
                  <c:v>58.47999999999989</c:v>
                </c:pt>
                <c:pt idx="13">
                  <c:v>59.48299999999999</c:v>
                </c:pt>
                <c:pt idx="14">
                  <c:v>60.266999999999946</c:v>
                </c:pt>
                <c:pt idx="15">
                  <c:v>60.912999999999911</c:v>
                </c:pt>
                <c:pt idx="16">
                  <c:v>61.51700000000006</c:v>
                </c:pt>
                <c:pt idx="17">
                  <c:v>62.044999999999852</c:v>
                </c:pt>
                <c:pt idx="18">
                  <c:v>62.547000000000047</c:v>
                </c:pt>
                <c:pt idx="19">
                  <c:v>63.045000000000044</c:v>
                </c:pt>
                <c:pt idx="20">
                  <c:v>63.568999999999932</c:v>
                </c:pt>
                <c:pt idx="21">
                  <c:v>64.081000000000031</c:v>
                </c:pt>
                <c:pt idx="22">
                  <c:v>64.583000000000112</c:v>
                </c:pt>
                <c:pt idx="23">
                  <c:v>65.064999999999984</c:v>
                </c:pt>
                <c:pt idx="24" formatCode="#,##0.00">
                  <c:v>65.522000000000077</c:v>
                </c:pt>
                <c:pt idx="25">
                  <c:v>65.957000000000022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F7B-4588-829A-546C63534D57}"/>
            </c:ext>
          </c:extLst>
        </c:ser>
        <c:ser>
          <c:idx val="3"/>
          <c:order val="2"/>
          <c:tx>
            <c:strRef>
              <c:f>'Ind F2'!$L$26</c:f>
              <c:strCache>
                <c:ptCount val="1"/>
                <c:pt idx="0">
                  <c:v>Finance and insurance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F2'!$M$26:$AL$26</c:f>
              <c:numCache>
                <c:formatCode>#,##0</c:formatCode>
                <c:ptCount val="26"/>
                <c:pt idx="0">
                  <c:v>25.41200000000001</c:v>
                </c:pt>
                <c:pt idx="1">
                  <c:v>22.947999999999961</c:v>
                </c:pt>
                <c:pt idx="2">
                  <c:v>22.828999999999976</c:v>
                </c:pt>
                <c:pt idx="3">
                  <c:v>24.985999999999947</c:v>
                </c:pt>
                <c:pt idx="4">
                  <c:v>23.737999999999992</c:v>
                </c:pt>
                <c:pt idx="5">
                  <c:v>23.736999999999977</c:v>
                </c:pt>
                <c:pt idx="6">
                  <c:v>22.535000000000014</c:v>
                </c:pt>
                <c:pt idx="7">
                  <c:v>21.128999999999994</c:v>
                </c:pt>
                <c:pt idx="8">
                  <c:v>22.863999999999994</c:v>
                </c:pt>
                <c:pt idx="9">
                  <c:v>23.366999999999976</c:v>
                </c:pt>
                <c:pt idx="10">
                  <c:v>23.575000000000031</c:v>
                </c:pt>
                <c:pt idx="11">
                  <c:v>23.864999999999974</c:v>
                </c:pt>
                <c:pt idx="12">
                  <c:v>23.691000000000003</c:v>
                </c:pt>
                <c:pt idx="13">
                  <c:v>23.481000000000023</c:v>
                </c:pt>
                <c:pt idx="14">
                  <c:v>23.247999999999998</c:v>
                </c:pt>
                <c:pt idx="15">
                  <c:v>23.076000000000001</c:v>
                </c:pt>
                <c:pt idx="16">
                  <c:v>22.926999999999975</c:v>
                </c:pt>
                <c:pt idx="17">
                  <c:v>22.77600000000001</c:v>
                </c:pt>
                <c:pt idx="18">
                  <c:v>22.625000000000043</c:v>
                </c:pt>
                <c:pt idx="19">
                  <c:v>22.472999999999956</c:v>
                </c:pt>
                <c:pt idx="20">
                  <c:v>22.322999999999954</c:v>
                </c:pt>
                <c:pt idx="21">
                  <c:v>22.163000000000082</c:v>
                </c:pt>
                <c:pt idx="22">
                  <c:v>22.002999999999989</c:v>
                </c:pt>
                <c:pt idx="23">
                  <c:v>21.844000000000015</c:v>
                </c:pt>
                <c:pt idx="24" formatCode="#,##0.00">
                  <c:v>21.686000000000021</c:v>
                </c:pt>
                <c:pt idx="25">
                  <c:v>21.528000000000002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F7B-4588-829A-546C63534D57}"/>
            </c:ext>
          </c:extLst>
        </c:ser>
        <c:ser>
          <c:idx val="0"/>
          <c:order val="3"/>
          <c:tx>
            <c:strRef>
              <c:f>'Ind F2'!$L$27</c:f>
              <c:strCache>
                <c:ptCount val="1"/>
                <c:pt idx="0">
                  <c:v>Real estate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F2'!$M$27:$AL$27</c:f>
              <c:numCache>
                <c:formatCode>#,##0</c:formatCode>
                <c:ptCount val="26"/>
                <c:pt idx="0">
                  <c:v>12.818000000000033</c:v>
                </c:pt>
                <c:pt idx="1">
                  <c:v>12.642000000000026</c:v>
                </c:pt>
                <c:pt idx="2">
                  <c:v>14.017000000000003</c:v>
                </c:pt>
                <c:pt idx="3">
                  <c:v>13.335999999999999</c:v>
                </c:pt>
                <c:pt idx="4">
                  <c:v>13.687000000000038</c:v>
                </c:pt>
                <c:pt idx="5">
                  <c:v>15.012000000000006</c:v>
                </c:pt>
                <c:pt idx="6">
                  <c:v>15.842999999999966</c:v>
                </c:pt>
                <c:pt idx="7">
                  <c:v>13.253999999999968</c:v>
                </c:pt>
                <c:pt idx="8">
                  <c:v>11.216999999999981</c:v>
                </c:pt>
                <c:pt idx="9">
                  <c:v>12.711000000000009</c:v>
                </c:pt>
                <c:pt idx="10">
                  <c:v>15.229999999999997</c:v>
                </c:pt>
                <c:pt idx="11">
                  <c:v>15.142999999999985</c:v>
                </c:pt>
                <c:pt idx="12">
                  <c:v>15.032000000000011</c:v>
                </c:pt>
                <c:pt idx="13">
                  <c:v>15.014999999999985</c:v>
                </c:pt>
                <c:pt idx="14">
                  <c:v>15.110999999999981</c:v>
                </c:pt>
                <c:pt idx="15">
                  <c:v>15.21399999999999</c:v>
                </c:pt>
                <c:pt idx="16">
                  <c:v>15.356000000000005</c:v>
                </c:pt>
                <c:pt idx="17">
                  <c:v>15.519000000000021</c:v>
                </c:pt>
                <c:pt idx="18">
                  <c:v>15.69200000000002</c:v>
                </c:pt>
                <c:pt idx="19">
                  <c:v>15.869999999999987</c:v>
                </c:pt>
                <c:pt idx="20">
                  <c:v>16.050000000000008</c:v>
                </c:pt>
                <c:pt idx="21">
                  <c:v>16.231999999999978</c:v>
                </c:pt>
                <c:pt idx="22">
                  <c:v>16.415000000000006</c:v>
                </c:pt>
                <c:pt idx="23">
                  <c:v>16.596</c:v>
                </c:pt>
                <c:pt idx="24" formatCode="#,##0.00">
                  <c:v>16.775999999999971</c:v>
                </c:pt>
                <c:pt idx="25">
                  <c:v>16.954000000000004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F6-40CB-8490-F63AF969C3B0}"/>
            </c:ext>
          </c:extLst>
        </c:ser>
        <c:ser>
          <c:idx val="4"/>
          <c:order val="4"/>
          <c:tx>
            <c:strRef>
              <c:f>'Ind F2'!$L$28</c:f>
              <c:strCache>
                <c:ptCount val="1"/>
                <c:pt idx="0">
                  <c:v>Professional services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F2'!$M$28:$AL$28</c:f>
              <c:numCache>
                <c:formatCode>#,##0</c:formatCode>
                <c:ptCount val="26"/>
                <c:pt idx="0">
                  <c:v>84.993999999999588</c:v>
                </c:pt>
                <c:pt idx="1">
                  <c:v>83.761999999999986</c:v>
                </c:pt>
                <c:pt idx="2">
                  <c:v>89.817999999999969</c:v>
                </c:pt>
                <c:pt idx="3">
                  <c:v>90.785999999999873</c:v>
                </c:pt>
                <c:pt idx="4">
                  <c:v>95.918999999999983</c:v>
                </c:pt>
                <c:pt idx="5">
                  <c:v>95.521000000000072</c:v>
                </c:pt>
                <c:pt idx="6">
                  <c:v>101.06199999999986</c:v>
                </c:pt>
                <c:pt idx="7">
                  <c:v>86.414999999999949</c:v>
                </c:pt>
                <c:pt idx="8">
                  <c:v>96.19999999999996</c:v>
                </c:pt>
                <c:pt idx="9">
                  <c:v>100.13499999999985</c:v>
                </c:pt>
                <c:pt idx="10">
                  <c:v>93.151999999999987</c:v>
                </c:pt>
                <c:pt idx="11">
                  <c:v>94.763999999999925</c:v>
                </c:pt>
                <c:pt idx="12">
                  <c:v>95.336999999999875</c:v>
                </c:pt>
                <c:pt idx="13">
                  <c:v>96.096000000000174</c:v>
                </c:pt>
                <c:pt idx="14">
                  <c:v>96.879999999999853</c:v>
                </c:pt>
                <c:pt idx="15">
                  <c:v>97.504999999999754</c:v>
                </c:pt>
                <c:pt idx="16">
                  <c:v>98.077999999999903</c:v>
                </c:pt>
                <c:pt idx="17">
                  <c:v>98.676999999999992</c:v>
                </c:pt>
                <c:pt idx="18">
                  <c:v>99.29800000000003</c:v>
                </c:pt>
                <c:pt idx="19">
                  <c:v>99.944000000000116</c:v>
                </c:pt>
                <c:pt idx="20">
                  <c:v>100.62699999999998</c:v>
                </c:pt>
                <c:pt idx="21">
                  <c:v>101.29200000000012</c:v>
                </c:pt>
                <c:pt idx="22">
                  <c:v>101.96000000000008</c:v>
                </c:pt>
                <c:pt idx="23">
                  <c:v>102.62699999999995</c:v>
                </c:pt>
                <c:pt idx="24" formatCode="#,##0.00">
                  <c:v>103.29300000000011</c:v>
                </c:pt>
                <c:pt idx="25">
                  <c:v>103.96000000000025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F6-40CB-8490-F63AF969C3B0}"/>
            </c:ext>
          </c:extLst>
        </c:ser>
        <c:ser>
          <c:idx val="5"/>
          <c:order val="5"/>
          <c:tx>
            <c:strRef>
              <c:f>'Ind F2'!$L$29</c:f>
              <c:strCache>
                <c:ptCount val="1"/>
                <c:pt idx="0">
                  <c:v>Support services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F2'!$M$29:$AL$29</c:f>
              <c:numCache>
                <c:formatCode>#,##0</c:formatCode>
                <c:ptCount val="26"/>
                <c:pt idx="0">
                  <c:v>63.959999999999972</c:v>
                </c:pt>
                <c:pt idx="1">
                  <c:v>69.534000000000134</c:v>
                </c:pt>
                <c:pt idx="2">
                  <c:v>79.917000000000073</c:v>
                </c:pt>
                <c:pt idx="3">
                  <c:v>70.480999999999995</c:v>
                </c:pt>
                <c:pt idx="4">
                  <c:v>77.415000000000006</c:v>
                </c:pt>
                <c:pt idx="5">
                  <c:v>70.014999999999958</c:v>
                </c:pt>
                <c:pt idx="6">
                  <c:v>75.472999999999857</c:v>
                </c:pt>
                <c:pt idx="7">
                  <c:v>71.682999999999936</c:v>
                </c:pt>
                <c:pt idx="8">
                  <c:v>72.317000000000093</c:v>
                </c:pt>
                <c:pt idx="9">
                  <c:v>71.672000000000267</c:v>
                </c:pt>
                <c:pt idx="10">
                  <c:v>65.049999999999855</c:v>
                </c:pt>
                <c:pt idx="11">
                  <c:v>65.66400000000003</c:v>
                </c:pt>
                <c:pt idx="12">
                  <c:v>66.532999999999916</c:v>
                </c:pt>
                <c:pt idx="13">
                  <c:v>66.836999999999989</c:v>
                </c:pt>
                <c:pt idx="14">
                  <c:v>67.370999999999938</c:v>
                </c:pt>
                <c:pt idx="15">
                  <c:v>67.835000000000065</c:v>
                </c:pt>
                <c:pt idx="16">
                  <c:v>68.338000000000051</c:v>
                </c:pt>
                <c:pt idx="17">
                  <c:v>68.83799999999998</c:v>
                </c:pt>
                <c:pt idx="18">
                  <c:v>69.334999999999951</c:v>
                </c:pt>
                <c:pt idx="19">
                  <c:v>69.832999999999942</c:v>
                </c:pt>
                <c:pt idx="20">
                  <c:v>70.341999999999942</c:v>
                </c:pt>
                <c:pt idx="21">
                  <c:v>70.840999999999994</c:v>
                </c:pt>
                <c:pt idx="22">
                  <c:v>71.34100000000015</c:v>
                </c:pt>
                <c:pt idx="23">
                  <c:v>71.842999999999762</c:v>
                </c:pt>
                <c:pt idx="24" formatCode="#,##0.00">
                  <c:v>72.345999999999933</c:v>
                </c:pt>
                <c:pt idx="25">
                  <c:v>72.852000000000018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F6-40CB-8490-F63AF969C3B0}"/>
            </c:ext>
          </c:extLst>
        </c:ser>
        <c:ser>
          <c:idx val="6"/>
          <c:order val="6"/>
          <c:tx>
            <c:strRef>
              <c:f>'Ind F2'!$L$30</c:f>
              <c:strCache>
                <c:ptCount val="1"/>
                <c:pt idx="0">
                  <c:v>Arts and entertainment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F2'!$M$30:$AL$30</c:f>
              <c:numCache>
                <c:formatCode>#,##0</c:formatCode>
                <c:ptCount val="26"/>
                <c:pt idx="0">
                  <c:v>22.220999999999989</c:v>
                </c:pt>
                <c:pt idx="1">
                  <c:v>28.772000000000013</c:v>
                </c:pt>
                <c:pt idx="2">
                  <c:v>26.924999999999979</c:v>
                </c:pt>
                <c:pt idx="3">
                  <c:v>25.920999999999953</c:v>
                </c:pt>
                <c:pt idx="4">
                  <c:v>27.897000000000016</c:v>
                </c:pt>
                <c:pt idx="5">
                  <c:v>31.62300000000009</c:v>
                </c:pt>
                <c:pt idx="6">
                  <c:v>26.986000000000097</c:v>
                </c:pt>
                <c:pt idx="7">
                  <c:v>30.129999999999946</c:v>
                </c:pt>
                <c:pt idx="8">
                  <c:v>28.801000000000009</c:v>
                </c:pt>
                <c:pt idx="9">
                  <c:v>26.668999999999969</c:v>
                </c:pt>
                <c:pt idx="10">
                  <c:v>26.262000000000008</c:v>
                </c:pt>
                <c:pt idx="11">
                  <c:v>27.189999999999998</c:v>
                </c:pt>
                <c:pt idx="12">
                  <c:v>27.524000000000012</c:v>
                </c:pt>
                <c:pt idx="13">
                  <c:v>28.03899999999993</c:v>
                </c:pt>
                <c:pt idx="14">
                  <c:v>28.520000000000021</c:v>
                </c:pt>
                <c:pt idx="15">
                  <c:v>28.734999999999982</c:v>
                </c:pt>
                <c:pt idx="16">
                  <c:v>29.079000000000015</c:v>
                </c:pt>
                <c:pt idx="17">
                  <c:v>29.373000000000097</c:v>
                </c:pt>
                <c:pt idx="18">
                  <c:v>29.662999999999947</c:v>
                </c:pt>
                <c:pt idx="19">
                  <c:v>29.938999999999972</c:v>
                </c:pt>
                <c:pt idx="20">
                  <c:v>30.237999999999964</c:v>
                </c:pt>
                <c:pt idx="21">
                  <c:v>30.546999999999993</c:v>
                </c:pt>
                <c:pt idx="22">
                  <c:v>30.864000000000022</c:v>
                </c:pt>
                <c:pt idx="23">
                  <c:v>31.183000000000035</c:v>
                </c:pt>
                <c:pt idx="24" formatCode="#,##0.00">
                  <c:v>31.503999999999987</c:v>
                </c:pt>
                <c:pt idx="25">
                  <c:v>31.827999999999964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7F6-40CB-8490-F63AF969C3B0}"/>
            </c:ext>
          </c:extLst>
        </c:ser>
        <c:ser>
          <c:idx val="7"/>
          <c:order val="7"/>
          <c:tx>
            <c:strRef>
              <c:f>'Ind F2'!$L$31</c:f>
              <c:strCache>
                <c:ptCount val="1"/>
                <c:pt idx="0">
                  <c:v>Other services</c:v>
                </c:pt>
              </c:strCache>
            </c:strRef>
          </c:tx>
          <c:spPr>
            <a:solidFill>
              <a:schemeClr val="bg1"/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F2'!$M$31:$AL$31</c:f>
              <c:numCache>
                <c:formatCode>#,##0</c:formatCode>
                <c:ptCount val="26"/>
                <c:pt idx="0">
                  <c:v>26.505000000000027</c:v>
                </c:pt>
                <c:pt idx="1">
                  <c:v>27.356000000000041</c:v>
                </c:pt>
                <c:pt idx="2">
                  <c:v>27.680999999999973</c:v>
                </c:pt>
                <c:pt idx="3">
                  <c:v>29.038000000000018</c:v>
                </c:pt>
                <c:pt idx="4">
                  <c:v>28.306000000000022</c:v>
                </c:pt>
                <c:pt idx="5">
                  <c:v>33.008999999999943</c:v>
                </c:pt>
                <c:pt idx="6">
                  <c:v>28.605999999999916</c:v>
                </c:pt>
                <c:pt idx="7">
                  <c:v>27.742999999999984</c:v>
                </c:pt>
                <c:pt idx="8">
                  <c:v>29.292000000000009</c:v>
                </c:pt>
                <c:pt idx="9">
                  <c:v>32.716000000000093</c:v>
                </c:pt>
                <c:pt idx="10">
                  <c:v>31.486000000000036</c:v>
                </c:pt>
                <c:pt idx="11">
                  <c:v>30.602000000000025</c:v>
                </c:pt>
                <c:pt idx="12">
                  <c:v>30.050999999999966</c:v>
                </c:pt>
                <c:pt idx="13">
                  <c:v>30.020000000000021</c:v>
                </c:pt>
                <c:pt idx="14">
                  <c:v>30.026000000000042</c:v>
                </c:pt>
                <c:pt idx="15">
                  <c:v>29.967000000000031</c:v>
                </c:pt>
                <c:pt idx="16">
                  <c:v>29.895000000000007</c:v>
                </c:pt>
                <c:pt idx="17">
                  <c:v>29.827000000000023</c:v>
                </c:pt>
                <c:pt idx="18">
                  <c:v>29.768000000000058</c:v>
                </c:pt>
                <c:pt idx="19">
                  <c:v>29.719999999999946</c:v>
                </c:pt>
                <c:pt idx="20">
                  <c:v>29.688000000000017</c:v>
                </c:pt>
                <c:pt idx="21">
                  <c:v>29.665999999999954</c:v>
                </c:pt>
                <c:pt idx="22">
                  <c:v>29.65100000000005</c:v>
                </c:pt>
                <c:pt idx="23">
                  <c:v>29.640000000000004</c:v>
                </c:pt>
                <c:pt idx="24" formatCode="#,##0.00">
                  <c:v>29.635999999999989</c:v>
                </c:pt>
                <c:pt idx="25">
                  <c:v>29.637999999999955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F6-40CB-8490-F63AF969C3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600968"/>
        <c:axId val="313462488"/>
      </c:areaChart>
      <c:catAx>
        <c:axId val="253600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24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248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8075731401976695"/>
          <c:y val="0.93501239643194956"/>
          <c:w val="0.71924266962684369"/>
          <c:h val="6.49876681795858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068893528183729E-2"/>
          <c:w val="0.87539499596050963"/>
          <c:h val="0.78079331941544883"/>
        </c:manualLayout>
      </c:layout>
      <c:areaChart>
        <c:grouping val="stacked"/>
        <c:varyColors val="0"/>
        <c:ser>
          <c:idx val="1"/>
          <c:order val="0"/>
          <c:tx>
            <c:strRef>
              <c:f>'Ind F2'!$L$34</c:f>
              <c:strCache>
                <c:ptCount val="1"/>
                <c:pt idx="0">
                  <c:v>Public admin. and defence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F2'!$M$34:$AL$34</c:f>
              <c:numCache>
                <c:formatCode>#,##0</c:formatCode>
                <c:ptCount val="26"/>
                <c:pt idx="0">
                  <c:v>30.800000000000029</c:v>
                </c:pt>
                <c:pt idx="1">
                  <c:v>29.344000000000051</c:v>
                </c:pt>
                <c:pt idx="2">
                  <c:v>27.908999999999995</c:v>
                </c:pt>
                <c:pt idx="3">
                  <c:v>27.610999999999994</c:v>
                </c:pt>
                <c:pt idx="4">
                  <c:v>28.873000000000033</c:v>
                </c:pt>
                <c:pt idx="5">
                  <c:v>27.583999999999975</c:v>
                </c:pt>
                <c:pt idx="6">
                  <c:v>26.860000000000014</c:v>
                </c:pt>
                <c:pt idx="7">
                  <c:v>26.259999999999998</c:v>
                </c:pt>
                <c:pt idx="8">
                  <c:v>26.277000000000044</c:v>
                </c:pt>
                <c:pt idx="9">
                  <c:v>25.923000000000066</c:v>
                </c:pt>
                <c:pt idx="10">
                  <c:v>26.430999999999951</c:v>
                </c:pt>
                <c:pt idx="11">
                  <c:v>26.740000000000023</c:v>
                </c:pt>
                <c:pt idx="12">
                  <c:v>27.096999999999987</c:v>
                </c:pt>
                <c:pt idx="13">
                  <c:v>27.208000000000066</c:v>
                </c:pt>
                <c:pt idx="14">
                  <c:v>27.38799999999998</c:v>
                </c:pt>
                <c:pt idx="15">
                  <c:v>27.373999999999942</c:v>
                </c:pt>
                <c:pt idx="16">
                  <c:v>27.344999999999953</c:v>
                </c:pt>
                <c:pt idx="17">
                  <c:v>27.314999999999941</c:v>
                </c:pt>
                <c:pt idx="18">
                  <c:v>27.285000000000064</c:v>
                </c:pt>
                <c:pt idx="19">
                  <c:v>27.25399999999993</c:v>
                </c:pt>
                <c:pt idx="20">
                  <c:v>27.222000000000072</c:v>
                </c:pt>
                <c:pt idx="21">
                  <c:v>27.176000000000027</c:v>
                </c:pt>
                <c:pt idx="22">
                  <c:v>27.129000000000005</c:v>
                </c:pt>
                <c:pt idx="23">
                  <c:v>27.083000000000013</c:v>
                </c:pt>
                <c:pt idx="24" formatCode="#,##0.00">
                  <c:v>27.036999999999971</c:v>
                </c:pt>
                <c:pt idx="25">
                  <c:v>26.992999999999988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92-44C2-845B-192CC1F663B9}"/>
            </c:ext>
          </c:extLst>
        </c:ser>
        <c:ser>
          <c:idx val="2"/>
          <c:order val="1"/>
          <c:tx>
            <c:strRef>
              <c:f>'Ind F2'!$L$35</c:f>
              <c:strCache>
                <c:ptCount val="1"/>
                <c:pt idx="0">
                  <c:v>Education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F2'!$M$35:$AL$35</c:f>
              <c:numCache>
                <c:formatCode>#,##0</c:formatCode>
                <c:ptCount val="26"/>
                <c:pt idx="0">
                  <c:v>67.421000000000149</c:v>
                </c:pt>
                <c:pt idx="1">
                  <c:v>68.357999999999819</c:v>
                </c:pt>
                <c:pt idx="2">
                  <c:v>70.515999999999963</c:v>
                </c:pt>
                <c:pt idx="3">
                  <c:v>70.10799999999999</c:v>
                </c:pt>
                <c:pt idx="4">
                  <c:v>71.762999999999977</c:v>
                </c:pt>
                <c:pt idx="5">
                  <c:v>80.112000000000052</c:v>
                </c:pt>
                <c:pt idx="6">
                  <c:v>77.344999999999914</c:v>
                </c:pt>
                <c:pt idx="7">
                  <c:v>77.150000000000034</c:v>
                </c:pt>
                <c:pt idx="8">
                  <c:v>77.180000000000092</c:v>
                </c:pt>
                <c:pt idx="9">
                  <c:v>77.031999999999826</c:v>
                </c:pt>
                <c:pt idx="10">
                  <c:v>75.115999999999929</c:v>
                </c:pt>
                <c:pt idx="11">
                  <c:v>74.761999999999915</c:v>
                </c:pt>
                <c:pt idx="12">
                  <c:v>74.479000000000084</c:v>
                </c:pt>
                <c:pt idx="13">
                  <c:v>74.516000000000076</c:v>
                </c:pt>
                <c:pt idx="14">
                  <c:v>74.65399999999984</c:v>
                </c:pt>
                <c:pt idx="15">
                  <c:v>74.879000000000048</c:v>
                </c:pt>
                <c:pt idx="16">
                  <c:v>75.004000000000019</c:v>
                </c:pt>
                <c:pt idx="17">
                  <c:v>75.131000000000014</c:v>
                </c:pt>
                <c:pt idx="18">
                  <c:v>75.263000000000048</c:v>
                </c:pt>
                <c:pt idx="19">
                  <c:v>75.40999999999994</c:v>
                </c:pt>
                <c:pt idx="20">
                  <c:v>75.607000000000099</c:v>
                </c:pt>
                <c:pt idx="21">
                  <c:v>75.802999999999827</c:v>
                </c:pt>
                <c:pt idx="22">
                  <c:v>75.993000000000066</c:v>
                </c:pt>
                <c:pt idx="23">
                  <c:v>76.185000000000144</c:v>
                </c:pt>
                <c:pt idx="24" formatCode="#,##0.00">
                  <c:v>76.376999999999995</c:v>
                </c:pt>
                <c:pt idx="25">
                  <c:v>76.568999999999875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92-44C2-845B-192CC1F663B9}"/>
            </c:ext>
          </c:extLst>
        </c:ser>
        <c:ser>
          <c:idx val="3"/>
          <c:order val="2"/>
          <c:tx>
            <c:strRef>
              <c:f>'Ind F2'!$L$36</c:f>
              <c:strCache>
                <c:ptCount val="1"/>
                <c:pt idx="0">
                  <c:v>Health and social work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F2'!$M$36:$AL$36</c:f>
              <c:numCache>
                <c:formatCode>#,##0</c:formatCode>
                <c:ptCount val="26"/>
                <c:pt idx="0">
                  <c:v>90.954000000000065</c:v>
                </c:pt>
                <c:pt idx="1">
                  <c:v>90.449000000000154</c:v>
                </c:pt>
                <c:pt idx="2">
                  <c:v>87.831000000000117</c:v>
                </c:pt>
                <c:pt idx="3">
                  <c:v>90.499000000000038</c:v>
                </c:pt>
                <c:pt idx="4">
                  <c:v>86.63299999999974</c:v>
                </c:pt>
                <c:pt idx="5">
                  <c:v>92.339000000000027</c:v>
                </c:pt>
                <c:pt idx="6">
                  <c:v>93.415000000000006</c:v>
                </c:pt>
                <c:pt idx="7">
                  <c:v>95.036999999999935</c:v>
                </c:pt>
                <c:pt idx="8">
                  <c:v>94.640999999999977</c:v>
                </c:pt>
                <c:pt idx="9">
                  <c:v>97.711000000000098</c:v>
                </c:pt>
                <c:pt idx="10">
                  <c:v>96.569000000000131</c:v>
                </c:pt>
                <c:pt idx="11">
                  <c:v>97.792999999999836</c:v>
                </c:pt>
                <c:pt idx="12">
                  <c:v>98.719000000000008</c:v>
                </c:pt>
                <c:pt idx="13">
                  <c:v>99.389999999999887</c:v>
                </c:pt>
                <c:pt idx="14">
                  <c:v>100.2650000000002</c:v>
                </c:pt>
                <c:pt idx="15">
                  <c:v>100.80600000000005</c:v>
                </c:pt>
                <c:pt idx="16">
                  <c:v>101.10300000000008</c:v>
                </c:pt>
                <c:pt idx="17">
                  <c:v>101.31599999999987</c:v>
                </c:pt>
                <c:pt idx="18">
                  <c:v>101.49299999999997</c:v>
                </c:pt>
                <c:pt idx="19">
                  <c:v>101.65600000000011</c:v>
                </c:pt>
                <c:pt idx="20">
                  <c:v>101.80099999999992</c:v>
                </c:pt>
                <c:pt idx="21">
                  <c:v>101.93000000000009</c:v>
                </c:pt>
                <c:pt idx="22">
                  <c:v>102.04400000000004</c:v>
                </c:pt>
                <c:pt idx="23">
                  <c:v>102.15799999999986</c:v>
                </c:pt>
                <c:pt idx="24" formatCode="#,##0.00">
                  <c:v>102.27599999999995</c:v>
                </c:pt>
                <c:pt idx="25">
                  <c:v>102.39700000000005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392-44C2-845B-192CC1F663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463272"/>
        <c:axId val="313463664"/>
      </c:areaChart>
      <c:catAx>
        <c:axId val="31346327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6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366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26096033402922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27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9716103512624344"/>
          <c:y val="0.93528183716075164"/>
          <c:w val="0.68769769052034602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8234248861974835E-2"/>
          <c:y val="5.2464228934819425E-2"/>
          <c:w val="0.87959010384091241"/>
          <c:h val="0.77705763910488324"/>
        </c:manualLayout>
      </c:layout>
      <c:lineChart>
        <c:grouping val="standard"/>
        <c:varyColors val="0"/>
        <c:ser>
          <c:idx val="0"/>
          <c:order val="0"/>
          <c:tx>
            <c:strRef>
              <c:f>'Ind F2'!$L$5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F2'!$M$5:$AL$5</c:f>
              <c:numCache>
                <c:formatCode>#,##0</c:formatCode>
                <c:ptCount val="26"/>
                <c:pt idx="0">
                  <c:v>13.235000000000021</c:v>
                </c:pt>
                <c:pt idx="1">
                  <c:v>14.173999999999991</c:v>
                </c:pt>
                <c:pt idx="2">
                  <c:v>15.751000000000001</c:v>
                </c:pt>
                <c:pt idx="3">
                  <c:v>12.259</c:v>
                </c:pt>
                <c:pt idx="4">
                  <c:v>18.946000000000002</c:v>
                </c:pt>
                <c:pt idx="5">
                  <c:v>16.005999999999986</c:v>
                </c:pt>
                <c:pt idx="6">
                  <c:v>17.765999999999984</c:v>
                </c:pt>
                <c:pt idx="7">
                  <c:v>19.604000000000017</c:v>
                </c:pt>
                <c:pt idx="8">
                  <c:v>14.053999999999995</c:v>
                </c:pt>
                <c:pt idx="9">
                  <c:v>15.752000000000006</c:v>
                </c:pt>
                <c:pt idx="10">
                  <c:v>14.369000000000012</c:v>
                </c:pt>
                <c:pt idx="11">
                  <c:v>14.303999999999995</c:v>
                </c:pt>
                <c:pt idx="12">
                  <c:v>14.251999999999994</c:v>
                </c:pt>
                <c:pt idx="13">
                  <c:v>14.376000000000008</c:v>
                </c:pt>
                <c:pt idx="14">
                  <c:v>14.61</c:v>
                </c:pt>
                <c:pt idx="15">
                  <c:v>14.727000000000004</c:v>
                </c:pt>
                <c:pt idx="16">
                  <c:v>14.822000000000006</c:v>
                </c:pt>
                <c:pt idx="17">
                  <c:v>14.901000000000014</c:v>
                </c:pt>
                <c:pt idx="18">
                  <c:v>14.965000000000002</c:v>
                </c:pt>
                <c:pt idx="19">
                  <c:v>15.025999999999989</c:v>
                </c:pt>
                <c:pt idx="20">
                  <c:v>15.094000000000005</c:v>
                </c:pt>
                <c:pt idx="21">
                  <c:v>15.156999999999986</c:v>
                </c:pt>
                <c:pt idx="22">
                  <c:v>15.221000000000011</c:v>
                </c:pt>
                <c:pt idx="23">
                  <c:v>15.283000000000014</c:v>
                </c:pt>
                <c:pt idx="24">
                  <c:v>15.345000000000006</c:v>
                </c:pt>
                <c:pt idx="25">
                  <c:v>15.406999999999982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05-44CD-8692-A81F93CACC92}"/>
            </c:ext>
          </c:extLst>
        </c:ser>
        <c:ser>
          <c:idx val="1"/>
          <c:order val="1"/>
          <c:tx>
            <c:strRef>
              <c:f>'Ind F2'!$L$11</c:f>
              <c:strCache>
                <c:ptCount val="1"/>
                <c:pt idx="0">
                  <c:v>Manufacturing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F2'!$M$11:$AL$11</c:f>
              <c:numCache>
                <c:formatCode>#,##0</c:formatCode>
                <c:ptCount val="26"/>
                <c:pt idx="0">
                  <c:v>54.046000000000021</c:v>
                </c:pt>
                <c:pt idx="1">
                  <c:v>51.743000000000045</c:v>
                </c:pt>
                <c:pt idx="2">
                  <c:v>51.402999999999913</c:v>
                </c:pt>
                <c:pt idx="3">
                  <c:v>45.371999999999943</c:v>
                </c:pt>
                <c:pt idx="4">
                  <c:v>47.716000000000008</c:v>
                </c:pt>
                <c:pt idx="5">
                  <c:v>46.496000000000038</c:v>
                </c:pt>
                <c:pt idx="6">
                  <c:v>48.153999999999996</c:v>
                </c:pt>
                <c:pt idx="7">
                  <c:v>48.171999999999883</c:v>
                </c:pt>
                <c:pt idx="8">
                  <c:v>48.47099999999989</c:v>
                </c:pt>
                <c:pt idx="9">
                  <c:v>49.746000000000002</c:v>
                </c:pt>
                <c:pt idx="10">
                  <c:v>49.208000000000013</c:v>
                </c:pt>
                <c:pt idx="11">
                  <c:v>49.030000000000101</c:v>
                </c:pt>
                <c:pt idx="12">
                  <c:v>48.467999999999975</c:v>
                </c:pt>
                <c:pt idx="13">
                  <c:v>47.899000000000115</c:v>
                </c:pt>
                <c:pt idx="14">
                  <c:v>47.489999999999988</c:v>
                </c:pt>
                <c:pt idx="15">
                  <c:v>46.91599999999994</c:v>
                </c:pt>
                <c:pt idx="16">
                  <c:v>46.353999999999942</c:v>
                </c:pt>
                <c:pt idx="17">
                  <c:v>45.798000000000002</c:v>
                </c:pt>
                <c:pt idx="18">
                  <c:v>45.262999999999991</c:v>
                </c:pt>
                <c:pt idx="19">
                  <c:v>44.752000000000066</c:v>
                </c:pt>
                <c:pt idx="20">
                  <c:v>44.290999999999919</c:v>
                </c:pt>
                <c:pt idx="21">
                  <c:v>43.818000000000033</c:v>
                </c:pt>
                <c:pt idx="22">
                  <c:v>43.355000000000111</c:v>
                </c:pt>
                <c:pt idx="23">
                  <c:v>42.903000000000027</c:v>
                </c:pt>
                <c:pt idx="24">
                  <c:v>42.460999999999927</c:v>
                </c:pt>
                <c:pt idx="25">
                  <c:v>42.040000000000084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805-44CD-8692-A81F93CACC92}"/>
            </c:ext>
          </c:extLst>
        </c:ser>
        <c:ser>
          <c:idx val="2"/>
          <c:order val="2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61.794999999999916</c:v>
                </c:pt>
                <c:pt idx="1">
                  <c:v>54.108000000000004</c:v>
                </c:pt>
                <c:pt idx="2">
                  <c:v>53.94400000000018</c:v>
                </c:pt>
                <c:pt idx="3">
                  <c:v>54.164000000000129</c:v>
                </c:pt>
                <c:pt idx="4">
                  <c:v>55.680999999999941</c:v>
                </c:pt>
                <c:pt idx="5">
                  <c:v>54.764000000000159</c:v>
                </c:pt>
                <c:pt idx="6">
                  <c:v>61.422999999999966</c:v>
                </c:pt>
                <c:pt idx="7">
                  <c:v>67.383000000000067</c:v>
                </c:pt>
                <c:pt idx="8">
                  <c:v>61.839999999999989</c:v>
                </c:pt>
                <c:pt idx="9">
                  <c:v>60.325000000000038</c:v>
                </c:pt>
                <c:pt idx="10">
                  <c:v>62.178999999999839</c:v>
                </c:pt>
                <c:pt idx="11">
                  <c:v>61.492000000000026</c:v>
                </c:pt>
                <c:pt idx="12">
                  <c:v>62.38299999999991</c:v>
                </c:pt>
                <c:pt idx="13">
                  <c:v>64.423999999999936</c:v>
                </c:pt>
                <c:pt idx="14">
                  <c:v>65.992000000000061</c:v>
                </c:pt>
                <c:pt idx="15">
                  <c:v>66.668000000000376</c:v>
                </c:pt>
                <c:pt idx="16">
                  <c:v>67.268999999999878</c:v>
                </c:pt>
                <c:pt idx="17">
                  <c:v>67.710000000000065</c:v>
                </c:pt>
                <c:pt idx="18">
                  <c:v>68.236000000000089</c:v>
                </c:pt>
                <c:pt idx="19">
                  <c:v>68.725999999999871</c:v>
                </c:pt>
                <c:pt idx="20">
                  <c:v>69.306999999999931</c:v>
                </c:pt>
                <c:pt idx="21">
                  <c:v>69.905000000000044</c:v>
                </c:pt>
                <c:pt idx="22">
                  <c:v>70.522999999999954</c:v>
                </c:pt>
                <c:pt idx="23">
                  <c:v>71.157000000000011</c:v>
                </c:pt>
                <c:pt idx="24" formatCode="#,##0.00">
                  <c:v>71.800999999999888</c:v>
                </c:pt>
                <c:pt idx="25">
                  <c:v>72.454999999999885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805-44CD-8692-A81F93CACC92}"/>
            </c:ext>
          </c:extLst>
        </c:ser>
        <c:ser>
          <c:idx val="3"/>
          <c:order val="3"/>
          <c:tx>
            <c:strRef>
              <c:f>'Ind F2'!$L$18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F2'!$M$18:$AL$18</c:f>
              <c:numCache>
                <c:formatCode>#,##0</c:formatCode>
                <c:ptCount val="26"/>
                <c:pt idx="0">
                  <c:v>196.35899999999964</c:v>
                </c:pt>
                <c:pt idx="1">
                  <c:v>205.54600000000008</c:v>
                </c:pt>
                <c:pt idx="2">
                  <c:v>211.67400000000001</c:v>
                </c:pt>
                <c:pt idx="3">
                  <c:v>203.95099999999954</c:v>
                </c:pt>
                <c:pt idx="4">
                  <c:v>210.63199999999998</c:v>
                </c:pt>
                <c:pt idx="5">
                  <c:v>214.28399999999982</c:v>
                </c:pt>
                <c:pt idx="6">
                  <c:v>224.55400000000006</c:v>
                </c:pt>
                <c:pt idx="7">
                  <c:v>214.10800000000035</c:v>
                </c:pt>
                <c:pt idx="8">
                  <c:v>220.82900000000001</c:v>
                </c:pt>
                <c:pt idx="9">
                  <c:v>227.62700000000007</c:v>
                </c:pt>
                <c:pt idx="10">
                  <c:v>223.49699999999999</c:v>
                </c:pt>
                <c:pt idx="11">
                  <c:v>222.50500000000022</c:v>
                </c:pt>
                <c:pt idx="12">
                  <c:v>223.97299999999956</c:v>
                </c:pt>
                <c:pt idx="13">
                  <c:v>225.86200000000008</c:v>
                </c:pt>
                <c:pt idx="14">
                  <c:v>227.97500000000002</c:v>
                </c:pt>
                <c:pt idx="15">
                  <c:v>229.71599999999995</c:v>
                </c:pt>
                <c:pt idx="16">
                  <c:v>231.12500000000011</c:v>
                </c:pt>
                <c:pt idx="17">
                  <c:v>232.38999999999953</c:v>
                </c:pt>
                <c:pt idx="18">
                  <c:v>233.57399999999984</c:v>
                </c:pt>
                <c:pt idx="19">
                  <c:v>234.7150000000002</c:v>
                </c:pt>
                <c:pt idx="20">
                  <c:v>235.8790000000001</c:v>
                </c:pt>
                <c:pt idx="21">
                  <c:v>237.01199999999966</c:v>
                </c:pt>
                <c:pt idx="22">
                  <c:v>238.11</c:v>
                </c:pt>
                <c:pt idx="23">
                  <c:v>239.23500000000001</c:v>
                </c:pt>
                <c:pt idx="24">
                  <c:v>240.32099999999991</c:v>
                </c:pt>
                <c:pt idx="25">
                  <c:v>241.38099999999969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805-44CD-8692-A81F93CACC92}"/>
            </c:ext>
          </c:extLst>
        </c:ser>
        <c:ser>
          <c:idx val="4"/>
          <c:order val="4"/>
          <c:tx>
            <c:strRef>
              <c:f>'Ind F2'!$L$23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F2'!$M$23:$AL$23</c:f>
              <c:numCache>
                <c:formatCode>#,##0</c:formatCode>
                <c:ptCount val="26"/>
                <c:pt idx="0">
                  <c:v>287.18799999999953</c:v>
                </c:pt>
                <c:pt idx="1">
                  <c:v>300.74600000000015</c:v>
                </c:pt>
                <c:pt idx="2">
                  <c:v>314.76199999999989</c:v>
                </c:pt>
                <c:pt idx="3">
                  <c:v>314.41399999999976</c:v>
                </c:pt>
                <c:pt idx="4">
                  <c:v>323.2770000000001</c:v>
                </c:pt>
                <c:pt idx="5">
                  <c:v>333.41999999999996</c:v>
                </c:pt>
                <c:pt idx="6">
                  <c:v>334.32599999999974</c:v>
                </c:pt>
                <c:pt idx="7">
                  <c:v>307.3979999999998</c:v>
                </c:pt>
                <c:pt idx="8">
                  <c:v>318.9410000000002</c:v>
                </c:pt>
                <c:pt idx="9">
                  <c:v>328.33300000000008</c:v>
                </c:pt>
                <c:pt idx="10">
                  <c:v>317.27099999999996</c:v>
                </c:pt>
                <c:pt idx="11">
                  <c:v>320.96699999999998</c:v>
                </c:pt>
                <c:pt idx="12">
                  <c:v>322.37199999999967</c:v>
                </c:pt>
                <c:pt idx="13">
                  <c:v>324.65500000000014</c:v>
                </c:pt>
                <c:pt idx="14">
                  <c:v>327.0779999999998</c:v>
                </c:pt>
                <c:pt idx="15">
                  <c:v>328.89399999999972</c:v>
                </c:pt>
                <c:pt idx="16">
                  <c:v>330.82700000000006</c:v>
                </c:pt>
                <c:pt idx="17">
                  <c:v>332.67899999999992</c:v>
                </c:pt>
                <c:pt idx="18">
                  <c:v>334.54000000000008</c:v>
                </c:pt>
                <c:pt idx="19">
                  <c:v>336.42299999999994</c:v>
                </c:pt>
                <c:pt idx="20">
                  <c:v>338.42299999999977</c:v>
                </c:pt>
                <c:pt idx="21">
                  <c:v>340.39400000000012</c:v>
                </c:pt>
                <c:pt idx="22">
                  <c:v>342.37600000000043</c:v>
                </c:pt>
                <c:pt idx="23">
                  <c:v>344.34299999999979</c:v>
                </c:pt>
                <c:pt idx="24">
                  <c:v>346.29500000000007</c:v>
                </c:pt>
                <c:pt idx="25">
                  <c:v>348.23600000000027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805-44CD-8692-A81F93CACC92}"/>
            </c:ext>
          </c:extLst>
        </c:ser>
        <c:ser>
          <c:idx val="5"/>
          <c:order val="5"/>
          <c:tx>
            <c:strRef>
              <c:f>'Ind F2'!$L$33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F2'!$M$33:$AL$33</c:f>
              <c:numCache>
                <c:formatCode>#,##0</c:formatCode>
                <c:ptCount val="26"/>
                <c:pt idx="0">
                  <c:v>189.17500000000024</c:v>
                </c:pt>
                <c:pt idx="1">
                  <c:v>188.15100000000001</c:v>
                </c:pt>
                <c:pt idx="2">
                  <c:v>186.25600000000009</c:v>
                </c:pt>
                <c:pt idx="3">
                  <c:v>188.21800000000002</c:v>
                </c:pt>
                <c:pt idx="4">
                  <c:v>187.26899999999975</c:v>
                </c:pt>
                <c:pt idx="5">
                  <c:v>200.03500000000005</c:v>
                </c:pt>
                <c:pt idx="6">
                  <c:v>197.61999999999995</c:v>
                </c:pt>
                <c:pt idx="7">
                  <c:v>198.44699999999995</c:v>
                </c:pt>
                <c:pt idx="8">
                  <c:v>198.09800000000013</c:v>
                </c:pt>
                <c:pt idx="9">
                  <c:v>200.666</c:v>
                </c:pt>
                <c:pt idx="10">
                  <c:v>198.11600000000001</c:v>
                </c:pt>
                <c:pt idx="11">
                  <c:v>199.29499999999979</c:v>
                </c:pt>
                <c:pt idx="12">
                  <c:v>200.29500000000007</c:v>
                </c:pt>
                <c:pt idx="13">
                  <c:v>201.11400000000003</c:v>
                </c:pt>
                <c:pt idx="14">
                  <c:v>202.30700000000002</c:v>
                </c:pt>
                <c:pt idx="15">
                  <c:v>203.05900000000003</c:v>
                </c:pt>
                <c:pt idx="16">
                  <c:v>203.45200000000006</c:v>
                </c:pt>
                <c:pt idx="17">
                  <c:v>203.76199999999983</c:v>
                </c:pt>
                <c:pt idx="18">
                  <c:v>204.04100000000008</c:v>
                </c:pt>
                <c:pt idx="19">
                  <c:v>204.32</c:v>
                </c:pt>
                <c:pt idx="20">
                  <c:v>204.63000000000011</c:v>
                </c:pt>
                <c:pt idx="21">
                  <c:v>204.90899999999993</c:v>
                </c:pt>
                <c:pt idx="22">
                  <c:v>205.16600000000011</c:v>
                </c:pt>
                <c:pt idx="23">
                  <c:v>205.42600000000002</c:v>
                </c:pt>
                <c:pt idx="24">
                  <c:v>205.68999999999991</c:v>
                </c:pt>
                <c:pt idx="25">
                  <c:v>205.95899999999992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805-44CD-8692-A81F93CACC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3464448"/>
        <c:axId val="313464840"/>
      </c:lineChart>
      <c:catAx>
        <c:axId val="3134644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8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48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000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7.9491255961844434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44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8.8855016216081883E-2"/>
          <c:y val="0.90754563164012003"/>
          <c:w val="0.88489191349766172"/>
          <c:h val="7.973578666492053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317476310572159"/>
          <c:y val="3.9501079600076011E-2"/>
          <c:w val="0.62857240292101169"/>
          <c:h val="0.89605080566489914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'Ind F2'!$L$231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F2'!$M$231:$O$231</c:f>
              <c:numCache>
                <c:formatCode>0.0</c:formatCode>
                <c:ptCount val="3"/>
                <c:pt idx="0">
                  <c:v>23.125299853758076</c:v>
                </c:pt>
                <c:pt idx="1">
                  <c:v>22.913119911176913</c:v>
                </c:pt>
                <c:pt idx="2">
                  <c:v>22.254337758434012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03-4130-A9FF-BEAED71CB078}"/>
            </c:ext>
          </c:extLst>
        </c:ser>
        <c:ser>
          <c:idx val="1"/>
          <c:order val="1"/>
          <c:tx>
            <c:strRef>
              <c:f>'Ind F2'!$L$232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solidFill>
              <a:srgbClr val="33333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F2'!$M$232:$O$232</c:f>
              <c:numCache>
                <c:formatCode>0.0</c:formatCode>
                <c:ptCount val="3"/>
                <c:pt idx="0">
                  <c:v>38.545441933861646</c:v>
                </c:pt>
                <c:pt idx="1">
                  <c:v>36.693999814951894</c:v>
                </c:pt>
                <c:pt idx="2">
                  <c:v>37.627690771687746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03-4130-A9FF-BEAED71CB078}"/>
            </c:ext>
          </c:extLst>
        </c:ser>
        <c:ser>
          <c:idx val="2"/>
          <c:order val="2"/>
          <c:tx>
            <c:strRef>
              <c:f>'Ind F2'!$L$233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F2'!$M$233:$O$233</c:f>
              <c:numCache>
                <c:formatCode>0.0</c:formatCode>
                <c:ptCount val="3"/>
                <c:pt idx="0">
                  <c:v>24.772573568938885</c:v>
                </c:pt>
                <c:pt idx="1">
                  <c:v>25.848561250925243</c:v>
                </c:pt>
                <c:pt idx="2">
                  <c:v>26.081765314788651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D03-4130-A9FF-BEAED71CB078}"/>
            </c:ext>
          </c:extLst>
        </c:ser>
        <c:ser>
          <c:idx val="3"/>
          <c:order val="3"/>
          <c:tx>
            <c:strRef>
              <c:f>'Ind F2'!$L$234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F2'!$M$234:$O$234</c:f>
              <c:numCache>
                <c:formatCode>0.0</c:formatCode>
                <c:ptCount val="3"/>
                <c:pt idx="0">
                  <c:v>6.3310616701637734</c:v>
                </c:pt>
                <c:pt idx="1">
                  <c:v>7.1913166173204868</c:v>
                </c:pt>
                <c:pt idx="2">
                  <c:v>7.8289273218812214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D03-4130-A9FF-BEAED71CB078}"/>
            </c:ext>
          </c:extLst>
        </c:ser>
        <c:ser>
          <c:idx val="4"/>
          <c:order val="4"/>
          <c:tx>
            <c:strRef>
              <c:f>'Ind F2'!$L$235</c:f>
              <c:strCache>
                <c:ptCount val="1"/>
                <c:pt idx="0">
                  <c:v>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F2'!$M$235:$O$235</c:f>
              <c:numCache>
                <c:formatCode>0.0</c:formatCode>
                <c:ptCount val="3"/>
                <c:pt idx="0">
                  <c:v>5.3752290449188198</c:v>
                </c:pt>
                <c:pt idx="1">
                  <c:v>5.6911547002220608</c:v>
                </c:pt>
                <c:pt idx="2">
                  <c:v>4.5425174882601302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D03-4130-A9FF-BEAED71CB078}"/>
            </c:ext>
          </c:extLst>
        </c:ser>
        <c:ser>
          <c:idx val="5"/>
          <c:order val="5"/>
          <c:tx>
            <c:strRef>
              <c:f>'Ind F2'!$L$236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F2'!$M$236:$O$236</c:f>
              <c:numCache>
                <c:formatCode>0.0</c:formatCode>
                <c:ptCount val="3"/>
                <c:pt idx="0">
                  <c:v>1.8503939283587938</c:v>
                </c:pt>
                <c:pt idx="1">
                  <c:v>1.6618477054034069</c:v>
                </c:pt>
                <c:pt idx="2">
                  <c:v>1.6647613449482304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D03-4130-A9FF-BEAED71CB07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100"/>
        <c:axId val="313465624"/>
        <c:axId val="313466016"/>
      </c:barChart>
      <c:catAx>
        <c:axId val="3134656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60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6016"/>
        <c:scaling>
          <c:orientation val="minMax"/>
          <c:min val="0"/>
        </c:scaling>
        <c:delete val="0"/>
        <c:axPos val="l"/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562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238211864787763"/>
          <c:y val="0.34095668707435578"/>
          <c:w val="0.23174639097593544"/>
          <c:h val="0.2390854817899396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555595169263345"/>
          <c:y val="1.6701461377870683E-2"/>
          <c:w val="0.70317569316670592"/>
          <c:h val="0.83507306889352861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F2'!$N$260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F2'!$N$261:$N$268</c:f>
              <c:numCache>
                <c:formatCode>#,##0</c:formatCode>
                <c:ptCount val="8"/>
                <c:pt idx="0">
                  <c:v>-1.9190000000000396</c:v>
                </c:pt>
                <c:pt idx="1">
                  <c:v>-16.149000000000001</c:v>
                </c:pt>
                <c:pt idx="2">
                  <c:v>9.2130000000001644</c:v>
                </c:pt>
                <c:pt idx="3">
                  <c:v>7.4149999999996794</c:v>
                </c:pt>
                <c:pt idx="4">
                  <c:v>2.7119999999999749</c:v>
                </c:pt>
                <c:pt idx="5">
                  <c:v>-1.6369999999999738</c:v>
                </c:pt>
                <c:pt idx="7">
                  <c:v>-0.36500000000035016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B3-45E8-A7D6-A7274F9997D3}"/>
            </c:ext>
          </c:extLst>
        </c:ser>
        <c:ser>
          <c:idx val="2"/>
          <c:order val="1"/>
          <c:tx>
            <c:strRef>
              <c:f>'Ind F2'!$O$260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F2'!$O$261:$O$268</c:f>
              <c:numCache>
                <c:formatCode>#,##0</c:formatCode>
                <c:ptCount val="8"/>
                <c:pt idx="0">
                  <c:v>7.842999999999904</c:v>
                </c:pt>
                <c:pt idx="1">
                  <c:v>30.965000000000316</c:v>
                </c:pt>
                <c:pt idx="2">
                  <c:v>17.883999999999702</c:v>
                </c:pt>
                <c:pt idx="3">
                  <c:v>10.276000000000046</c:v>
                </c:pt>
                <c:pt idx="4">
                  <c:v>-7.1679999999999282</c:v>
                </c:pt>
                <c:pt idx="5">
                  <c:v>1.0379999999999701</c:v>
                </c:pt>
                <c:pt idx="7">
                  <c:v>60.838000000000001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B3-45E8-A7D6-A7274F999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2992"/>
        <c:axId val="313553384"/>
      </c:barChart>
      <c:catAx>
        <c:axId val="31355299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33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338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2992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4444497836833232"/>
          <c:y val="0.93528183716075164"/>
          <c:w val="0.29841316098271448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F1'!$N$7:$N$51</c:f>
              <c:numCache>
                <c:formatCode>General</c:formatCode>
                <c:ptCount val="45"/>
                <c:pt idx="0">
                  <c:v>0.45434319276140833</c:v>
                </c:pt>
                <c:pt idx="2">
                  <c:v>2.5553373789466427E-2</c:v>
                </c:pt>
                <c:pt idx="3">
                  <c:v>-1.3967314942990194</c:v>
                </c:pt>
                <c:pt idx="4">
                  <c:v>-0.10819812836684317</c:v>
                </c:pt>
                <c:pt idx="6">
                  <c:v>0.54438617047769533</c:v>
                </c:pt>
                <c:pt idx="7">
                  <c:v>1.371058632450084</c:v>
                </c:pt>
                <c:pt idx="8">
                  <c:v>0.82372817954072808</c:v>
                </c:pt>
                <c:pt idx="10">
                  <c:v>2.4781152385781713</c:v>
                </c:pt>
                <c:pt idx="11">
                  <c:v>-0.79993923642365239</c:v>
                </c:pt>
                <c:pt idx="12">
                  <c:v>1.6244449649605031E-2</c:v>
                </c:pt>
                <c:pt idx="14">
                  <c:v>-1.072004163665452</c:v>
                </c:pt>
                <c:pt idx="15">
                  <c:v>0.27260174239143176</c:v>
                </c:pt>
                <c:pt idx="16">
                  <c:v>0.97085253593887089</c:v>
                </c:pt>
                <c:pt idx="17">
                  <c:v>0.76987694172052645</c:v>
                </c:pt>
                <c:pt idx="19">
                  <c:v>0.5748620742074273</c:v>
                </c:pt>
                <c:pt idx="20">
                  <c:v>-1.8971656057709119E-2</c:v>
                </c:pt>
                <c:pt idx="21">
                  <c:v>8.6016476722683421E-3</c:v>
                </c:pt>
                <c:pt idx="22">
                  <c:v>1.5722283168687845</c:v>
                </c:pt>
                <c:pt idx="23">
                  <c:v>0.31031894563411377</c:v>
                </c:pt>
                <c:pt idx="25">
                  <c:v>-1.4200841765729</c:v>
                </c:pt>
                <c:pt idx="26">
                  <c:v>-1.1898073473603499</c:v>
                </c:pt>
                <c:pt idx="27">
                  <c:v>-1.2372328969751711</c:v>
                </c:pt>
                <c:pt idx="29">
                  <c:v>5.9680965143238396E-2</c:v>
                </c:pt>
                <c:pt idx="30">
                  <c:v>0.62076590898481054</c:v>
                </c:pt>
                <c:pt idx="31">
                  <c:v>2.1237077952086736</c:v>
                </c:pt>
                <c:pt idx="32">
                  <c:v>0.38159867251259527</c:v>
                </c:pt>
                <c:pt idx="33">
                  <c:v>-0.27960087272583811</c:v>
                </c:pt>
                <c:pt idx="34">
                  <c:v>0.33793866045672694</c:v>
                </c:pt>
                <c:pt idx="36">
                  <c:v>1.446277124175066</c:v>
                </c:pt>
                <c:pt idx="37">
                  <c:v>0.7210359772727104</c:v>
                </c:pt>
                <c:pt idx="38">
                  <c:v>0.68964711587993222</c:v>
                </c:pt>
                <c:pt idx="39">
                  <c:v>1.0650191874393977</c:v>
                </c:pt>
                <c:pt idx="40">
                  <c:v>1.0691065323153781</c:v>
                </c:pt>
                <c:pt idx="42">
                  <c:v>2.6166329715860082</c:v>
                </c:pt>
                <c:pt idx="43">
                  <c:v>0.19393917482022349</c:v>
                </c:pt>
                <c:pt idx="44">
                  <c:v>0.96425704162383941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B3-408C-89EB-52C0D9681FCD}"/>
            </c:ext>
          </c:extLst>
        </c:ser>
        <c:ser>
          <c:idx val="1"/>
          <c:order val="1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F1'!$M$7:$M$51</c:f>
              <c:numCache>
                <c:formatCode>General</c:formatCode>
                <c:ptCount val="45"/>
                <c:pt idx="0">
                  <c:v>-8.4406823586569146E-3</c:v>
                </c:pt>
                <c:pt idx="2">
                  <c:v>-2.4324736390409107</c:v>
                </c:pt>
                <c:pt idx="3">
                  <c:v>-4.9048716777156276</c:v>
                </c:pt>
                <c:pt idx="4">
                  <c:v>-2.7048428348231068</c:v>
                </c:pt>
                <c:pt idx="6">
                  <c:v>-2.0021875841621517</c:v>
                </c:pt>
                <c:pt idx="7">
                  <c:v>-3.0071685483465949</c:v>
                </c:pt>
                <c:pt idx="8">
                  <c:v>-2.3358362227903662</c:v>
                </c:pt>
                <c:pt idx="10">
                  <c:v>0.88568527041954503</c:v>
                </c:pt>
                <c:pt idx="11">
                  <c:v>-0.77903677455052334</c:v>
                </c:pt>
                <c:pt idx="12">
                  <c:v>-0.44608022635886924</c:v>
                </c:pt>
                <c:pt idx="14">
                  <c:v>0.37037721451724792</c:v>
                </c:pt>
                <c:pt idx="15">
                  <c:v>-1.3632761051869058</c:v>
                </c:pt>
                <c:pt idx="16">
                  <c:v>-0.39521383918822428</c:v>
                </c:pt>
                <c:pt idx="17">
                  <c:v>-0.64954349360096808</c:v>
                </c:pt>
                <c:pt idx="19">
                  <c:v>-4.059218284995902</c:v>
                </c:pt>
                <c:pt idx="20">
                  <c:v>-3.5959965470597766</c:v>
                </c:pt>
                <c:pt idx="21">
                  <c:v>-2.7384645484242132</c:v>
                </c:pt>
                <c:pt idx="22">
                  <c:v>-3.503312697279104</c:v>
                </c:pt>
                <c:pt idx="23">
                  <c:v>-3.3882935883606469</c:v>
                </c:pt>
                <c:pt idx="25">
                  <c:v>-3.2957909952898601</c:v>
                </c:pt>
                <c:pt idx="26">
                  <c:v>-0.62446600020442666</c:v>
                </c:pt>
                <c:pt idx="27">
                  <c:v>-1.2188864983476377</c:v>
                </c:pt>
                <c:pt idx="29">
                  <c:v>1.0050431913041669</c:v>
                </c:pt>
                <c:pt idx="30">
                  <c:v>-1.5867732068172602</c:v>
                </c:pt>
                <c:pt idx="31">
                  <c:v>-0.10727750766410526</c:v>
                </c:pt>
                <c:pt idx="32">
                  <c:v>2.9599337316154051</c:v>
                </c:pt>
                <c:pt idx="33">
                  <c:v>3.4650334639275027</c:v>
                </c:pt>
                <c:pt idx="34">
                  <c:v>1.0001547367332497</c:v>
                </c:pt>
                <c:pt idx="36">
                  <c:v>3.1191579975672346</c:v>
                </c:pt>
                <c:pt idx="37">
                  <c:v>0.61785665812612578</c:v>
                </c:pt>
                <c:pt idx="38">
                  <c:v>3.459600505058158</c:v>
                </c:pt>
                <c:pt idx="39">
                  <c:v>2.052924754635832</c:v>
                </c:pt>
                <c:pt idx="40">
                  <c:v>2.320479964125699</c:v>
                </c:pt>
                <c:pt idx="42">
                  <c:v>-6.4227518302706343E-2</c:v>
                </c:pt>
                <c:pt idx="43">
                  <c:v>2.8100337577803058</c:v>
                </c:pt>
                <c:pt idx="44">
                  <c:v>1.9475342606428026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B3-408C-89EB-52C0D9681F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7285769431129534"/>
              <c:y val="0.945822728615001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7242033227521949"/>
          <c:y val="0.97204833412938918"/>
          <c:w val="0.29895970048008641"/>
          <c:h val="2.0045067988449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F1'!$M$82:$M$106</c:f>
              <c:numCache>
                <c:formatCode>#,##0</c:formatCode>
                <c:ptCount val="25"/>
                <c:pt idx="0">
                  <c:v>10.206446091711342</c:v>
                </c:pt>
                <c:pt idx="1">
                  <c:v>-9.9905976639291794E-2</c:v>
                </c:pt>
                <c:pt idx="2">
                  <c:v>6.7566166502182057</c:v>
                </c:pt>
                <c:pt idx="3">
                  <c:v>5.2398939788643268</c:v>
                </c:pt>
                <c:pt idx="4">
                  <c:v>1.1954986446318046</c:v>
                </c:pt>
                <c:pt idx="5">
                  <c:v>9.5842293298239767</c:v>
                </c:pt>
                <c:pt idx="6">
                  <c:v>2.8771648192758494</c:v>
                </c:pt>
                <c:pt idx="7">
                  <c:v>1.9953429387592756</c:v>
                </c:pt>
                <c:pt idx="8">
                  <c:v>-5.4836343491865946E-2</c:v>
                </c:pt>
                <c:pt idx="9">
                  <c:v>-1.7253978398659839</c:v>
                </c:pt>
                <c:pt idx="10">
                  <c:v>2.9310434708999438</c:v>
                </c:pt>
                <c:pt idx="11">
                  <c:v>-2.2252984351881366</c:v>
                </c:pt>
                <c:pt idx="12">
                  <c:v>-3.3636170091984958</c:v>
                </c:pt>
                <c:pt idx="13">
                  <c:v>-1.3724899836969726</c:v>
                </c:pt>
                <c:pt idx="14">
                  <c:v>-3.7423820430174324</c:v>
                </c:pt>
                <c:pt idx="15">
                  <c:v>-4.1032219904750029</c:v>
                </c:pt>
                <c:pt idx="16">
                  <c:v>-3.6708584044871948</c:v>
                </c:pt>
                <c:pt idx="17">
                  <c:v>-1.1396649986155509</c:v>
                </c:pt>
                <c:pt idx="18">
                  <c:v>-1.4916430630630089</c:v>
                </c:pt>
                <c:pt idx="19">
                  <c:v>1.722462205219355E-2</c:v>
                </c:pt>
                <c:pt idx="20">
                  <c:v>-2.0892108367589373</c:v>
                </c:pt>
                <c:pt idx="21">
                  <c:v>0.59374357668387567</c:v>
                </c:pt>
                <c:pt idx="22">
                  <c:v>-1.8043315162644298</c:v>
                </c:pt>
                <c:pt idx="23">
                  <c:v>-2.4160169485762744</c:v>
                </c:pt>
                <c:pt idx="24">
                  <c:v>-2.4925734372992778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3B-487F-80E9-0567EF603948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F1'!$N$82:$N$106</c:f>
              <c:numCache>
                <c:formatCode>#,##0</c:formatCode>
                <c:ptCount val="25"/>
                <c:pt idx="0">
                  <c:v>2.3260990665111621</c:v>
                </c:pt>
                <c:pt idx="1">
                  <c:v>14.693404363227653</c:v>
                </c:pt>
                <c:pt idx="2">
                  <c:v>12.044612476703719</c:v>
                </c:pt>
                <c:pt idx="3">
                  <c:v>3.6386480768076694</c:v>
                </c:pt>
                <c:pt idx="4">
                  <c:v>4.4853748992063842</c:v>
                </c:pt>
                <c:pt idx="5">
                  <c:v>16.180400441743473</c:v>
                </c:pt>
                <c:pt idx="6">
                  <c:v>-0.75563824488131814</c:v>
                </c:pt>
                <c:pt idx="7">
                  <c:v>0.86444332766932241</c:v>
                </c:pt>
                <c:pt idx="8">
                  <c:v>3.776169437688468</c:v>
                </c:pt>
                <c:pt idx="9">
                  <c:v>2.0157718270075797</c:v>
                </c:pt>
                <c:pt idx="10">
                  <c:v>0.54025103963129339</c:v>
                </c:pt>
                <c:pt idx="11">
                  <c:v>-11.49453843900767</c:v>
                </c:pt>
                <c:pt idx="12">
                  <c:v>-3.560235015307093</c:v>
                </c:pt>
                <c:pt idx="13">
                  <c:v>1.8538007286964771</c:v>
                </c:pt>
                <c:pt idx="14">
                  <c:v>3.2440982768619619E-2</c:v>
                </c:pt>
                <c:pt idx="15">
                  <c:v>-5.803079048146742E-2</c:v>
                </c:pt>
                <c:pt idx="16">
                  <c:v>1.4316396028725542</c:v>
                </c:pt>
                <c:pt idx="17">
                  <c:v>8.8879965741717015</c:v>
                </c:pt>
                <c:pt idx="18">
                  <c:v>0.87512701134369664</c:v>
                </c:pt>
                <c:pt idx="19">
                  <c:v>-0.14039095626722109</c:v>
                </c:pt>
                <c:pt idx="20">
                  <c:v>-5.9460878605762204</c:v>
                </c:pt>
                <c:pt idx="21">
                  <c:v>6.107468159163119</c:v>
                </c:pt>
                <c:pt idx="22">
                  <c:v>2.4791295201005248</c:v>
                </c:pt>
                <c:pt idx="23">
                  <c:v>1.9262795724012349</c:v>
                </c:pt>
                <c:pt idx="24">
                  <c:v>-1.6583349706813442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3B-487F-80E9-0567EF603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889349431321084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F1'!$M$153:$M$161</c:f>
              <c:numCache>
                <c:formatCode>#,##0</c:formatCode>
                <c:ptCount val="9"/>
                <c:pt idx="0">
                  <c:v>10.10654011507205</c:v>
                </c:pt>
                <c:pt idx="1">
                  <c:v>22.776238603538332</c:v>
                </c:pt>
                <c:pt idx="2">
                  <c:v>6.0233170455772154</c:v>
                </c:pt>
                <c:pt idx="3">
                  <c:v>-5.5889154443866289</c:v>
                </c:pt>
                <c:pt idx="4">
                  <c:v>-12.888952421676606</c:v>
                </c:pt>
                <c:pt idx="5">
                  <c:v>-2.6140834396263557</c:v>
                </c:pt>
                <c:pt idx="6">
                  <c:v>-1.4954672600750598</c:v>
                </c:pt>
                <c:pt idx="7">
                  <c:v>-4.2203484648407041</c:v>
                </c:pt>
                <c:pt idx="8">
                  <c:v>-12.463328733582614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34-4989-9EE7-3CDF027722D3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F1'!$N$153:$N$161</c:f>
              <c:numCache>
                <c:formatCode>#,##0</c:formatCode>
                <c:ptCount val="9"/>
                <c:pt idx="0">
                  <c:v>17.019503429738819</c:v>
                </c:pt>
                <c:pt idx="1">
                  <c:v>36.349035894461252</c:v>
                </c:pt>
                <c:pt idx="2">
                  <c:v>6.4409973871153454</c:v>
                </c:pt>
                <c:pt idx="3">
                  <c:v>-15.054773454314756</c:v>
                </c:pt>
                <c:pt idx="4">
                  <c:v>3.2598505238562012</c:v>
                </c:pt>
                <c:pt idx="5">
                  <c:v>9.6227326292481763</c:v>
                </c:pt>
                <c:pt idx="6">
                  <c:v>0.16138029858690572</c:v>
                </c:pt>
                <c:pt idx="7">
                  <c:v>4.4054090925017633</c:v>
                </c:pt>
                <c:pt idx="8">
                  <c:v>-1.366135801193451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34-4989-9EE7-3CDF027722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0.89275972821341165"/>
              <c:y val="0.94782764654418195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3291178359361627E-2"/>
          <c:y val="6.1930893405078492E-2"/>
          <c:w val="0.90000055627012265"/>
          <c:h val="0.80874460799574588"/>
        </c:manualLayout>
      </c:layout>
      <c:areaChart>
        <c:grouping val="stacked"/>
        <c:varyColors val="0"/>
        <c:ser>
          <c:idx val="0"/>
          <c:order val="0"/>
          <c:tx>
            <c:strRef>
              <c:f>'Occ F2'!$L$6</c:f>
              <c:strCache>
                <c:ptCount val="1"/>
                <c:pt idx="0">
                  <c:v>11 Corporate managers and directors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F2'!$M$6:$AL$6</c:f>
              <c:numCache>
                <c:formatCode>#,##0</c:formatCode>
                <c:ptCount val="26"/>
                <c:pt idx="0">
                  <c:v>57.732789452356222</c:v>
                </c:pt>
                <c:pt idx="1">
                  <c:v>63.176287490228781</c:v>
                </c:pt>
                <c:pt idx="2">
                  <c:v>65.350266195963172</c:v>
                </c:pt>
                <c:pt idx="3">
                  <c:v>66.223327697022256</c:v>
                </c:pt>
                <c:pt idx="4">
                  <c:v>65.07796301031749</c:v>
                </c:pt>
                <c:pt idx="5">
                  <c:v>68.673395206321104</c:v>
                </c:pt>
                <c:pt idx="6">
                  <c:v>75.10915035844323</c:v>
                </c:pt>
                <c:pt idx="7">
                  <c:v>72.807475594103337</c:v>
                </c:pt>
                <c:pt idx="8">
                  <c:v>74.680248907745266</c:v>
                </c:pt>
                <c:pt idx="9">
                  <c:v>78.354158175892394</c:v>
                </c:pt>
                <c:pt idx="10">
                  <c:v>78.879841298032446</c:v>
                </c:pt>
                <c:pt idx="11">
                  <c:v>71.00983161438468</c:v>
                </c:pt>
                <c:pt idx="12">
                  <c:v>71.752805037669361</c:v>
                </c:pt>
                <c:pt idx="13">
                  <c:v>72.704039677375505</c:v>
                </c:pt>
                <c:pt idx="14">
                  <c:v>73.674631843554764</c:v>
                </c:pt>
                <c:pt idx="15">
                  <c:v>74.416082347702968</c:v>
                </c:pt>
                <c:pt idx="16">
                  <c:v>75.104884102162245</c:v>
                </c:pt>
                <c:pt idx="17">
                  <c:v>75.758381244718578</c:v>
                </c:pt>
                <c:pt idx="18">
                  <c:v>76.416160719262422</c:v>
                </c:pt>
                <c:pt idx="19">
                  <c:v>77.062700641934853</c:v>
                </c:pt>
                <c:pt idx="20">
                  <c:v>77.742910489826954</c:v>
                </c:pt>
                <c:pt idx="21">
                  <c:v>78.406438546981576</c:v>
                </c:pt>
                <c:pt idx="22">
                  <c:v>79.095924671734579</c:v>
                </c:pt>
                <c:pt idx="23">
                  <c:v>79.7738884487147</c:v>
                </c:pt>
                <c:pt idx="24">
                  <c:v>80.509303016312487</c:v>
                </c:pt>
                <c:pt idx="25">
                  <c:v>81.205940364543608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20-4568-BDF9-576543F0797E}"/>
            </c:ext>
          </c:extLst>
        </c:ser>
        <c:ser>
          <c:idx val="1"/>
          <c:order val="1"/>
          <c:tx>
            <c:strRef>
              <c:f>'Occ F2'!$L$7</c:f>
              <c:strCache>
                <c:ptCount val="1"/>
                <c:pt idx="0">
                  <c:v>12 Other managers and proprietors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F2'!$M$7:$AL$7</c:f>
              <c:numCache>
                <c:formatCode>#,##0</c:formatCode>
                <c:ptCount val="26"/>
                <c:pt idx="0">
                  <c:v>23.36011383240459</c:v>
                </c:pt>
                <c:pt idx="1">
                  <c:v>26.90788312747377</c:v>
                </c:pt>
                <c:pt idx="2">
                  <c:v>28.621108026744096</c:v>
                </c:pt>
                <c:pt idx="3">
                  <c:v>28.805381527390143</c:v>
                </c:pt>
                <c:pt idx="4">
                  <c:v>31.841894091218332</c:v>
                </c:pt>
                <c:pt idx="5">
                  <c:v>31.150010460958992</c:v>
                </c:pt>
                <c:pt idx="6">
                  <c:v>29.282349376416906</c:v>
                </c:pt>
                <c:pt idx="7">
                  <c:v>29.527044503220903</c:v>
                </c:pt>
                <c:pt idx="8">
                  <c:v>30.608102817868129</c:v>
                </c:pt>
                <c:pt idx="9">
                  <c:v>31.560410730472807</c:v>
                </c:pt>
                <c:pt idx="10">
                  <c:v>31.0501044843197</c:v>
                </c:pt>
                <c:pt idx="11">
                  <c:v>36.345033005213786</c:v>
                </c:pt>
                <c:pt idx="12">
                  <c:v>37.036024928936136</c:v>
                </c:pt>
                <c:pt idx="13">
                  <c:v>37.808778991968261</c:v>
                </c:pt>
                <c:pt idx="14">
                  <c:v>38.603497452729961</c:v>
                </c:pt>
                <c:pt idx="15">
                  <c:v>39.276270482513567</c:v>
                </c:pt>
                <c:pt idx="16">
                  <c:v>39.935331031404516</c:v>
                </c:pt>
                <c:pt idx="17">
                  <c:v>40.587151734168643</c:v>
                </c:pt>
                <c:pt idx="18">
                  <c:v>41.212598357648901</c:v>
                </c:pt>
                <c:pt idx="19">
                  <c:v>41.829527876917339</c:v>
                </c:pt>
                <c:pt idx="20">
                  <c:v>42.468059940457515</c:v>
                </c:pt>
                <c:pt idx="21">
                  <c:v>43.099839660216347</c:v>
                </c:pt>
                <c:pt idx="22">
                  <c:v>43.749175643594484</c:v>
                </c:pt>
                <c:pt idx="23">
                  <c:v>44.38205725549625</c:v>
                </c:pt>
                <c:pt idx="24">
                  <c:v>45.065856403206858</c:v>
                </c:pt>
                <c:pt idx="25">
                  <c:v>45.743508847547353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E7-4E1A-BA1B-1644D5E32C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0568"/>
        <c:axId val="313970960"/>
      </c:areaChart>
      <c:catAx>
        <c:axId val="3139705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9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09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5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4190505958714619"/>
          <c:y val="0.94227478861151881"/>
          <c:w val="0.68071850393700783"/>
          <c:h val="3.971936801526967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9108989445751968E-2"/>
          <c:y val="8.3510768667333396E-2"/>
          <c:w val="0.89593908629441665"/>
          <c:h val="0.733604909404213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F2'!$M$10:$AL$10</c:f>
              <c:numCache>
                <c:formatCode>#,##0</c:formatCode>
                <c:ptCount val="26"/>
                <c:pt idx="0">
                  <c:v>58.792642882611503</c:v>
                </c:pt>
                <c:pt idx="1">
                  <c:v>56.933394733959688</c:v>
                </c:pt>
                <c:pt idx="2">
                  <c:v>57.557483096732149</c:v>
                </c:pt>
                <c:pt idx="3">
                  <c:v>58.48723446017253</c:v>
                </c:pt>
                <c:pt idx="4">
                  <c:v>60.533550638448652</c:v>
                </c:pt>
                <c:pt idx="5">
                  <c:v>63.176564041394101</c:v>
                </c:pt>
                <c:pt idx="6">
                  <c:v>67.614703570149373</c:v>
                </c:pt>
                <c:pt idx="7">
                  <c:v>59.931937446787266</c:v>
                </c:pt>
                <c:pt idx="8">
                  <c:v>64.817802553522256</c:v>
                </c:pt>
                <c:pt idx="9">
                  <c:v>67.962409440888067</c:v>
                </c:pt>
                <c:pt idx="10">
                  <c:v>69.933180691612307</c:v>
                </c:pt>
                <c:pt idx="11">
                  <c:v>71.031798376281515</c:v>
                </c:pt>
                <c:pt idx="12">
                  <c:v>71.754131565292141</c:v>
                </c:pt>
                <c:pt idx="13">
                  <c:v>72.694123344190743</c:v>
                </c:pt>
                <c:pt idx="14">
                  <c:v>73.67393933423773</c:v>
                </c:pt>
                <c:pt idx="15">
                  <c:v>74.453936611404387</c:v>
                </c:pt>
                <c:pt idx="16">
                  <c:v>75.203593482943035</c:v>
                </c:pt>
                <c:pt idx="17">
                  <c:v>75.934614665518126</c:v>
                </c:pt>
                <c:pt idx="18">
                  <c:v>76.66650484592401</c:v>
                </c:pt>
                <c:pt idx="19">
                  <c:v>77.390652500744466</c:v>
                </c:pt>
                <c:pt idx="20">
                  <c:v>78.145326744822157</c:v>
                </c:pt>
                <c:pt idx="21">
                  <c:v>78.900952905776123</c:v>
                </c:pt>
                <c:pt idx="22">
                  <c:v>79.667782716569022</c:v>
                </c:pt>
                <c:pt idx="23">
                  <c:v>80.43837237369965</c:v>
                </c:pt>
                <c:pt idx="24">
                  <c:v>81.213823613354165</c:v>
                </c:pt>
                <c:pt idx="25">
                  <c:v>81.977793168316026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8B-4FD0-A846-3B80B7CA18B9}"/>
            </c:ext>
          </c:extLst>
        </c:ser>
        <c:ser>
          <c:idx val="2"/>
          <c:order val="1"/>
          <c:tx>
            <c:strRef>
              <c:f>'Occ F2'!$L$11</c:f>
              <c:strCache>
                <c:ptCount val="1"/>
                <c:pt idx="0">
                  <c:v>22 Health professionals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F2'!$M$11:$AL$11</c:f>
              <c:numCache>
                <c:formatCode>#,##0</c:formatCode>
                <c:ptCount val="26"/>
                <c:pt idx="0">
                  <c:v>26.096054007983202</c:v>
                </c:pt>
                <c:pt idx="1">
                  <c:v>27.669763350899157</c:v>
                </c:pt>
                <c:pt idx="2">
                  <c:v>28.379620050737984</c:v>
                </c:pt>
                <c:pt idx="3">
                  <c:v>28.529281456865199</c:v>
                </c:pt>
                <c:pt idx="4">
                  <c:v>27.512266233740831</c:v>
                </c:pt>
                <c:pt idx="5">
                  <c:v>28.267194384711377</c:v>
                </c:pt>
                <c:pt idx="6">
                  <c:v>29.980504576145588</c:v>
                </c:pt>
                <c:pt idx="7">
                  <c:v>31.07499810413972</c:v>
                </c:pt>
                <c:pt idx="8">
                  <c:v>30.718174499650264</c:v>
                </c:pt>
                <c:pt idx="9">
                  <c:v>33.804261892733194</c:v>
                </c:pt>
                <c:pt idx="10">
                  <c:v>33.507088363575704</c:v>
                </c:pt>
                <c:pt idx="11">
                  <c:v>34.480210766040017</c:v>
                </c:pt>
                <c:pt idx="12">
                  <c:v>34.648130002358258</c:v>
                </c:pt>
                <c:pt idx="13">
                  <c:v>34.925816330743821</c:v>
                </c:pt>
                <c:pt idx="14">
                  <c:v>35.225193499880717</c:v>
                </c:pt>
                <c:pt idx="15">
                  <c:v>35.446328771962605</c:v>
                </c:pt>
                <c:pt idx="16">
                  <c:v>35.636888753853512</c:v>
                </c:pt>
                <c:pt idx="17">
                  <c:v>35.801798214203039</c:v>
                </c:pt>
                <c:pt idx="18">
                  <c:v>35.950647632825671</c:v>
                </c:pt>
                <c:pt idx="19">
                  <c:v>36.109339603501574</c:v>
                </c:pt>
                <c:pt idx="20">
                  <c:v>36.287980628274255</c:v>
                </c:pt>
                <c:pt idx="21">
                  <c:v>36.465294233256174</c:v>
                </c:pt>
                <c:pt idx="22">
                  <c:v>36.644300341251352</c:v>
                </c:pt>
                <c:pt idx="23">
                  <c:v>36.826954524574177</c:v>
                </c:pt>
                <c:pt idx="24">
                  <c:v>37.002460637263646</c:v>
                </c:pt>
                <c:pt idx="25">
                  <c:v>37.145736440383374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8B-4FD0-A846-3B80B7CA18B9}"/>
            </c:ext>
          </c:extLst>
        </c:ser>
        <c:ser>
          <c:idx val="3"/>
          <c:order val="2"/>
          <c:tx>
            <c:strRef>
              <c:f>'Occ F2'!$L$12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F2'!$M$12:$AL$12</c:f>
              <c:numCache>
                <c:formatCode>#,##0</c:formatCode>
                <c:ptCount val="26"/>
                <c:pt idx="0">
                  <c:v>34.497868796578324</c:v>
                </c:pt>
                <c:pt idx="1">
                  <c:v>34.853467159168822</c:v>
                </c:pt>
                <c:pt idx="2">
                  <c:v>35.561341686424157</c:v>
                </c:pt>
                <c:pt idx="3">
                  <c:v>35.257436266954201</c:v>
                </c:pt>
                <c:pt idx="4">
                  <c:v>35.364877423390809</c:v>
                </c:pt>
                <c:pt idx="5">
                  <c:v>38.222998373704257</c:v>
                </c:pt>
                <c:pt idx="6">
                  <c:v>38.268264015481762</c:v>
                </c:pt>
                <c:pt idx="7">
                  <c:v>37.172184179367541</c:v>
                </c:pt>
                <c:pt idx="8">
                  <c:v>37.505255769154125</c:v>
                </c:pt>
                <c:pt idx="9">
                  <c:v>39.126425629130246</c:v>
                </c:pt>
                <c:pt idx="10">
                  <c:v>39.418497018336062</c:v>
                </c:pt>
                <c:pt idx="11">
                  <c:v>39.473014627700024</c:v>
                </c:pt>
                <c:pt idx="12">
                  <c:v>39.638665539497843</c:v>
                </c:pt>
                <c:pt idx="13">
                  <c:v>39.990434846644192</c:v>
                </c:pt>
                <c:pt idx="14">
                  <c:v>40.402131938276987</c:v>
                </c:pt>
                <c:pt idx="15">
                  <c:v>40.742480700690237</c:v>
                </c:pt>
                <c:pt idx="16">
                  <c:v>41.082536085600829</c:v>
                </c:pt>
                <c:pt idx="17">
                  <c:v>41.409148912536423</c:v>
                </c:pt>
                <c:pt idx="18">
                  <c:v>41.724004359106623</c:v>
                </c:pt>
                <c:pt idx="19">
                  <c:v>42.034435404921481</c:v>
                </c:pt>
                <c:pt idx="20">
                  <c:v>42.363709268564747</c:v>
                </c:pt>
                <c:pt idx="21">
                  <c:v>42.662482525855751</c:v>
                </c:pt>
                <c:pt idx="22">
                  <c:v>42.968767443243699</c:v>
                </c:pt>
                <c:pt idx="23">
                  <c:v>43.279869587574147</c:v>
                </c:pt>
                <c:pt idx="24">
                  <c:v>43.600612596296699</c:v>
                </c:pt>
                <c:pt idx="25">
                  <c:v>43.903871917542446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8B-4FD0-A846-3B80B7CA18B9}"/>
            </c:ext>
          </c:extLst>
        </c:ser>
        <c:ser>
          <c:idx val="0"/>
          <c:order val="3"/>
          <c:tx>
            <c:strRef>
              <c:f>'Occ F2'!$L$13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F2'!$M$13:$AL$13</c:f>
              <c:numCache>
                <c:formatCode>#,##0</c:formatCode>
                <c:ptCount val="26"/>
                <c:pt idx="0">
                  <c:v>59.236452533485505</c:v>
                </c:pt>
                <c:pt idx="1">
                  <c:v>55.553070951555618</c:v>
                </c:pt>
                <c:pt idx="2">
                  <c:v>56.644857708025391</c:v>
                </c:pt>
                <c:pt idx="3">
                  <c:v>58.483956853543198</c:v>
                </c:pt>
                <c:pt idx="4">
                  <c:v>58.703894547367888</c:v>
                </c:pt>
                <c:pt idx="5">
                  <c:v>57.737964261655698</c:v>
                </c:pt>
                <c:pt idx="6">
                  <c:v>62.645646467806706</c:v>
                </c:pt>
                <c:pt idx="7">
                  <c:v>56.854941505451606</c:v>
                </c:pt>
                <c:pt idx="8">
                  <c:v>61.057923414252727</c:v>
                </c:pt>
                <c:pt idx="9">
                  <c:v>64.092050381121737</c:v>
                </c:pt>
                <c:pt idx="10">
                  <c:v>67.322193591479675</c:v>
                </c:pt>
                <c:pt idx="11">
                  <c:v>71.391856105299169</c:v>
                </c:pt>
                <c:pt idx="12">
                  <c:v>72.213498207003241</c:v>
                </c:pt>
                <c:pt idx="13">
                  <c:v>73.282944068526092</c:v>
                </c:pt>
                <c:pt idx="14">
                  <c:v>74.39580339605925</c:v>
                </c:pt>
                <c:pt idx="15">
                  <c:v>75.317210889773705</c:v>
                </c:pt>
                <c:pt idx="16">
                  <c:v>76.176517046800654</c:v>
                </c:pt>
                <c:pt idx="17">
                  <c:v>76.991964755076765</c:v>
                </c:pt>
                <c:pt idx="18">
                  <c:v>77.808431874594163</c:v>
                </c:pt>
                <c:pt idx="19">
                  <c:v>78.605971170244814</c:v>
                </c:pt>
                <c:pt idx="20">
                  <c:v>79.419399535682231</c:v>
                </c:pt>
                <c:pt idx="21">
                  <c:v>80.19889619129286</c:v>
                </c:pt>
                <c:pt idx="22">
                  <c:v>80.968918368032462</c:v>
                </c:pt>
                <c:pt idx="23">
                  <c:v>81.784727254020126</c:v>
                </c:pt>
                <c:pt idx="24">
                  <c:v>82.650984105620466</c:v>
                </c:pt>
                <c:pt idx="25">
                  <c:v>83.502594033223147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8B-4FD0-A846-3B80B7CA1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1744"/>
        <c:axId val="313972136"/>
      </c:areaChart>
      <c:catAx>
        <c:axId val="3139717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1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213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1.650609719509024E-2"/>
              <c:y val="3.05909972344691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174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238887370238754"/>
          <c:y val="0.89684729480371306"/>
          <c:w val="0.8703594311506998"/>
          <c:h val="8.168580000845153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25729671010754E-2"/>
          <c:y val="8.1573294356169543E-2"/>
          <c:w val="0.89593908629441665"/>
          <c:h val="0.7258418595879107"/>
        </c:manualLayout>
      </c:layout>
      <c:areaChart>
        <c:grouping val="stacked"/>
        <c:varyColors val="0"/>
        <c:ser>
          <c:idx val="0"/>
          <c:order val="0"/>
          <c:tx>
            <c:strRef>
              <c:f>'Occ F2'!$L$16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F2'!$M$16:$AL$16</c:f>
              <c:numCache>
                <c:formatCode>#,##0</c:formatCode>
                <c:ptCount val="26"/>
                <c:pt idx="0">
                  <c:v>16.110936294145237</c:v>
                </c:pt>
                <c:pt idx="1">
                  <c:v>15.750233120483248</c:v>
                </c:pt>
                <c:pt idx="2">
                  <c:v>16.164227530600677</c:v>
                </c:pt>
                <c:pt idx="3">
                  <c:v>16.379380096024143</c:v>
                </c:pt>
                <c:pt idx="4">
                  <c:v>15.433397022220991</c:v>
                </c:pt>
                <c:pt idx="5">
                  <c:v>15.495168489057251</c:v>
                </c:pt>
                <c:pt idx="6">
                  <c:v>16.791447030737224</c:v>
                </c:pt>
                <c:pt idx="7">
                  <c:v>16.779614548911361</c:v>
                </c:pt>
                <c:pt idx="8">
                  <c:v>17.587828900245942</c:v>
                </c:pt>
                <c:pt idx="9">
                  <c:v>17.069560549647854</c:v>
                </c:pt>
                <c:pt idx="10">
                  <c:v>18.372333308333101</c:v>
                </c:pt>
                <c:pt idx="11">
                  <c:v>15.80284780114984</c:v>
                </c:pt>
                <c:pt idx="12">
                  <c:v>15.904437919517791</c:v>
                </c:pt>
                <c:pt idx="13">
                  <c:v>16.07405818567943</c:v>
                </c:pt>
                <c:pt idx="14">
                  <c:v>16.253293202769157</c:v>
                </c:pt>
                <c:pt idx="15">
                  <c:v>16.390845416542803</c:v>
                </c:pt>
                <c:pt idx="16">
                  <c:v>16.523050720901747</c:v>
                </c:pt>
                <c:pt idx="17">
                  <c:v>16.641502485490502</c:v>
                </c:pt>
                <c:pt idx="18">
                  <c:v>16.760418523106054</c:v>
                </c:pt>
                <c:pt idx="19">
                  <c:v>16.891449859152917</c:v>
                </c:pt>
                <c:pt idx="20">
                  <c:v>17.018044058085316</c:v>
                </c:pt>
                <c:pt idx="21">
                  <c:v>17.142119370283726</c:v>
                </c:pt>
                <c:pt idx="22">
                  <c:v>17.265335300222112</c:v>
                </c:pt>
                <c:pt idx="23">
                  <c:v>17.385099803169201</c:v>
                </c:pt>
                <c:pt idx="24">
                  <c:v>17.503069999612677</c:v>
                </c:pt>
                <c:pt idx="25">
                  <c:v>17.616695063451782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09-4252-A8BB-3F6EBC820C2C}"/>
            </c:ext>
          </c:extLst>
        </c:ser>
        <c:ser>
          <c:idx val="1"/>
          <c:order val="1"/>
          <c:tx>
            <c:strRef>
              <c:f>'Occ F2'!$L$17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F2'!$M$17:$AL$17</c:f>
              <c:numCache>
                <c:formatCode>#,##0</c:formatCode>
                <c:ptCount val="26"/>
                <c:pt idx="0">
                  <c:v>10.317898844581281</c:v>
                </c:pt>
                <c:pt idx="1">
                  <c:v>12.81379931774163</c:v>
                </c:pt>
                <c:pt idx="2">
                  <c:v>12.616354587387274</c:v>
                </c:pt>
                <c:pt idx="3">
                  <c:v>12.155238704547584</c:v>
                </c:pt>
                <c:pt idx="4">
                  <c:v>11.700701084927077</c:v>
                </c:pt>
                <c:pt idx="5">
                  <c:v>12.707484419440277</c:v>
                </c:pt>
                <c:pt idx="6">
                  <c:v>12.874761049243057</c:v>
                </c:pt>
                <c:pt idx="7">
                  <c:v>12.929185662129068</c:v>
                </c:pt>
                <c:pt idx="8">
                  <c:v>13.796012576999734</c:v>
                </c:pt>
                <c:pt idx="9">
                  <c:v>14.445980344186147</c:v>
                </c:pt>
                <c:pt idx="10">
                  <c:v>14.702827358199553</c:v>
                </c:pt>
                <c:pt idx="11">
                  <c:v>14.233290732853586</c:v>
                </c:pt>
                <c:pt idx="12">
                  <c:v>14.310305826451467</c:v>
                </c:pt>
                <c:pt idx="13">
                  <c:v>14.430376053263348</c:v>
                </c:pt>
                <c:pt idx="14">
                  <c:v>14.565714859697705</c:v>
                </c:pt>
                <c:pt idx="15">
                  <c:v>14.669006530218624</c:v>
                </c:pt>
                <c:pt idx="16">
                  <c:v>14.762914853514093</c:v>
                </c:pt>
                <c:pt idx="17">
                  <c:v>14.848449815468115</c:v>
                </c:pt>
                <c:pt idx="18">
                  <c:v>14.933022429571972</c:v>
                </c:pt>
                <c:pt idx="19">
                  <c:v>15.018635821436098</c:v>
                </c:pt>
                <c:pt idx="20">
                  <c:v>15.114382442096868</c:v>
                </c:pt>
                <c:pt idx="21">
                  <c:v>15.194021778082059</c:v>
                </c:pt>
                <c:pt idx="22">
                  <c:v>15.288801220657275</c:v>
                </c:pt>
                <c:pt idx="23">
                  <c:v>15.380855335543602</c:v>
                </c:pt>
                <c:pt idx="24">
                  <c:v>15.47535407778412</c:v>
                </c:pt>
                <c:pt idx="25">
                  <c:v>15.567270685868875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009-4252-A8BB-3F6EBC820C2C}"/>
            </c:ext>
          </c:extLst>
        </c:ser>
        <c:ser>
          <c:idx val="2"/>
          <c:order val="2"/>
          <c:tx>
            <c:strRef>
              <c:f>'Occ F2'!$L$18</c:f>
              <c:strCache>
                <c:ptCount val="1"/>
                <c:pt idx="0">
                  <c:v>33 Protective service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F2'!$M$18:$AL$18</c:f>
              <c:numCache>
                <c:formatCode>#,##0</c:formatCode>
                <c:ptCount val="26"/>
                <c:pt idx="0">
                  <c:v>9.1568134555512799</c:v>
                </c:pt>
                <c:pt idx="1">
                  <c:v>10.662055527454358</c:v>
                </c:pt>
                <c:pt idx="2">
                  <c:v>10.744906722318555</c:v>
                </c:pt>
                <c:pt idx="3">
                  <c:v>9.8839030899738471</c:v>
                </c:pt>
                <c:pt idx="4">
                  <c:v>10.075961452497761</c:v>
                </c:pt>
                <c:pt idx="5">
                  <c:v>10.245227559390734</c:v>
                </c:pt>
                <c:pt idx="6">
                  <c:v>10.874051204418071</c:v>
                </c:pt>
                <c:pt idx="7">
                  <c:v>9.9845898228224996</c:v>
                </c:pt>
                <c:pt idx="8">
                  <c:v>9.8594415648963629</c:v>
                </c:pt>
                <c:pt idx="9">
                  <c:v>9.7022571982924486</c:v>
                </c:pt>
                <c:pt idx="10">
                  <c:v>10.190391215898869</c:v>
                </c:pt>
                <c:pt idx="11">
                  <c:v>11.408162152202785</c:v>
                </c:pt>
                <c:pt idx="12">
                  <c:v>11.635296469452715</c:v>
                </c:pt>
                <c:pt idx="13">
                  <c:v>11.849102062154456</c:v>
                </c:pt>
                <c:pt idx="14">
                  <c:v>12.071446360951544</c:v>
                </c:pt>
                <c:pt idx="15">
                  <c:v>12.247353027579933</c:v>
                </c:pt>
                <c:pt idx="16">
                  <c:v>12.418402308748954</c:v>
                </c:pt>
                <c:pt idx="17">
                  <c:v>12.574714055978761</c:v>
                </c:pt>
                <c:pt idx="18">
                  <c:v>12.738678692580862</c:v>
                </c:pt>
                <c:pt idx="19">
                  <c:v>12.910489506770212</c:v>
                </c:pt>
                <c:pt idx="20">
                  <c:v>13.09967072953507</c:v>
                </c:pt>
                <c:pt idx="21">
                  <c:v>13.285902525612531</c:v>
                </c:pt>
                <c:pt idx="22">
                  <c:v>13.469529899698808</c:v>
                </c:pt>
                <c:pt idx="23">
                  <c:v>13.637616455212013</c:v>
                </c:pt>
                <c:pt idx="24">
                  <c:v>13.806441366283611</c:v>
                </c:pt>
                <c:pt idx="25">
                  <c:v>13.966560653587337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009-4252-A8BB-3F6EBC820C2C}"/>
            </c:ext>
          </c:extLst>
        </c:ser>
        <c:ser>
          <c:idx val="3"/>
          <c:order val="3"/>
          <c:tx>
            <c:strRef>
              <c:f>'Occ F2'!$L$19</c:f>
              <c:strCache>
                <c:ptCount val="1"/>
                <c:pt idx="0">
                  <c:v>34 Culture, media and sports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F2'!$M$19:$AL$19</c:f>
              <c:numCache>
                <c:formatCode>#,##0</c:formatCode>
                <c:ptCount val="26"/>
                <c:pt idx="0">
                  <c:v>14.509012614442486</c:v>
                </c:pt>
                <c:pt idx="1">
                  <c:v>17.550725464407019</c:v>
                </c:pt>
                <c:pt idx="2">
                  <c:v>18.92439513824155</c:v>
                </c:pt>
                <c:pt idx="3">
                  <c:v>17.617263836113885</c:v>
                </c:pt>
                <c:pt idx="4">
                  <c:v>19.664926889227122</c:v>
                </c:pt>
                <c:pt idx="5">
                  <c:v>22.448448989730881</c:v>
                </c:pt>
                <c:pt idx="6">
                  <c:v>19.931980416183581</c:v>
                </c:pt>
                <c:pt idx="7">
                  <c:v>21.570920470186632</c:v>
                </c:pt>
                <c:pt idx="8">
                  <c:v>20.733942528248267</c:v>
                </c:pt>
                <c:pt idx="9">
                  <c:v>19.858512300221925</c:v>
                </c:pt>
                <c:pt idx="10">
                  <c:v>20.723051149864897</c:v>
                </c:pt>
                <c:pt idx="11">
                  <c:v>19.632040938821994</c:v>
                </c:pt>
                <c:pt idx="12">
                  <c:v>19.881080863556647</c:v>
                </c:pt>
                <c:pt idx="13">
                  <c:v>20.159956551723578</c:v>
                </c:pt>
                <c:pt idx="14">
                  <c:v>20.453300301784306</c:v>
                </c:pt>
                <c:pt idx="15">
                  <c:v>20.672704740666106</c:v>
                </c:pt>
                <c:pt idx="16">
                  <c:v>20.884503070408005</c:v>
                </c:pt>
                <c:pt idx="17">
                  <c:v>21.077841503405075</c:v>
                </c:pt>
                <c:pt idx="18">
                  <c:v>21.285608643896445</c:v>
                </c:pt>
                <c:pt idx="19">
                  <c:v>21.482047975686999</c:v>
                </c:pt>
                <c:pt idx="20">
                  <c:v>21.674421141349487</c:v>
                </c:pt>
                <c:pt idx="21">
                  <c:v>21.85717718070881</c:v>
                </c:pt>
                <c:pt idx="22">
                  <c:v>22.073398554880413</c:v>
                </c:pt>
                <c:pt idx="23">
                  <c:v>22.280212063035929</c:v>
                </c:pt>
                <c:pt idx="24">
                  <c:v>22.527146774634151</c:v>
                </c:pt>
                <c:pt idx="25">
                  <c:v>22.738822976872477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009-4252-A8BB-3F6EBC820C2C}"/>
            </c:ext>
          </c:extLst>
        </c:ser>
        <c:ser>
          <c:idx val="4"/>
          <c:order val="4"/>
          <c:tx>
            <c:strRef>
              <c:f>'Occ F2'!$L$20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F2'!$M$20:$AL$20</c:f>
              <c:numCache>
                <c:formatCode>#,##0</c:formatCode>
                <c:ptCount val="26"/>
                <c:pt idx="0">
                  <c:v>56.108798347296997</c:v>
                </c:pt>
                <c:pt idx="1">
                  <c:v>52.164682550074261</c:v>
                </c:pt>
                <c:pt idx="2">
                  <c:v>54.588684858251099</c:v>
                </c:pt>
                <c:pt idx="3">
                  <c:v>53.997416833041193</c:v>
                </c:pt>
                <c:pt idx="4">
                  <c:v>56.989815638355253</c:v>
                </c:pt>
                <c:pt idx="5">
                  <c:v>57.166023212767385</c:v>
                </c:pt>
                <c:pt idx="6">
                  <c:v>59.401347429767377</c:v>
                </c:pt>
                <c:pt idx="7">
                  <c:v>56.413273465182897</c:v>
                </c:pt>
                <c:pt idx="8">
                  <c:v>57.545368805767694</c:v>
                </c:pt>
                <c:pt idx="9">
                  <c:v>58.97909494753258</c:v>
                </c:pt>
                <c:pt idx="10">
                  <c:v>60.097066683667329</c:v>
                </c:pt>
                <c:pt idx="11">
                  <c:v>56.707865345015733</c:v>
                </c:pt>
                <c:pt idx="12">
                  <c:v>57.013544561995651</c:v>
                </c:pt>
                <c:pt idx="13">
                  <c:v>57.454789851848567</c:v>
                </c:pt>
                <c:pt idx="14">
                  <c:v>57.959244947863425</c:v>
                </c:pt>
                <c:pt idx="15">
                  <c:v>58.292490305743463</c:v>
                </c:pt>
                <c:pt idx="16">
                  <c:v>58.571930950361633</c:v>
                </c:pt>
                <c:pt idx="17">
                  <c:v>58.803311824553447</c:v>
                </c:pt>
                <c:pt idx="18">
                  <c:v>59.029289917154237</c:v>
                </c:pt>
                <c:pt idx="19">
                  <c:v>59.257138168271553</c:v>
                </c:pt>
                <c:pt idx="20">
                  <c:v>59.501339328087539</c:v>
                </c:pt>
                <c:pt idx="21">
                  <c:v>59.727228661804219</c:v>
                </c:pt>
                <c:pt idx="22">
                  <c:v>59.938213538545284</c:v>
                </c:pt>
                <c:pt idx="23">
                  <c:v>60.179129487646378</c:v>
                </c:pt>
                <c:pt idx="24">
                  <c:v>60.415385358658362</c:v>
                </c:pt>
                <c:pt idx="25">
                  <c:v>60.637317723298622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009-4252-A8BB-3F6EBC820C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2920"/>
        <c:axId val="313973312"/>
      </c:areaChart>
      <c:catAx>
        <c:axId val="31397292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33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33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57525536439822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92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4.1148813232878253E-3"/>
          <c:y val="0.89011570559668052"/>
          <c:w val="0.98572853805885341"/>
          <c:h val="9.07226177566127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6.5573887134788983E-2"/>
          <c:w val="0.88101320276229866"/>
          <c:h val="0.7445809982507398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F2'!$L$23</c:f>
              <c:strCache>
                <c:ptCount val="1"/>
                <c:pt idx="0">
                  <c:v>41 Administrative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F2'!$M$23:$AL$23</c:f>
              <c:numCache>
                <c:formatCode>#,##0</c:formatCode>
                <c:ptCount val="26"/>
                <c:pt idx="0">
                  <c:v>70.474061011170335</c:v>
                </c:pt>
                <c:pt idx="1">
                  <c:v>69.943620365056091</c:v>
                </c:pt>
                <c:pt idx="2">
                  <c:v>71.245414012838935</c:v>
                </c:pt>
                <c:pt idx="3">
                  <c:v>67.669397544371321</c:v>
                </c:pt>
                <c:pt idx="4">
                  <c:v>69.890388299559262</c:v>
                </c:pt>
                <c:pt idx="5">
                  <c:v>72.16613856968074</c:v>
                </c:pt>
                <c:pt idx="6">
                  <c:v>70.533439315540463</c:v>
                </c:pt>
                <c:pt idx="7">
                  <c:v>69.349571764489042</c:v>
                </c:pt>
                <c:pt idx="8">
                  <c:v>69.703577822852836</c:v>
                </c:pt>
                <c:pt idx="9">
                  <c:v>68.464955203891563</c:v>
                </c:pt>
                <c:pt idx="10">
                  <c:v>69.940840134492603</c:v>
                </c:pt>
                <c:pt idx="11">
                  <c:v>64.874609688958458</c:v>
                </c:pt>
                <c:pt idx="12">
                  <c:v>64.484878665291632</c:v>
                </c:pt>
                <c:pt idx="13">
                  <c:v>64.222852312937462</c:v>
                </c:pt>
                <c:pt idx="14">
                  <c:v>64.025713852882873</c:v>
                </c:pt>
                <c:pt idx="15">
                  <c:v>63.62682297672081</c:v>
                </c:pt>
                <c:pt idx="16">
                  <c:v>63.172855003386388</c:v>
                </c:pt>
                <c:pt idx="17">
                  <c:v>62.638616010274212</c:v>
                </c:pt>
                <c:pt idx="18">
                  <c:v>62.100332619384275</c:v>
                </c:pt>
                <c:pt idx="19">
                  <c:v>61.606811678574026</c:v>
                </c:pt>
                <c:pt idx="20">
                  <c:v>61.137534571546404</c:v>
                </c:pt>
                <c:pt idx="21">
                  <c:v>60.618946526937215</c:v>
                </c:pt>
                <c:pt idx="22">
                  <c:v>60.06070110620729</c:v>
                </c:pt>
                <c:pt idx="23">
                  <c:v>59.486417521572385</c:v>
                </c:pt>
                <c:pt idx="24">
                  <c:v>58.944410897448286</c:v>
                </c:pt>
                <c:pt idx="25">
                  <c:v>58.446301695484934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B2-4194-831E-E9E810E854CB}"/>
            </c:ext>
          </c:extLst>
        </c:ser>
        <c:ser>
          <c:idx val="2"/>
          <c:order val="1"/>
          <c:tx>
            <c:strRef>
              <c:f>'Occ F2'!$L$24</c:f>
              <c:strCache>
                <c:ptCount val="1"/>
                <c:pt idx="0">
                  <c:v>42 Secretarial and related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F2'!$M$24:$AL$24</c:f>
              <c:numCache>
                <c:formatCode>#,##0</c:formatCode>
                <c:ptCount val="26"/>
                <c:pt idx="0">
                  <c:v>26.408241230902018</c:v>
                </c:pt>
                <c:pt idx="1">
                  <c:v>23.874091591195334</c:v>
                </c:pt>
                <c:pt idx="2">
                  <c:v>23.32705728711478</c:v>
                </c:pt>
                <c:pt idx="3">
                  <c:v>23.057530222199951</c:v>
                </c:pt>
                <c:pt idx="4">
                  <c:v>22.774459714787461</c:v>
                </c:pt>
                <c:pt idx="5">
                  <c:v>21.802106897221897</c:v>
                </c:pt>
                <c:pt idx="6">
                  <c:v>20.459405283505578</c:v>
                </c:pt>
                <c:pt idx="7">
                  <c:v>20.365458026857549</c:v>
                </c:pt>
                <c:pt idx="8">
                  <c:v>21.482783875262225</c:v>
                </c:pt>
                <c:pt idx="9">
                  <c:v>19.035170606274182</c:v>
                </c:pt>
                <c:pt idx="10">
                  <c:v>18.438489888023401</c:v>
                </c:pt>
                <c:pt idx="11">
                  <c:v>20.417540935853125</c:v>
                </c:pt>
                <c:pt idx="12">
                  <c:v>19.972713127869167</c:v>
                </c:pt>
                <c:pt idx="13">
                  <c:v>19.558867956397783</c:v>
                </c:pt>
                <c:pt idx="14">
                  <c:v>19.138235656803619</c:v>
                </c:pt>
                <c:pt idx="15">
                  <c:v>18.691494382380792</c:v>
                </c:pt>
                <c:pt idx="16">
                  <c:v>18.25462198789759</c:v>
                </c:pt>
                <c:pt idx="17">
                  <c:v>17.857752652680389</c:v>
                </c:pt>
                <c:pt idx="18">
                  <c:v>17.460304261427595</c:v>
                </c:pt>
                <c:pt idx="19">
                  <c:v>17.026222254087369</c:v>
                </c:pt>
                <c:pt idx="20">
                  <c:v>16.66481403608314</c:v>
                </c:pt>
                <c:pt idx="21">
                  <c:v>16.42330983197505</c:v>
                </c:pt>
                <c:pt idx="22">
                  <c:v>16.160468247507048</c:v>
                </c:pt>
                <c:pt idx="23">
                  <c:v>15.86105339057807</c:v>
                </c:pt>
                <c:pt idx="24">
                  <c:v>15.258498665366082</c:v>
                </c:pt>
                <c:pt idx="25">
                  <c:v>14.878254872716308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B2-4194-831E-E9E810E854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4096"/>
        <c:axId val="315371928"/>
      </c:areaChart>
      <c:catAx>
        <c:axId val="31397409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19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192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409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3.1846802511172591E-2"/>
          <c:y val="0.91216406466166122"/>
          <c:w val="0.9236807033411365"/>
          <c:h val="5.448274891785042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5693430656934934E-2"/>
          <c:w val="0.89593908629441665"/>
          <c:h val="0.79379562043795615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F2'!$L$27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F2'!$M$27:$AL$27</c:f>
              <c:numCache>
                <c:formatCode>#,##0</c:formatCode>
                <c:ptCount val="26"/>
                <c:pt idx="0">
                  <c:v>6.0354163976506019</c:v>
                </c:pt>
                <c:pt idx="1">
                  <c:v>6.900240982318274</c:v>
                </c:pt>
                <c:pt idx="2">
                  <c:v>7.8172439435298742</c:v>
                </c:pt>
                <c:pt idx="3">
                  <c:v>6.5632779425313919</c:v>
                </c:pt>
                <c:pt idx="4">
                  <c:v>9.4955044369917019</c:v>
                </c:pt>
                <c:pt idx="5">
                  <c:v>8.4039470707917943</c:v>
                </c:pt>
                <c:pt idx="6">
                  <c:v>8.0412275143060228</c:v>
                </c:pt>
                <c:pt idx="7">
                  <c:v>7.6534025338699907</c:v>
                </c:pt>
                <c:pt idx="8">
                  <c:v>7.1859621766185295</c:v>
                </c:pt>
                <c:pt idx="9">
                  <c:v>8.8761071523968695</c:v>
                </c:pt>
                <c:pt idx="10">
                  <c:v>7.0314570870948216</c:v>
                </c:pt>
                <c:pt idx="11">
                  <c:v>6.9874342800282054</c:v>
                </c:pt>
                <c:pt idx="12">
                  <c:v>7.1160255967117516</c:v>
                </c:pt>
                <c:pt idx="13">
                  <c:v>7.2765273647669444</c:v>
                </c:pt>
                <c:pt idx="14">
                  <c:v>7.4367747631008685</c:v>
                </c:pt>
                <c:pt idx="15">
                  <c:v>7.5692138796838897</c:v>
                </c:pt>
                <c:pt idx="16">
                  <c:v>7.6966038584745791</c:v>
                </c:pt>
                <c:pt idx="17">
                  <c:v>7.8200715352684718</c:v>
                </c:pt>
                <c:pt idx="18">
                  <c:v>7.9377033647500292</c:v>
                </c:pt>
                <c:pt idx="19">
                  <c:v>8.0539691043234392</c:v>
                </c:pt>
                <c:pt idx="20">
                  <c:v>8.1877054816216308</c:v>
                </c:pt>
                <c:pt idx="21">
                  <c:v>8.3206208112940541</c:v>
                </c:pt>
                <c:pt idx="22">
                  <c:v>8.4537385680791388</c:v>
                </c:pt>
                <c:pt idx="23">
                  <c:v>8.5918633438810446</c:v>
                </c:pt>
                <c:pt idx="24">
                  <c:v>8.73252057220658</c:v>
                </c:pt>
                <c:pt idx="25">
                  <c:v>8.8852578157912987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E-4BB9-B42D-40A8655AC298}"/>
            </c:ext>
          </c:extLst>
        </c:ser>
        <c:ser>
          <c:idx val="2"/>
          <c:order val="1"/>
          <c:tx>
            <c:strRef>
              <c:f>'Occ F2'!$L$28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F2'!$M$28:$AL$28</c:f>
              <c:numCache>
                <c:formatCode>#,##0</c:formatCode>
                <c:ptCount val="26"/>
                <c:pt idx="0">
                  <c:v>28.284452112321571</c:v>
                </c:pt>
                <c:pt idx="1">
                  <c:v>28.362012494292699</c:v>
                </c:pt>
                <c:pt idx="2">
                  <c:v>26.796324528197459</c:v>
                </c:pt>
                <c:pt idx="3">
                  <c:v>27.405625021081978</c:v>
                </c:pt>
                <c:pt idx="4">
                  <c:v>29.177206659008192</c:v>
                </c:pt>
                <c:pt idx="5">
                  <c:v>28.870477861307073</c:v>
                </c:pt>
                <c:pt idx="6">
                  <c:v>29.80735324140587</c:v>
                </c:pt>
                <c:pt idx="7">
                  <c:v>28.77832550952726</c:v>
                </c:pt>
                <c:pt idx="8">
                  <c:v>27.503859129538409</c:v>
                </c:pt>
                <c:pt idx="9">
                  <c:v>28.907720779088834</c:v>
                </c:pt>
                <c:pt idx="10">
                  <c:v>25.128095818289641</c:v>
                </c:pt>
                <c:pt idx="11">
                  <c:v>25.769809988490358</c:v>
                </c:pt>
                <c:pt idx="12">
                  <c:v>25.76989994202345</c:v>
                </c:pt>
                <c:pt idx="13">
                  <c:v>25.874482492171904</c:v>
                </c:pt>
                <c:pt idx="14">
                  <c:v>25.957752533578354</c:v>
                </c:pt>
                <c:pt idx="15">
                  <c:v>25.923578569977003</c:v>
                </c:pt>
                <c:pt idx="16">
                  <c:v>25.864224829228547</c:v>
                </c:pt>
                <c:pt idx="17">
                  <c:v>25.784734094751244</c:v>
                </c:pt>
                <c:pt idx="18">
                  <c:v>25.712992568524434</c:v>
                </c:pt>
                <c:pt idx="19">
                  <c:v>25.63969671267748</c:v>
                </c:pt>
                <c:pt idx="20">
                  <c:v>25.561534440487069</c:v>
                </c:pt>
                <c:pt idx="21">
                  <c:v>25.475402441497614</c:v>
                </c:pt>
                <c:pt idx="22">
                  <c:v>25.391794390843042</c:v>
                </c:pt>
                <c:pt idx="23">
                  <c:v>25.312722005156171</c:v>
                </c:pt>
                <c:pt idx="24">
                  <c:v>25.248674258360644</c:v>
                </c:pt>
                <c:pt idx="25">
                  <c:v>25.16053680105826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9E-4BB9-B42D-40A8655AC298}"/>
            </c:ext>
          </c:extLst>
        </c:ser>
        <c:ser>
          <c:idx val="0"/>
          <c:order val="2"/>
          <c:tx>
            <c:strRef>
              <c:f>'Occ F2'!$L$29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F2'!$M$29:$AL$29</c:f>
              <c:numCache>
                <c:formatCode>#,##0</c:formatCode>
                <c:ptCount val="26"/>
                <c:pt idx="0">
                  <c:v>28.236479343863472</c:v>
                </c:pt>
                <c:pt idx="1">
                  <c:v>25.123120632131602</c:v>
                </c:pt>
                <c:pt idx="2">
                  <c:v>23.616700525589078</c:v>
                </c:pt>
                <c:pt idx="3">
                  <c:v>23.667962063389467</c:v>
                </c:pt>
                <c:pt idx="4">
                  <c:v>24.150023671557804</c:v>
                </c:pt>
                <c:pt idx="5">
                  <c:v>24.522418259082531</c:v>
                </c:pt>
                <c:pt idx="6">
                  <c:v>25.89080748069631</c:v>
                </c:pt>
                <c:pt idx="7">
                  <c:v>26.799790359495482</c:v>
                </c:pt>
                <c:pt idx="8">
                  <c:v>22.128553726379948</c:v>
                </c:pt>
                <c:pt idx="9">
                  <c:v>22.755820067139542</c:v>
                </c:pt>
                <c:pt idx="10">
                  <c:v>20.419196268607529</c:v>
                </c:pt>
                <c:pt idx="11">
                  <c:v>21.899649856615486</c:v>
                </c:pt>
                <c:pt idx="12">
                  <c:v>21.804351446352999</c:v>
                </c:pt>
                <c:pt idx="13">
                  <c:v>21.92137089168363</c:v>
                </c:pt>
                <c:pt idx="14">
                  <c:v>21.98341874113456</c:v>
                </c:pt>
                <c:pt idx="15">
                  <c:v>21.867085904972658</c:v>
                </c:pt>
                <c:pt idx="16">
                  <c:v>21.728597201972136</c:v>
                </c:pt>
                <c:pt idx="17">
                  <c:v>21.573561930148948</c:v>
                </c:pt>
                <c:pt idx="18">
                  <c:v>21.423530071468857</c:v>
                </c:pt>
                <c:pt idx="19">
                  <c:v>21.268272924549731</c:v>
                </c:pt>
                <c:pt idx="20">
                  <c:v>21.126449078893081</c:v>
                </c:pt>
                <c:pt idx="21">
                  <c:v>20.978811675215805</c:v>
                </c:pt>
                <c:pt idx="22">
                  <c:v>20.822772045592398</c:v>
                </c:pt>
                <c:pt idx="23">
                  <c:v>20.662045998076383</c:v>
                </c:pt>
                <c:pt idx="24">
                  <c:v>20.519854007695937</c:v>
                </c:pt>
                <c:pt idx="25">
                  <c:v>20.361165478126061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E9E-4BB9-B42D-40A8655AC298}"/>
            </c:ext>
          </c:extLst>
        </c:ser>
        <c:ser>
          <c:idx val="3"/>
          <c:order val="3"/>
          <c:tx>
            <c:strRef>
              <c:f>'Occ F2'!$L$30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F2'!$M$30:$AL$30</c:f>
              <c:numCache>
                <c:formatCode>#,##0</c:formatCode>
                <c:ptCount val="26"/>
                <c:pt idx="0">
                  <c:v>15.063867146344432</c:v>
                </c:pt>
                <c:pt idx="1">
                  <c:v>16.533795253722939</c:v>
                </c:pt>
                <c:pt idx="2">
                  <c:v>17.928243468550281</c:v>
                </c:pt>
                <c:pt idx="3">
                  <c:v>17.561923697863467</c:v>
                </c:pt>
                <c:pt idx="4">
                  <c:v>18.108587560073516</c:v>
                </c:pt>
                <c:pt idx="5">
                  <c:v>19.615673592560057</c:v>
                </c:pt>
                <c:pt idx="6">
                  <c:v>19.09846261904012</c:v>
                </c:pt>
                <c:pt idx="7">
                  <c:v>18.492726395432165</c:v>
                </c:pt>
                <c:pt idx="8">
                  <c:v>17.974166465437548</c:v>
                </c:pt>
                <c:pt idx="9">
                  <c:v>17.302381047081514</c:v>
                </c:pt>
                <c:pt idx="10">
                  <c:v>15.944815188072862</c:v>
                </c:pt>
                <c:pt idx="11">
                  <c:v>15.825876190112233</c:v>
                </c:pt>
                <c:pt idx="12">
                  <c:v>16.012044626682037</c:v>
                </c:pt>
                <c:pt idx="13">
                  <c:v>16.199604983135533</c:v>
                </c:pt>
                <c:pt idx="14">
                  <c:v>16.399424578028889</c:v>
                </c:pt>
                <c:pt idx="15">
                  <c:v>16.547072698948412</c:v>
                </c:pt>
                <c:pt idx="16">
                  <c:v>16.651665194596777</c:v>
                </c:pt>
                <c:pt idx="17">
                  <c:v>16.710902153726067</c:v>
                </c:pt>
                <c:pt idx="18">
                  <c:v>16.806431755347603</c:v>
                </c:pt>
                <c:pt idx="19">
                  <c:v>16.899036573775604</c:v>
                </c:pt>
                <c:pt idx="20">
                  <c:v>16.996986477843649</c:v>
                </c:pt>
                <c:pt idx="21">
                  <c:v>17.087211998359447</c:v>
                </c:pt>
                <c:pt idx="22">
                  <c:v>17.164163309012864</c:v>
                </c:pt>
                <c:pt idx="23">
                  <c:v>17.222465746705293</c:v>
                </c:pt>
                <c:pt idx="24">
                  <c:v>17.303560072398046</c:v>
                </c:pt>
                <c:pt idx="25">
                  <c:v>17.376454790945417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E9E-4BB9-B42D-40A8655AC2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2712"/>
        <c:axId val="315373104"/>
      </c:areaChart>
      <c:catAx>
        <c:axId val="315372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1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310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27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8990073341974887E-2"/>
          <c:y val="0.93978106853588406"/>
          <c:w val="0.8744421378136028"/>
          <c:h val="6.021893146411590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055045871559345E-2"/>
          <c:w val="0.89720812182739207"/>
          <c:h val="0.768806238752249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F2'!$L$33</c:f>
              <c:strCache>
                <c:ptCount val="1"/>
                <c:pt idx="0">
                  <c:v>61 Caring personal service occupations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F2'!$M$33:$AL$33</c:f>
              <c:numCache>
                <c:formatCode>#,##0</c:formatCode>
                <c:ptCount val="26"/>
                <c:pt idx="0">
                  <c:v>53.191883965811023</c:v>
                </c:pt>
                <c:pt idx="1">
                  <c:v>51.544138428622915</c:v>
                </c:pt>
                <c:pt idx="2">
                  <c:v>51.757367735881481</c:v>
                </c:pt>
                <c:pt idx="3">
                  <c:v>52.42634493854662</c:v>
                </c:pt>
                <c:pt idx="4">
                  <c:v>53.273088648938504</c:v>
                </c:pt>
                <c:pt idx="5">
                  <c:v>58.131005767511112</c:v>
                </c:pt>
                <c:pt idx="6">
                  <c:v>58.77888036635693</c:v>
                </c:pt>
                <c:pt idx="7">
                  <c:v>59.083460472337876</c:v>
                </c:pt>
                <c:pt idx="8">
                  <c:v>57.434599278932808</c:v>
                </c:pt>
                <c:pt idx="9">
                  <c:v>59.688732187940488</c:v>
                </c:pt>
                <c:pt idx="10">
                  <c:v>56.991340768895562</c:v>
                </c:pt>
                <c:pt idx="11">
                  <c:v>59.348871059921549</c:v>
                </c:pt>
                <c:pt idx="12">
                  <c:v>59.790260835435795</c:v>
                </c:pt>
                <c:pt idx="13">
                  <c:v>60.329639059276374</c:v>
                </c:pt>
                <c:pt idx="14">
                  <c:v>60.937210713551579</c:v>
                </c:pt>
                <c:pt idx="15">
                  <c:v>61.449225038953898</c:v>
                </c:pt>
                <c:pt idx="16">
                  <c:v>61.905561964231218</c:v>
                </c:pt>
                <c:pt idx="17">
                  <c:v>62.339872656602175</c:v>
                </c:pt>
                <c:pt idx="18">
                  <c:v>62.756336716628446</c:v>
                </c:pt>
                <c:pt idx="19">
                  <c:v>63.186527322011507</c:v>
                </c:pt>
                <c:pt idx="20">
                  <c:v>63.650324311124649</c:v>
                </c:pt>
                <c:pt idx="21">
                  <c:v>64.102119133092899</c:v>
                </c:pt>
                <c:pt idx="22">
                  <c:v>64.557141671611873</c:v>
                </c:pt>
                <c:pt idx="23">
                  <c:v>65.013729069643077</c:v>
                </c:pt>
                <c:pt idx="24">
                  <c:v>65.452686028780874</c:v>
                </c:pt>
                <c:pt idx="25">
                  <c:v>65.879337343067263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C8-4082-9485-6635190C6423}"/>
            </c:ext>
          </c:extLst>
        </c:ser>
        <c:ser>
          <c:idx val="2"/>
          <c:order val="1"/>
          <c:tx>
            <c:strRef>
              <c:f>'Occ F2'!$L$34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F2'!$M$34:$AL$34</c:f>
              <c:numCache>
                <c:formatCode>#,##0</c:formatCode>
                <c:ptCount val="26"/>
                <c:pt idx="0">
                  <c:v>17.62858735520684</c:v>
                </c:pt>
                <c:pt idx="1">
                  <c:v>20.403434489503471</c:v>
                </c:pt>
                <c:pt idx="2">
                  <c:v>20.413438323426973</c:v>
                </c:pt>
                <c:pt idx="3">
                  <c:v>19.86648324227318</c:v>
                </c:pt>
                <c:pt idx="4">
                  <c:v>20.692487513937632</c:v>
                </c:pt>
                <c:pt idx="5">
                  <c:v>22.488059503441097</c:v>
                </c:pt>
                <c:pt idx="6">
                  <c:v>21.077133634911391</c:v>
                </c:pt>
                <c:pt idx="7">
                  <c:v>21.092980082937778</c:v>
                </c:pt>
                <c:pt idx="8">
                  <c:v>21.024681925425597</c:v>
                </c:pt>
                <c:pt idx="9">
                  <c:v>22.764587776774363</c:v>
                </c:pt>
                <c:pt idx="10">
                  <c:v>20.996416440378088</c:v>
                </c:pt>
                <c:pt idx="11">
                  <c:v>20.923233977713885</c:v>
                </c:pt>
                <c:pt idx="12">
                  <c:v>20.916026314092633</c:v>
                </c:pt>
                <c:pt idx="13">
                  <c:v>21.024218386833549</c:v>
                </c:pt>
                <c:pt idx="14">
                  <c:v>21.162635007267728</c:v>
                </c:pt>
                <c:pt idx="15">
                  <c:v>21.256535200466839</c:v>
                </c:pt>
                <c:pt idx="16">
                  <c:v>21.337836992883048</c:v>
                </c:pt>
                <c:pt idx="17">
                  <c:v>21.408488648444131</c:v>
                </c:pt>
                <c:pt idx="18">
                  <c:v>21.487047067258455</c:v>
                </c:pt>
                <c:pt idx="19">
                  <c:v>21.558659580725081</c:v>
                </c:pt>
                <c:pt idx="20">
                  <c:v>21.614838144278828</c:v>
                </c:pt>
                <c:pt idx="21">
                  <c:v>21.655094147910297</c:v>
                </c:pt>
                <c:pt idx="22">
                  <c:v>21.704582797049881</c:v>
                </c:pt>
                <c:pt idx="23">
                  <c:v>21.756791345279414</c:v>
                </c:pt>
                <c:pt idx="24">
                  <c:v>21.810798280050413</c:v>
                </c:pt>
                <c:pt idx="25">
                  <c:v>21.871543451721784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C8-4082-9485-6635190C6423}"/>
            </c:ext>
          </c:extLst>
        </c:ser>
        <c:ser>
          <c:idx val="0"/>
          <c:order val="2"/>
          <c:tx>
            <c:strRef>
              <c:f>'Occ F2'!$L$35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F2'!$M$35:$AL$35</c:f>
              <c:numCache>
                <c:formatCode>#,##0</c:formatCode>
                <c:ptCount val="26"/>
                <c:pt idx="0">
                  <c:v>1.3141649469568066</c:v>
                </c:pt>
                <c:pt idx="1">
                  <c:v>0.96829232008327759</c:v>
                </c:pt>
                <c:pt idx="2">
                  <c:v>0.9641001556504385</c:v>
                </c:pt>
                <c:pt idx="3">
                  <c:v>0.83950157735601538</c:v>
                </c:pt>
                <c:pt idx="4">
                  <c:v>0.98145328569753598</c:v>
                </c:pt>
                <c:pt idx="5">
                  <c:v>0.92324802540605289</c:v>
                </c:pt>
                <c:pt idx="6">
                  <c:v>0.78399946610065097</c:v>
                </c:pt>
                <c:pt idx="7">
                  <c:v>0.79787382867435686</c:v>
                </c:pt>
                <c:pt idx="8">
                  <c:v>0.81762587176487433</c:v>
                </c:pt>
                <c:pt idx="9">
                  <c:v>0.75004945933320477</c:v>
                </c:pt>
                <c:pt idx="10">
                  <c:v>0.94047264745824644</c:v>
                </c:pt>
                <c:pt idx="11">
                  <c:v>0.72863469566560535</c:v>
                </c:pt>
                <c:pt idx="12">
                  <c:v>0.7380467701564557</c:v>
                </c:pt>
                <c:pt idx="13">
                  <c:v>0.74616729435006823</c:v>
                </c:pt>
                <c:pt idx="14">
                  <c:v>0.75474535601987602</c:v>
                </c:pt>
                <c:pt idx="15">
                  <c:v>0.76011914420561344</c:v>
                </c:pt>
                <c:pt idx="16">
                  <c:v>0.76518708243007916</c:v>
                </c:pt>
                <c:pt idx="17">
                  <c:v>0.76935070061034083</c:v>
                </c:pt>
                <c:pt idx="18">
                  <c:v>0.77335513071773199</c:v>
                </c:pt>
                <c:pt idx="19">
                  <c:v>0.77736188186827837</c:v>
                </c:pt>
                <c:pt idx="20">
                  <c:v>0.78172081167530327</c:v>
                </c:pt>
                <c:pt idx="21">
                  <c:v>0.78578872161149393</c:v>
                </c:pt>
                <c:pt idx="22">
                  <c:v>0.78990046101819955</c:v>
                </c:pt>
                <c:pt idx="23">
                  <c:v>0.79353659604451199</c:v>
                </c:pt>
                <c:pt idx="24">
                  <c:v>0.79713092105235051</c:v>
                </c:pt>
                <c:pt idx="25">
                  <c:v>0.80008169119102535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AB-47D9-842C-4D85019F2F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3888"/>
        <c:axId val="315374280"/>
      </c:areaChart>
      <c:catAx>
        <c:axId val="315373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42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428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1.100917431192702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88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2.7013305520474776E-2"/>
          <c:y val="0.91785384655352398"/>
          <c:w val="0.94062625582720483"/>
          <c:h val="7.359857162425784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683590464046934E-2"/>
          <c:y val="6.5693430656934934E-2"/>
          <c:w val="0.89367143843421171"/>
          <c:h val="0.78186251479901514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F2'!$L$38</c:f>
              <c:strCache>
                <c:ptCount val="1"/>
                <c:pt idx="0">
                  <c:v>71 Sales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F2'!$M$38:$AL$38</c:f>
              <c:numCache>
                <c:formatCode>#,##0</c:formatCode>
                <c:ptCount val="26"/>
                <c:pt idx="0">
                  <c:v>48.722848757557898</c:v>
                </c:pt>
                <c:pt idx="1">
                  <c:v>53.446137550182463</c:v>
                </c:pt>
                <c:pt idx="2">
                  <c:v>56.628306429679775</c:v>
                </c:pt>
                <c:pt idx="3">
                  <c:v>55.341589274055679</c:v>
                </c:pt>
                <c:pt idx="4">
                  <c:v>54.868484000190655</c:v>
                </c:pt>
                <c:pt idx="5">
                  <c:v>54.477963592890447</c:v>
                </c:pt>
                <c:pt idx="6">
                  <c:v>56.423022743227214</c:v>
                </c:pt>
                <c:pt idx="7">
                  <c:v>51.852570293462129</c:v>
                </c:pt>
                <c:pt idx="8">
                  <c:v>52.349429705317185</c:v>
                </c:pt>
                <c:pt idx="9">
                  <c:v>52.542405994336903</c:v>
                </c:pt>
                <c:pt idx="10">
                  <c:v>52.38875275613151</c:v>
                </c:pt>
                <c:pt idx="11">
                  <c:v>49.193164193254646</c:v>
                </c:pt>
                <c:pt idx="12">
                  <c:v>49.001780748690642</c:v>
                </c:pt>
                <c:pt idx="13">
                  <c:v>48.925721336461223</c:v>
                </c:pt>
                <c:pt idx="14">
                  <c:v>48.895741829477572</c:v>
                </c:pt>
                <c:pt idx="15">
                  <c:v>48.745388094071551</c:v>
                </c:pt>
                <c:pt idx="16">
                  <c:v>48.537874813518954</c:v>
                </c:pt>
                <c:pt idx="17">
                  <c:v>48.307060552823685</c:v>
                </c:pt>
                <c:pt idx="18">
                  <c:v>48.094255114211364</c:v>
                </c:pt>
                <c:pt idx="19">
                  <c:v>47.866148406957045</c:v>
                </c:pt>
                <c:pt idx="20">
                  <c:v>47.616041313260112</c:v>
                </c:pt>
                <c:pt idx="21">
                  <c:v>47.410908526119961</c:v>
                </c:pt>
                <c:pt idx="22">
                  <c:v>47.167761098652576</c:v>
                </c:pt>
                <c:pt idx="23">
                  <c:v>46.919443813057491</c:v>
                </c:pt>
                <c:pt idx="24">
                  <c:v>46.671540434425161</c:v>
                </c:pt>
                <c:pt idx="25">
                  <c:v>46.442664895555289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4F-4C1D-B059-F6A3CE93115D}"/>
            </c:ext>
          </c:extLst>
        </c:ser>
        <c:ser>
          <c:idx val="0"/>
          <c:order val="1"/>
          <c:tx>
            <c:strRef>
              <c:f>'Occ F2'!$L$39</c:f>
              <c:strCache>
                <c:ptCount val="1"/>
                <c:pt idx="0">
                  <c:v>72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F2'!$M$39:$AL$39</c:f>
              <c:numCache>
                <c:formatCode>#,##0</c:formatCode>
                <c:ptCount val="26"/>
                <c:pt idx="0">
                  <c:v>12.16599029427678</c:v>
                </c:pt>
                <c:pt idx="1">
                  <c:v>12.29468738085604</c:v>
                </c:pt>
                <c:pt idx="2">
                  <c:v>12.604449285258958</c:v>
                </c:pt>
                <c:pt idx="3">
                  <c:v>12.206001051301884</c:v>
                </c:pt>
                <c:pt idx="4">
                  <c:v>12.000172246943613</c:v>
                </c:pt>
                <c:pt idx="5">
                  <c:v>13.172148960692217</c:v>
                </c:pt>
                <c:pt idx="6">
                  <c:v>12.992132829196203</c:v>
                </c:pt>
                <c:pt idx="7">
                  <c:v>13.331881406454615</c:v>
                </c:pt>
                <c:pt idx="8">
                  <c:v>13.641131860021865</c:v>
                </c:pt>
                <c:pt idx="9">
                  <c:v>13.5222664882908</c:v>
                </c:pt>
                <c:pt idx="10">
                  <c:v>13.765892537376093</c:v>
                </c:pt>
                <c:pt idx="11">
                  <c:v>16.530458113667869</c:v>
                </c:pt>
                <c:pt idx="12">
                  <c:v>16.73615519542248</c:v>
                </c:pt>
                <c:pt idx="13">
                  <c:v>17.001864901996768</c:v>
                </c:pt>
                <c:pt idx="14">
                  <c:v>17.293003237271041</c:v>
                </c:pt>
                <c:pt idx="15">
                  <c:v>17.548762932493023</c:v>
                </c:pt>
                <c:pt idx="16">
                  <c:v>17.789150374634939</c:v>
                </c:pt>
                <c:pt idx="17">
                  <c:v>18.018678091033809</c:v>
                </c:pt>
                <c:pt idx="18">
                  <c:v>18.242468963246555</c:v>
                </c:pt>
                <c:pt idx="19">
                  <c:v>18.47611489627996</c:v>
                </c:pt>
                <c:pt idx="20">
                  <c:v>18.713968136590523</c:v>
                </c:pt>
                <c:pt idx="21">
                  <c:v>18.940670561189055</c:v>
                </c:pt>
                <c:pt idx="22">
                  <c:v>19.167778616416733</c:v>
                </c:pt>
                <c:pt idx="23">
                  <c:v>19.406664836800061</c:v>
                </c:pt>
                <c:pt idx="24">
                  <c:v>19.639161360309853</c:v>
                </c:pt>
                <c:pt idx="25">
                  <c:v>19.873360696539212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4F-4C1D-B059-F6A3CE9311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5064"/>
        <c:axId val="315375456"/>
      </c:areaChart>
      <c:catAx>
        <c:axId val="315375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4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545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0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5138726324749957E-2"/>
          <c:y val="0.93023452915640914"/>
          <c:w val="0.89873975845924681"/>
          <c:h val="5.067239208464097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5.8500966297851828E-2"/>
          <c:w val="0.89746890913572896"/>
          <c:h val="0.75210547335308831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F2'!$L$42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F2'!$M$42:$AL$42</c:f>
              <c:numCache>
                <c:formatCode>#,##0</c:formatCode>
                <c:ptCount val="26"/>
                <c:pt idx="0">
                  <c:v>13.192015968270223</c:v>
                </c:pt>
                <c:pt idx="1">
                  <c:v>12.733904026508119</c:v>
                </c:pt>
                <c:pt idx="2">
                  <c:v>12.602493840803703</c:v>
                </c:pt>
                <c:pt idx="3">
                  <c:v>12.269915336470065</c:v>
                </c:pt>
                <c:pt idx="4">
                  <c:v>12.897817525428652</c:v>
                </c:pt>
                <c:pt idx="5">
                  <c:v>12.743962550817093</c:v>
                </c:pt>
                <c:pt idx="6">
                  <c:v>13.008506598072614</c:v>
                </c:pt>
                <c:pt idx="7">
                  <c:v>13.559505496854042</c:v>
                </c:pt>
                <c:pt idx="8">
                  <c:v>13.292227080681917</c:v>
                </c:pt>
                <c:pt idx="9">
                  <c:v>12.497065863849606</c:v>
                </c:pt>
                <c:pt idx="10">
                  <c:v>10.939631034552663</c:v>
                </c:pt>
                <c:pt idx="11">
                  <c:v>13.313244173075946</c:v>
                </c:pt>
                <c:pt idx="12">
                  <c:v>13.289563991500883</c:v>
                </c:pt>
                <c:pt idx="13">
                  <c:v>13.370677751173819</c:v>
                </c:pt>
                <c:pt idx="14">
                  <c:v>13.446490030560499</c:v>
                </c:pt>
                <c:pt idx="15">
                  <c:v>13.448269585660745</c:v>
                </c:pt>
                <c:pt idx="16">
                  <c:v>13.417195156043253</c:v>
                </c:pt>
                <c:pt idx="17">
                  <c:v>13.402536024889082</c:v>
                </c:pt>
                <c:pt idx="18">
                  <c:v>13.39550711056247</c:v>
                </c:pt>
                <c:pt idx="19">
                  <c:v>13.382650800197927</c:v>
                </c:pt>
                <c:pt idx="20">
                  <c:v>13.370528568210572</c:v>
                </c:pt>
                <c:pt idx="21">
                  <c:v>13.362622662981941</c:v>
                </c:pt>
                <c:pt idx="22">
                  <c:v>13.347871218526768</c:v>
                </c:pt>
                <c:pt idx="23">
                  <c:v>13.347613674980293</c:v>
                </c:pt>
                <c:pt idx="24">
                  <c:v>13.384768492041822</c:v>
                </c:pt>
                <c:pt idx="25">
                  <c:v>13.418760554653188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4B-4418-B5FD-BA328BECFEED}"/>
            </c:ext>
          </c:extLst>
        </c:ser>
        <c:ser>
          <c:idx val="0"/>
          <c:order val="1"/>
          <c:tx>
            <c:strRef>
              <c:f>'Occ F2'!$L$43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F2'!$M$43:$AL$43</c:f>
              <c:numCache>
                <c:formatCode>#,##0</c:formatCode>
                <c:ptCount val="26"/>
                <c:pt idx="0">
                  <c:v>24.518272867151317</c:v>
                </c:pt>
                <c:pt idx="1">
                  <c:v>24.866830964963956</c:v>
                </c:pt>
                <c:pt idx="2">
                  <c:v>25.063853387256273</c:v>
                </c:pt>
                <c:pt idx="3">
                  <c:v>22.744474380961258</c:v>
                </c:pt>
                <c:pt idx="4">
                  <c:v>25.865459631177007</c:v>
                </c:pt>
                <c:pt idx="5">
                  <c:v>25.119721078559419</c:v>
                </c:pt>
                <c:pt idx="6">
                  <c:v>27.681541097043354</c:v>
                </c:pt>
                <c:pt idx="7">
                  <c:v>25.738345480669967</c:v>
                </c:pt>
                <c:pt idx="8">
                  <c:v>26.901699718062019</c:v>
                </c:pt>
                <c:pt idx="9">
                  <c:v>27.244477746533164</c:v>
                </c:pt>
                <c:pt idx="10">
                  <c:v>22.703704129983144</c:v>
                </c:pt>
                <c:pt idx="11">
                  <c:v>24.488357187459915</c:v>
                </c:pt>
                <c:pt idx="12">
                  <c:v>24.424097927049246</c:v>
                </c:pt>
                <c:pt idx="13">
                  <c:v>24.488267957683984</c:v>
                </c:pt>
                <c:pt idx="14">
                  <c:v>24.569786887878159</c:v>
                </c:pt>
                <c:pt idx="15">
                  <c:v>24.559341234596747</c:v>
                </c:pt>
                <c:pt idx="16">
                  <c:v>24.557871502932851</c:v>
                </c:pt>
                <c:pt idx="17">
                  <c:v>24.555457241151874</c:v>
                </c:pt>
                <c:pt idx="18">
                  <c:v>24.543400130589358</c:v>
                </c:pt>
                <c:pt idx="19">
                  <c:v>24.534351620146541</c:v>
                </c:pt>
                <c:pt idx="20">
                  <c:v>24.53097265214398</c:v>
                </c:pt>
                <c:pt idx="21">
                  <c:v>24.514959409041538</c:v>
                </c:pt>
                <c:pt idx="22">
                  <c:v>24.525841766849112</c:v>
                </c:pt>
                <c:pt idx="23">
                  <c:v>24.55049062217326</c:v>
                </c:pt>
                <c:pt idx="24">
                  <c:v>24.588682250084133</c:v>
                </c:pt>
                <c:pt idx="25">
                  <c:v>24.629983702384379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64B-4418-B5FD-BA328BECFE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7792"/>
        <c:axId val="315608184"/>
      </c:areaChart>
      <c:catAx>
        <c:axId val="31560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8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8.8607649703107728E-3"/>
              <c:y val="9.1407759840393486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7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egendEntry>
        <c:idx val="0"/>
        <c:txPr>
          <a:bodyPr/>
          <a:lstStyle/>
          <a:p>
            <a:pPr>
              <a:defRPr sz="97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</c:legendEntry>
      <c:layout>
        <c:manualLayout>
          <c:xMode val="edge"/>
          <c:yMode val="edge"/>
          <c:x val="4.5796446052351572E-2"/>
          <c:y val="0.915818537710964"/>
          <c:w val="0.9001494998935945"/>
          <c:h val="7.666737337231720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176529986688937E-2"/>
          <c:w val="0.8946700507614217"/>
          <c:h val="0.7757359903995517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F2'!$L$46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F2'!$M$46:$AL$46</c:f>
              <c:numCache>
                <c:formatCode>#,##0</c:formatCode>
                <c:ptCount val="26"/>
                <c:pt idx="0">
                  <c:v>10.719167515077141</c:v>
                </c:pt>
                <c:pt idx="1">
                  <c:v>10.852603109148047</c:v>
                </c:pt>
                <c:pt idx="2">
                  <c:v>10.651421719566564</c:v>
                </c:pt>
                <c:pt idx="3">
                  <c:v>9.9133129211453177</c:v>
                </c:pt>
                <c:pt idx="4">
                  <c:v>11.452779246835318</c:v>
                </c:pt>
                <c:pt idx="5">
                  <c:v>11.210781757562087</c:v>
                </c:pt>
                <c:pt idx="6">
                  <c:v>11.525978290269443</c:v>
                </c:pt>
                <c:pt idx="7">
                  <c:v>10.519750634992795</c:v>
                </c:pt>
                <c:pt idx="8">
                  <c:v>10.072538521454604</c:v>
                </c:pt>
                <c:pt idx="9">
                  <c:v>9.7879247979048163</c:v>
                </c:pt>
                <c:pt idx="10">
                  <c:v>8.7182083202628089</c:v>
                </c:pt>
                <c:pt idx="11">
                  <c:v>7.4754493173027772</c:v>
                </c:pt>
                <c:pt idx="12">
                  <c:v>7.4442985847354111</c:v>
                </c:pt>
                <c:pt idx="13">
                  <c:v>7.4477909368485653</c:v>
                </c:pt>
                <c:pt idx="14">
                  <c:v>7.449068723627045</c:v>
                </c:pt>
                <c:pt idx="15">
                  <c:v>7.4114416150968658</c:v>
                </c:pt>
                <c:pt idx="16">
                  <c:v>7.3764392419307789</c:v>
                </c:pt>
                <c:pt idx="17">
                  <c:v>7.3402677873518378</c:v>
                </c:pt>
                <c:pt idx="18">
                  <c:v>7.3095581175809441</c:v>
                </c:pt>
                <c:pt idx="19">
                  <c:v>7.2778925774237075</c:v>
                </c:pt>
                <c:pt idx="20">
                  <c:v>7.2424175460065365</c:v>
                </c:pt>
                <c:pt idx="21">
                  <c:v>7.205970411944759</c:v>
                </c:pt>
                <c:pt idx="22">
                  <c:v>7.1706530552015311</c:v>
                </c:pt>
                <c:pt idx="23">
                  <c:v>7.1357650649382691</c:v>
                </c:pt>
                <c:pt idx="24">
                  <c:v>7.097985255447476</c:v>
                </c:pt>
                <c:pt idx="25">
                  <c:v>7.0598733495814647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16-496A-AB20-744818E50B15}"/>
            </c:ext>
          </c:extLst>
        </c:ser>
        <c:ser>
          <c:idx val="0"/>
          <c:order val="1"/>
          <c:tx>
            <c:strRef>
              <c:f>'Occ F2'!$L$47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F2'!$M$47:$AL$47</c:f>
              <c:numCache>
                <c:formatCode>#,##0</c:formatCode>
                <c:ptCount val="26"/>
                <c:pt idx="0">
                  <c:v>79.923170026002197</c:v>
                </c:pt>
                <c:pt idx="1">
                  <c:v>82.585727617968715</c:v>
                </c:pt>
                <c:pt idx="2">
                  <c:v>87.220339755229219</c:v>
                </c:pt>
                <c:pt idx="3">
                  <c:v>81.024839964803931</c:v>
                </c:pt>
                <c:pt idx="4">
                  <c:v>84.993839527161157</c:v>
                </c:pt>
                <c:pt idx="5">
                  <c:v>86.066867113344401</c:v>
                </c:pt>
                <c:pt idx="6">
                  <c:v>84.96690402553503</c:v>
                </c:pt>
                <c:pt idx="7">
                  <c:v>82.65019241164191</c:v>
                </c:pt>
                <c:pt idx="8">
                  <c:v>81.810060503899209</c:v>
                </c:pt>
                <c:pt idx="9">
                  <c:v>83.354213239045237</c:v>
                </c:pt>
                <c:pt idx="10">
                  <c:v>76.096111817061072</c:v>
                </c:pt>
                <c:pt idx="11">
                  <c:v>78.300714876916743</c:v>
                </c:pt>
                <c:pt idx="12">
                  <c:v>78.454935306253972</c:v>
                </c:pt>
                <c:pt idx="13">
                  <c:v>78.567526410164874</c:v>
                </c:pt>
                <c:pt idx="14">
                  <c:v>78.723800951012194</c:v>
                </c:pt>
                <c:pt idx="15">
                  <c:v>78.650938916972294</c:v>
                </c:pt>
                <c:pt idx="16">
                  <c:v>78.492762389139699</c:v>
                </c:pt>
                <c:pt idx="17">
                  <c:v>78.283770709126188</c:v>
                </c:pt>
                <c:pt idx="18">
                  <c:v>78.050411012630505</c:v>
                </c:pt>
                <c:pt idx="19">
                  <c:v>77.815895136820515</c:v>
                </c:pt>
                <c:pt idx="20">
                  <c:v>77.592920123451975</c:v>
                </c:pt>
                <c:pt idx="21">
                  <c:v>77.372209560958552</c:v>
                </c:pt>
                <c:pt idx="22">
                  <c:v>77.135683949001788</c:v>
                </c:pt>
                <c:pt idx="23">
                  <c:v>76.937614382427839</c:v>
                </c:pt>
                <c:pt idx="24">
                  <c:v>76.692290555305249</c:v>
                </c:pt>
                <c:pt idx="25">
                  <c:v>76.388310986548959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16-496A-AB20-744818E50B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8968"/>
        <c:axId val="315609360"/>
      </c:areaChart>
      <c:catAx>
        <c:axId val="315608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93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93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91184720373463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8844899891323919E-2"/>
          <c:y val="0.91770442156268928"/>
          <c:w val="0.87492742704367699"/>
          <c:h val="7.67816853422168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81.092903284760808</c:v>
                </c:pt>
                <c:pt idx="1">
                  <c:v>90.084170617702554</c:v>
                </c:pt>
                <c:pt idx="2">
                  <c:v>93.971374222707269</c:v>
                </c:pt>
                <c:pt idx="3">
                  <c:v>95.028709224412395</c:v>
                </c:pt>
                <c:pt idx="4">
                  <c:v>96.919857101535825</c:v>
                </c:pt>
                <c:pt idx="5">
                  <c:v>99.823405667280099</c:v>
                </c:pt>
                <c:pt idx="6">
                  <c:v>104.39149973486013</c:v>
                </c:pt>
                <c:pt idx="7">
                  <c:v>102.33452009732424</c:v>
                </c:pt>
                <c:pt idx="8">
                  <c:v>105.2883517256134</c:v>
                </c:pt>
                <c:pt idx="9">
                  <c:v>109.9145689063652</c:v>
                </c:pt>
                <c:pt idx="10">
                  <c:v>109.92994578235215</c:v>
                </c:pt>
                <c:pt idx="11">
                  <c:v>107.35486461959846</c:v>
                </c:pt>
                <c:pt idx="12">
                  <c:v>108.7888299666055</c:v>
                </c:pt>
                <c:pt idx="13">
                  <c:v>110.51281866934377</c:v>
                </c:pt>
                <c:pt idx="14">
                  <c:v>112.27812929628473</c:v>
                </c:pt>
                <c:pt idx="15">
                  <c:v>113.69235283021654</c:v>
                </c:pt>
                <c:pt idx="16">
                  <c:v>115.04021513356676</c:v>
                </c:pt>
                <c:pt idx="17">
                  <c:v>116.34553297888722</c:v>
                </c:pt>
                <c:pt idx="18">
                  <c:v>117.62875907691132</c:v>
                </c:pt>
                <c:pt idx="19">
                  <c:v>118.89222851885219</c:v>
                </c:pt>
                <c:pt idx="20">
                  <c:v>120.21097043028448</c:v>
                </c:pt>
                <c:pt idx="21">
                  <c:v>121.50627820719792</c:v>
                </c:pt>
                <c:pt idx="22">
                  <c:v>122.84510031532906</c:v>
                </c:pt>
                <c:pt idx="23">
                  <c:v>124.15594570421095</c:v>
                </c:pt>
                <c:pt idx="24">
                  <c:v>125.57515941951934</c:v>
                </c:pt>
                <c:pt idx="25">
                  <c:v>126.94944921209097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A5-4D32-A8A8-47EDF4EA3691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178.62301822065854</c:v>
                </c:pt>
                <c:pt idx="1">
                  <c:v>175.00969619558327</c:v>
                </c:pt>
                <c:pt idx="2">
                  <c:v>178.1433025419197</c:v>
                </c:pt>
                <c:pt idx="3">
                  <c:v>180.75790903753514</c:v>
                </c:pt>
                <c:pt idx="4">
                  <c:v>182.11458884294817</c:v>
                </c:pt>
                <c:pt idx="5">
                  <c:v>187.40472106146541</c:v>
                </c:pt>
                <c:pt idx="6">
                  <c:v>198.50911862958341</c:v>
                </c:pt>
                <c:pt idx="7">
                  <c:v>185.03406123574615</c:v>
                </c:pt>
                <c:pt idx="8">
                  <c:v>194.09915623657935</c:v>
                </c:pt>
                <c:pt idx="9">
                  <c:v>204.98514734387325</c:v>
                </c:pt>
                <c:pt idx="10">
                  <c:v>210.18095966500374</c:v>
                </c:pt>
                <c:pt idx="11">
                  <c:v>216.3768798753207</c:v>
                </c:pt>
                <c:pt idx="12">
                  <c:v>218.25442531415149</c:v>
                </c:pt>
                <c:pt idx="13">
                  <c:v>220.89331859010485</c:v>
                </c:pt>
                <c:pt idx="14">
                  <c:v>223.69706816845468</c:v>
                </c:pt>
                <c:pt idx="15">
                  <c:v>225.95995697383091</c:v>
                </c:pt>
                <c:pt idx="16">
                  <c:v>228.09953536919804</c:v>
                </c:pt>
                <c:pt idx="17">
                  <c:v>230.13752654733435</c:v>
                </c:pt>
                <c:pt idx="18">
                  <c:v>232.14958871245048</c:v>
                </c:pt>
                <c:pt idx="19">
                  <c:v>234.14039867941233</c:v>
                </c:pt>
                <c:pt idx="20">
                  <c:v>236.2164161773434</c:v>
                </c:pt>
                <c:pt idx="21">
                  <c:v>238.22762585618091</c:v>
                </c:pt>
                <c:pt idx="22">
                  <c:v>240.24976886909653</c:v>
                </c:pt>
                <c:pt idx="23">
                  <c:v>242.32992373986809</c:v>
                </c:pt>
                <c:pt idx="24">
                  <c:v>244.46788095253498</c:v>
                </c:pt>
                <c:pt idx="25">
                  <c:v>246.52999555946499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EA5-4D32-A8A8-47EDF4EA3691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106.20345955601728</c:v>
                </c:pt>
                <c:pt idx="1">
                  <c:v>108.94149598016051</c:v>
                </c:pt>
                <c:pt idx="2">
                  <c:v>113.03856883679916</c:v>
                </c:pt>
                <c:pt idx="3">
                  <c:v>110.03320255970065</c:v>
                </c:pt>
                <c:pt idx="4">
                  <c:v>113.8648020872282</c:v>
                </c:pt>
                <c:pt idx="5">
                  <c:v>118.06235267038653</c:v>
                </c:pt>
                <c:pt idx="6">
                  <c:v>119.87358713034931</c:v>
                </c:pt>
                <c:pt idx="7">
                  <c:v>117.67758396923246</c:v>
                </c:pt>
                <c:pt idx="8">
                  <c:v>119.522594376158</c:v>
                </c:pt>
                <c:pt idx="9">
                  <c:v>120.05540533988096</c:v>
                </c:pt>
                <c:pt idx="10">
                  <c:v>124.08566971596375</c:v>
                </c:pt>
                <c:pt idx="11">
                  <c:v>117.78420697004394</c:v>
                </c:pt>
                <c:pt idx="12">
                  <c:v>118.74466564097426</c:v>
                </c:pt>
                <c:pt idx="13">
                  <c:v>119.96828270466938</c:v>
                </c:pt>
                <c:pt idx="14">
                  <c:v>121.30299967306614</c:v>
                </c:pt>
                <c:pt idx="15">
                  <c:v>122.27240002075092</c:v>
                </c:pt>
                <c:pt idx="16">
                  <c:v>123.16080190393443</c:v>
                </c:pt>
                <c:pt idx="17">
                  <c:v>123.94581968489589</c:v>
                </c:pt>
                <c:pt idx="18">
                  <c:v>124.74701820630958</c:v>
                </c:pt>
                <c:pt idx="19">
                  <c:v>125.55976133131777</c:v>
                </c:pt>
                <c:pt idx="20">
                  <c:v>126.40785769915428</c:v>
                </c:pt>
                <c:pt idx="21">
                  <c:v>127.20644951649135</c:v>
                </c:pt>
                <c:pt idx="22">
                  <c:v>128.03527851400389</c:v>
                </c:pt>
                <c:pt idx="23">
                  <c:v>128.86291314460712</c:v>
                </c:pt>
                <c:pt idx="24">
                  <c:v>129.72739757697292</c:v>
                </c:pt>
                <c:pt idx="25">
                  <c:v>130.52666710307909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EA5-4D32-A8A8-47EDF4EA3691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96.882302242072356</c:v>
                </c:pt>
                <c:pt idx="1">
                  <c:v>93.817711956251429</c:v>
                </c:pt>
                <c:pt idx="2">
                  <c:v>94.572471299953719</c:v>
                </c:pt>
                <c:pt idx="3">
                  <c:v>90.726927766571265</c:v>
                </c:pt>
                <c:pt idx="4">
                  <c:v>92.664848014346717</c:v>
                </c:pt>
                <c:pt idx="5">
                  <c:v>93.96824546690263</c:v>
                </c:pt>
                <c:pt idx="6">
                  <c:v>90.992844599046038</c:v>
                </c:pt>
                <c:pt idx="7">
                  <c:v>89.715029791346595</c:v>
                </c:pt>
                <c:pt idx="8">
                  <c:v>91.186361698115064</c:v>
                </c:pt>
                <c:pt idx="9">
                  <c:v>87.500125810165741</c:v>
                </c:pt>
                <c:pt idx="10">
                  <c:v>88.379330022516001</c:v>
                </c:pt>
                <c:pt idx="11">
                  <c:v>85.292150624811583</c:v>
                </c:pt>
                <c:pt idx="12">
                  <c:v>84.457591793160802</c:v>
                </c:pt>
                <c:pt idx="13">
                  <c:v>83.781720269335239</c:v>
                </c:pt>
                <c:pt idx="14">
                  <c:v>83.163949509686489</c:v>
                </c:pt>
                <c:pt idx="15">
                  <c:v>82.318317359101599</c:v>
                </c:pt>
                <c:pt idx="16">
                  <c:v>81.427476991283982</c:v>
                </c:pt>
                <c:pt idx="17">
                  <c:v>80.496368662954609</c:v>
                </c:pt>
                <c:pt idx="18">
                  <c:v>79.56063688081187</c:v>
                </c:pt>
                <c:pt idx="19">
                  <c:v>78.633033932661391</c:v>
                </c:pt>
                <c:pt idx="20">
                  <c:v>77.80234860762954</c:v>
                </c:pt>
                <c:pt idx="21">
                  <c:v>77.042256358912269</c:v>
                </c:pt>
                <c:pt idx="22">
                  <c:v>76.221169353714345</c:v>
                </c:pt>
                <c:pt idx="23">
                  <c:v>75.347470912150456</c:v>
                </c:pt>
                <c:pt idx="24">
                  <c:v>74.202909562814369</c:v>
                </c:pt>
                <c:pt idx="25">
                  <c:v>73.324556568201245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EA5-4D32-A8A8-47EDF4EA3691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77.620215000180082</c:v>
                </c:pt>
                <c:pt idx="1">
                  <c:v>76.91916936246551</c:v>
                </c:pt>
                <c:pt idx="2">
                  <c:v>76.158512465866693</c:v>
                </c:pt>
                <c:pt idx="3">
                  <c:v>75.198788724866304</c:v>
                </c:pt>
                <c:pt idx="4">
                  <c:v>80.931322327631221</c:v>
                </c:pt>
                <c:pt idx="5">
                  <c:v>81.412516783741452</c:v>
                </c:pt>
                <c:pt idx="6">
                  <c:v>82.837850855448323</c:v>
                </c:pt>
                <c:pt idx="7">
                  <c:v>81.724244798324889</c:v>
                </c:pt>
                <c:pt idx="8">
                  <c:v>74.79254149797444</c:v>
                </c:pt>
                <c:pt idx="9">
                  <c:v>77.842029045706752</c:v>
                </c:pt>
                <c:pt idx="10">
                  <c:v>68.523564362064846</c:v>
                </c:pt>
                <c:pt idx="11">
                  <c:v>70.482770315246285</c:v>
                </c:pt>
                <c:pt idx="12">
                  <c:v>70.702321611770245</c:v>
                </c:pt>
                <c:pt idx="13">
                  <c:v>71.271985731758008</c:v>
                </c:pt>
                <c:pt idx="14">
                  <c:v>71.777370615842671</c:v>
                </c:pt>
                <c:pt idx="15">
                  <c:v>71.906951053581963</c:v>
                </c:pt>
                <c:pt idx="16">
                  <c:v>71.941091084272045</c:v>
                </c:pt>
                <c:pt idx="17">
                  <c:v>71.88926971389472</c:v>
                </c:pt>
                <c:pt idx="18">
                  <c:v>71.880657760090926</c:v>
                </c:pt>
                <c:pt idx="19">
                  <c:v>71.860975315326257</c:v>
                </c:pt>
                <c:pt idx="20">
                  <c:v>71.872675478845423</c:v>
                </c:pt>
                <c:pt idx="21">
                  <c:v>71.862046926366929</c:v>
                </c:pt>
                <c:pt idx="22">
                  <c:v>71.832468313527443</c:v>
                </c:pt>
                <c:pt idx="23">
                  <c:v>71.789097093818896</c:v>
                </c:pt>
                <c:pt idx="24">
                  <c:v>71.804608910661202</c:v>
                </c:pt>
                <c:pt idx="25">
                  <c:v>71.783414885921047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EA5-4D32-A8A8-47EDF4EA3691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72.13463626797467</c:v>
                </c:pt>
                <c:pt idx="1">
                  <c:v>72.915865238209662</c:v>
                </c:pt>
                <c:pt idx="2">
                  <c:v>73.134906214958903</c:v>
                </c:pt>
                <c:pt idx="3">
                  <c:v>73.132329758175814</c:v>
                </c:pt>
                <c:pt idx="4">
                  <c:v>74.947029448573673</c:v>
                </c:pt>
                <c:pt idx="5">
                  <c:v>81.542313296358259</c:v>
                </c:pt>
                <c:pt idx="6">
                  <c:v>80.640013467368973</c:v>
                </c:pt>
                <c:pt idx="7">
                  <c:v>80.974314383950016</c:v>
                </c:pt>
                <c:pt idx="8">
                  <c:v>79.27690707612328</c:v>
                </c:pt>
                <c:pt idx="9">
                  <c:v>83.203369424048049</c:v>
                </c:pt>
                <c:pt idx="10">
                  <c:v>78.928229856731903</c:v>
                </c:pt>
                <c:pt idx="11">
                  <c:v>81.000739733301046</c:v>
                </c:pt>
                <c:pt idx="12">
                  <c:v>81.444333919684894</c:v>
                </c:pt>
                <c:pt idx="13">
                  <c:v>82.10002474046</c:v>
                </c:pt>
                <c:pt idx="14">
                  <c:v>82.854591076839185</c:v>
                </c:pt>
                <c:pt idx="15">
                  <c:v>83.465879383626358</c:v>
                </c:pt>
                <c:pt idx="16">
                  <c:v>84.00858603954434</c:v>
                </c:pt>
                <c:pt idx="17">
                  <c:v>84.517712005656648</c:v>
                </c:pt>
                <c:pt idx="18">
                  <c:v>85.01673891460463</c:v>
                </c:pt>
                <c:pt idx="19">
                  <c:v>85.522548784604865</c:v>
                </c:pt>
                <c:pt idx="20">
                  <c:v>86.046883267078769</c:v>
                </c:pt>
                <c:pt idx="21">
                  <c:v>86.543002002614699</c:v>
                </c:pt>
                <c:pt idx="22">
                  <c:v>87.05162492967996</c:v>
                </c:pt>
                <c:pt idx="23">
                  <c:v>87.564057010967005</c:v>
                </c:pt>
                <c:pt idx="24">
                  <c:v>88.060615229883652</c:v>
                </c:pt>
                <c:pt idx="25">
                  <c:v>88.550962485980079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EA5-4D32-A8A8-47EDF4EA3691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60.88883905183468</c:v>
                </c:pt>
                <c:pt idx="1">
                  <c:v>65.740824931038503</c:v>
                </c:pt>
                <c:pt idx="2">
                  <c:v>69.232755714938733</c:v>
                </c:pt>
                <c:pt idx="3">
                  <c:v>67.547590325357561</c:v>
                </c:pt>
                <c:pt idx="4">
                  <c:v>66.868656247134268</c:v>
                </c:pt>
                <c:pt idx="5">
                  <c:v>67.650112553582659</c:v>
                </c:pt>
                <c:pt idx="6">
                  <c:v>69.415155572423416</c:v>
                </c:pt>
                <c:pt idx="7">
                  <c:v>65.18445169991675</c:v>
                </c:pt>
                <c:pt idx="8">
                  <c:v>65.99056156533905</c:v>
                </c:pt>
                <c:pt idx="9">
                  <c:v>66.064672482627699</c:v>
                </c:pt>
                <c:pt idx="10">
                  <c:v>66.154645293507599</c:v>
                </c:pt>
                <c:pt idx="11">
                  <c:v>65.723622306922522</c:v>
                </c:pt>
                <c:pt idx="12">
                  <c:v>65.737935944113119</c:v>
                </c:pt>
                <c:pt idx="13">
                  <c:v>65.927586238457991</c:v>
                </c:pt>
                <c:pt idx="14">
                  <c:v>66.188745066748609</c:v>
                </c:pt>
                <c:pt idx="15">
                  <c:v>66.294151026564577</c:v>
                </c:pt>
                <c:pt idx="16">
                  <c:v>66.327025188153897</c:v>
                </c:pt>
                <c:pt idx="17">
                  <c:v>66.325738643857491</c:v>
                </c:pt>
                <c:pt idx="18">
                  <c:v>66.336724077457916</c:v>
                </c:pt>
                <c:pt idx="19">
                  <c:v>66.342263303237004</c:v>
                </c:pt>
                <c:pt idx="20">
                  <c:v>66.330009449850635</c:v>
                </c:pt>
                <c:pt idx="21">
                  <c:v>66.35157908730902</c:v>
                </c:pt>
                <c:pt idx="22">
                  <c:v>66.335539715069302</c:v>
                </c:pt>
                <c:pt idx="23">
                  <c:v>66.326108649857559</c:v>
                </c:pt>
                <c:pt idx="24">
                  <c:v>66.31070179473501</c:v>
                </c:pt>
                <c:pt idx="25">
                  <c:v>66.316025592094505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EA5-4D32-A8A8-47EDF4EA3691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37.710288835421537</c:v>
                </c:pt>
                <c:pt idx="1">
                  <c:v>37.600734991472073</c:v>
                </c:pt>
                <c:pt idx="2">
                  <c:v>37.666347228059976</c:v>
                </c:pt>
                <c:pt idx="3">
                  <c:v>35.014389717431321</c:v>
                </c:pt>
                <c:pt idx="4">
                  <c:v>38.76327715660566</c:v>
                </c:pt>
                <c:pt idx="5">
                  <c:v>37.86368362937651</c:v>
                </c:pt>
                <c:pt idx="6">
                  <c:v>40.690047695115965</c:v>
                </c:pt>
                <c:pt idx="7">
                  <c:v>39.297850977524007</c:v>
                </c:pt>
                <c:pt idx="8">
                  <c:v>40.193926798743938</c:v>
                </c:pt>
                <c:pt idx="9">
                  <c:v>39.74154361038277</c:v>
                </c:pt>
                <c:pt idx="10">
                  <c:v>33.643335164535806</c:v>
                </c:pt>
                <c:pt idx="11">
                  <c:v>37.801601360535862</c:v>
                </c:pt>
                <c:pt idx="12">
                  <c:v>37.71366191855013</c:v>
                </c:pt>
                <c:pt idx="13">
                  <c:v>37.858945708857803</c:v>
                </c:pt>
                <c:pt idx="14">
                  <c:v>38.016276918438656</c:v>
                </c:pt>
                <c:pt idx="15">
                  <c:v>38.00761082025749</c:v>
                </c:pt>
                <c:pt idx="16">
                  <c:v>37.975066658976104</c:v>
                </c:pt>
                <c:pt idx="17">
                  <c:v>37.957993266040958</c:v>
                </c:pt>
                <c:pt idx="18">
                  <c:v>37.938907241151824</c:v>
                </c:pt>
                <c:pt idx="19">
                  <c:v>37.917002420344467</c:v>
                </c:pt>
                <c:pt idx="20">
                  <c:v>37.901501220354554</c:v>
                </c:pt>
                <c:pt idx="21">
                  <c:v>37.877582072023479</c:v>
                </c:pt>
                <c:pt idx="22">
                  <c:v>37.873712985375882</c:v>
                </c:pt>
                <c:pt idx="23">
                  <c:v>37.898104297153552</c:v>
                </c:pt>
                <c:pt idx="24">
                  <c:v>37.973450742125955</c:v>
                </c:pt>
                <c:pt idx="25">
                  <c:v>38.048744257037569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EA5-4D32-A8A8-47EDF4EA3691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90.642337541079343</c:v>
                </c:pt>
                <c:pt idx="1">
                  <c:v>93.438330727116764</c:v>
                </c:pt>
                <c:pt idx="2">
                  <c:v>97.87176147479579</c:v>
                </c:pt>
                <c:pt idx="3">
                  <c:v>90.938152885949251</c:v>
                </c:pt>
                <c:pt idx="4">
                  <c:v>96.446618773996477</c:v>
                </c:pt>
                <c:pt idx="5">
                  <c:v>97.277648870906489</c:v>
                </c:pt>
                <c:pt idx="6">
                  <c:v>96.492882315804479</c:v>
                </c:pt>
                <c:pt idx="7">
                  <c:v>93.1699430466347</c:v>
                </c:pt>
                <c:pt idx="8">
                  <c:v>91.882599025353812</c:v>
                </c:pt>
                <c:pt idx="9">
                  <c:v>93.142138036950058</c:v>
                </c:pt>
                <c:pt idx="10">
                  <c:v>84.814320137323875</c:v>
                </c:pt>
                <c:pt idx="11">
                  <c:v>85.776164194219518</c:v>
                </c:pt>
                <c:pt idx="12">
                  <c:v>85.899233890989379</c:v>
                </c:pt>
                <c:pt idx="13">
                  <c:v>86.015317347013436</c:v>
                </c:pt>
                <c:pt idx="14">
                  <c:v>86.172869674639244</c:v>
                </c:pt>
                <c:pt idx="15">
                  <c:v>86.062380532069156</c:v>
                </c:pt>
                <c:pt idx="16">
                  <c:v>85.869201631070482</c:v>
                </c:pt>
                <c:pt idx="17">
                  <c:v>85.624038496478022</c:v>
                </c:pt>
                <c:pt idx="18">
                  <c:v>85.359969130211454</c:v>
                </c:pt>
                <c:pt idx="19">
                  <c:v>85.093787714244229</c:v>
                </c:pt>
                <c:pt idx="20">
                  <c:v>84.835337669458511</c:v>
                </c:pt>
                <c:pt idx="21">
                  <c:v>84.578179972903314</c:v>
                </c:pt>
                <c:pt idx="22">
                  <c:v>84.306337004203314</c:v>
                </c:pt>
                <c:pt idx="23">
                  <c:v>84.073379447366108</c:v>
                </c:pt>
                <c:pt idx="24">
                  <c:v>83.790275810752718</c:v>
                </c:pt>
                <c:pt idx="25">
                  <c:v>83.448184336130424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EA5-4D32-A8A8-47EDF4EA36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400"/>
                  <a:t>thousands</a:t>
                </a:r>
              </a:p>
            </c:rich>
          </c:tx>
          <c:layout>
            <c:manualLayout>
              <c:xMode val="edge"/>
              <c:yMode val="edge"/>
              <c:x val="6.3291391785486274E-3"/>
              <c:y val="1.090847871145444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0886119762485017E-2"/>
          <c:y val="5.3619302949061684E-2"/>
          <c:w val="0.91012714480759949"/>
          <c:h val="0.7559222194989994"/>
        </c:manualLayout>
      </c:layout>
      <c:areaChart>
        <c:grouping val="percentStacke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81.092903284760808</c:v>
                </c:pt>
                <c:pt idx="1">
                  <c:v>90.084170617702554</c:v>
                </c:pt>
                <c:pt idx="2">
                  <c:v>93.971374222707269</c:v>
                </c:pt>
                <c:pt idx="3">
                  <c:v>95.028709224412395</c:v>
                </c:pt>
                <c:pt idx="4">
                  <c:v>96.919857101535825</c:v>
                </c:pt>
                <c:pt idx="5">
                  <c:v>99.823405667280099</c:v>
                </c:pt>
                <c:pt idx="6">
                  <c:v>104.39149973486013</c:v>
                </c:pt>
                <c:pt idx="7">
                  <c:v>102.33452009732424</c:v>
                </c:pt>
                <c:pt idx="8">
                  <c:v>105.2883517256134</c:v>
                </c:pt>
                <c:pt idx="9">
                  <c:v>109.9145689063652</c:v>
                </c:pt>
                <c:pt idx="10">
                  <c:v>109.92994578235215</c:v>
                </c:pt>
                <c:pt idx="11">
                  <c:v>107.35486461959846</c:v>
                </c:pt>
                <c:pt idx="12">
                  <c:v>108.7888299666055</c:v>
                </c:pt>
                <c:pt idx="13">
                  <c:v>110.51281866934377</c:v>
                </c:pt>
                <c:pt idx="14">
                  <c:v>112.27812929628473</c:v>
                </c:pt>
                <c:pt idx="15">
                  <c:v>113.69235283021654</c:v>
                </c:pt>
                <c:pt idx="16">
                  <c:v>115.04021513356676</c:v>
                </c:pt>
                <c:pt idx="17">
                  <c:v>116.34553297888722</c:v>
                </c:pt>
                <c:pt idx="18">
                  <c:v>117.62875907691132</c:v>
                </c:pt>
                <c:pt idx="19">
                  <c:v>118.89222851885219</c:v>
                </c:pt>
                <c:pt idx="20">
                  <c:v>120.21097043028448</c:v>
                </c:pt>
                <c:pt idx="21">
                  <c:v>121.50627820719792</c:v>
                </c:pt>
                <c:pt idx="22">
                  <c:v>122.84510031532906</c:v>
                </c:pt>
                <c:pt idx="23">
                  <c:v>124.15594570421095</c:v>
                </c:pt>
                <c:pt idx="24">
                  <c:v>125.57515941951934</c:v>
                </c:pt>
                <c:pt idx="25">
                  <c:v>126.94944921209097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3D-4F0C-A75A-38C35ADEECD8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178.62301822065854</c:v>
                </c:pt>
                <c:pt idx="1">
                  <c:v>175.00969619558327</c:v>
                </c:pt>
                <c:pt idx="2">
                  <c:v>178.1433025419197</c:v>
                </c:pt>
                <c:pt idx="3">
                  <c:v>180.75790903753514</c:v>
                </c:pt>
                <c:pt idx="4">
                  <c:v>182.11458884294817</c:v>
                </c:pt>
                <c:pt idx="5">
                  <c:v>187.40472106146541</c:v>
                </c:pt>
                <c:pt idx="6">
                  <c:v>198.50911862958341</c:v>
                </c:pt>
                <c:pt idx="7">
                  <c:v>185.03406123574615</c:v>
                </c:pt>
                <c:pt idx="8">
                  <c:v>194.09915623657935</c:v>
                </c:pt>
                <c:pt idx="9">
                  <c:v>204.98514734387325</c:v>
                </c:pt>
                <c:pt idx="10">
                  <c:v>210.18095966500374</c:v>
                </c:pt>
                <c:pt idx="11">
                  <c:v>216.3768798753207</c:v>
                </c:pt>
                <c:pt idx="12">
                  <c:v>218.25442531415149</c:v>
                </c:pt>
                <c:pt idx="13">
                  <c:v>220.89331859010485</c:v>
                </c:pt>
                <c:pt idx="14">
                  <c:v>223.69706816845468</c:v>
                </c:pt>
                <c:pt idx="15">
                  <c:v>225.95995697383091</c:v>
                </c:pt>
                <c:pt idx="16">
                  <c:v>228.09953536919804</c:v>
                </c:pt>
                <c:pt idx="17">
                  <c:v>230.13752654733435</c:v>
                </c:pt>
                <c:pt idx="18">
                  <c:v>232.14958871245048</c:v>
                </c:pt>
                <c:pt idx="19">
                  <c:v>234.14039867941233</c:v>
                </c:pt>
                <c:pt idx="20">
                  <c:v>236.2164161773434</c:v>
                </c:pt>
                <c:pt idx="21">
                  <c:v>238.22762585618091</c:v>
                </c:pt>
                <c:pt idx="22">
                  <c:v>240.24976886909653</c:v>
                </c:pt>
                <c:pt idx="23">
                  <c:v>242.32992373986809</c:v>
                </c:pt>
                <c:pt idx="24">
                  <c:v>244.46788095253498</c:v>
                </c:pt>
                <c:pt idx="25">
                  <c:v>246.52999555946499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3D-4F0C-A75A-38C35ADEECD8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106.20345955601728</c:v>
                </c:pt>
                <c:pt idx="1">
                  <c:v>108.94149598016051</c:v>
                </c:pt>
                <c:pt idx="2">
                  <c:v>113.03856883679916</c:v>
                </c:pt>
                <c:pt idx="3">
                  <c:v>110.03320255970065</c:v>
                </c:pt>
                <c:pt idx="4">
                  <c:v>113.8648020872282</c:v>
                </c:pt>
                <c:pt idx="5">
                  <c:v>118.06235267038653</c:v>
                </c:pt>
                <c:pt idx="6">
                  <c:v>119.87358713034931</c:v>
                </c:pt>
                <c:pt idx="7">
                  <c:v>117.67758396923246</c:v>
                </c:pt>
                <c:pt idx="8">
                  <c:v>119.522594376158</c:v>
                </c:pt>
                <c:pt idx="9">
                  <c:v>120.05540533988096</c:v>
                </c:pt>
                <c:pt idx="10">
                  <c:v>124.08566971596375</c:v>
                </c:pt>
                <c:pt idx="11">
                  <c:v>117.78420697004394</c:v>
                </c:pt>
                <c:pt idx="12">
                  <c:v>118.74466564097426</c:v>
                </c:pt>
                <c:pt idx="13">
                  <c:v>119.96828270466938</c:v>
                </c:pt>
                <c:pt idx="14">
                  <c:v>121.30299967306614</c:v>
                </c:pt>
                <c:pt idx="15">
                  <c:v>122.27240002075092</c:v>
                </c:pt>
                <c:pt idx="16">
                  <c:v>123.16080190393443</c:v>
                </c:pt>
                <c:pt idx="17">
                  <c:v>123.94581968489589</c:v>
                </c:pt>
                <c:pt idx="18">
                  <c:v>124.74701820630958</c:v>
                </c:pt>
                <c:pt idx="19">
                  <c:v>125.55976133131777</c:v>
                </c:pt>
                <c:pt idx="20">
                  <c:v>126.40785769915428</c:v>
                </c:pt>
                <c:pt idx="21">
                  <c:v>127.20644951649135</c:v>
                </c:pt>
                <c:pt idx="22">
                  <c:v>128.03527851400389</c:v>
                </c:pt>
                <c:pt idx="23">
                  <c:v>128.86291314460712</c:v>
                </c:pt>
                <c:pt idx="24">
                  <c:v>129.72739757697292</c:v>
                </c:pt>
                <c:pt idx="25">
                  <c:v>130.52666710307909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3D-4F0C-A75A-38C35ADEECD8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96.882302242072356</c:v>
                </c:pt>
                <c:pt idx="1">
                  <c:v>93.817711956251429</c:v>
                </c:pt>
                <c:pt idx="2">
                  <c:v>94.572471299953719</c:v>
                </c:pt>
                <c:pt idx="3">
                  <c:v>90.726927766571265</c:v>
                </c:pt>
                <c:pt idx="4">
                  <c:v>92.664848014346717</c:v>
                </c:pt>
                <c:pt idx="5">
                  <c:v>93.96824546690263</c:v>
                </c:pt>
                <c:pt idx="6">
                  <c:v>90.992844599046038</c:v>
                </c:pt>
                <c:pt idx="7">
                  <c:v>89.715029791346595</c:v>
                </c:pt>
                <c:pt idx="8">
                  <c:v>91.186361698115064</c:v>
                </c:pt>
                <c:pt idx="9">
                  <c:v>87.500125810165741</c:v>
                </c:pt>
                <c:pt idx="10">
                  <c:v>88.379330022516001</c:v>
                </c:pt>
                <c:pt idx="11">
                  <c:v>85.292150624811583</c:v>
                </c:pt>
                <c:pt idx="12">
                  <c:v>84.457591793160802</c:v>
                </c:pt>
                <c:pt idx="13">
                  <c:v>83.781720269335239</c:v>
                </c:pt>
                <c:pt idx="14">
                  <c:v>83.163949509686489</c:v>
                </c:pt>
                <c:pt idx="15">
                  <c:v>82.318317359101599</c:v>
                </c:pt>
                <c:pt idx="16">
                  <c:v>81.427476991283982</c:v>
                </c:pt>
                <c:pt idx="17">
                  <c:v>80.496368662954609</c:v>
                </c:pt>
                <c:pt idx="18">
                  <c:v>79.56063688081187</c:v>
                </c:pt>
                <c:pt idx="19">
                  <c:v>78.633033932661391</c:v>
                </c:pt>
                <c:pt idx="20">
                  <c:v>77.80234860762954</c:v>
                </c:pt>
                <c:pt idx="21">
                  <c:v>77.042256358912269</c:v>
                </c:pt>
                <c:pt idx="22">
                  <c:v>76.221169353714345</c:v>
                </c:pt>
                <c:pt idx="23">
                  <c:v>75.347470912150456</c:v>
                </c:pt>
                <c:pt idx="24">
                  <c:v>74.202909562814369</c:v>
                </c:pt>
                <c:pt idx="25">
                  <c:v>73.324556568201245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3D-4F0C-A75A-38C35ADEECD8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77.620215000180082</c:v>
                </c:pt>
                <c:pt idx="1">
                  <c:v>76.91916936246551</c:v>
                </c:pt>
                <c:pt idx="2">
                  <c:v>76.158512465866693</c:v>
                </c:pt>
                <c:pt idx="3">
                  <c:v>75.198788724866304</c:v>
                </c:pt>
                <c:pt idx="4">
                  <c:v>80.931322327631221</c:v>
                </c:pt>
                <c:pt idx="5">
                  <c:v>81.412516783741452</c:v>
                </c:pt>
                <c:pt idx="6">
                  <c:v>82.837850855448323</c:v>
                </c:pt>
                <c:pt idx="7">
                  <c:v>81.724244798324889</c:v>
                </c:pt>
                <c:pt idx="8">
                  <c:v>74.79254149797444</c:v>
                </c:pt>
                <c:pt idx="9">
                  <c:v>77.842029045706752</c:v>
                </c:pt>
                <c:pt idx="10">
                  <c:v>68.523564362064846</c:v>
                </c:pt>
                <c:pt idx="11">
                  <c:v>70.482770315246285</c:v>
                </c:pt>
                <c:pt idx="12">
                  <c:v>70.702321611770245</c:v>
                </c:pt>
                <c:pt idx="13">
                  <c:v>71.271985731758008</c:v>
                </c:pt>
                <c:pt idx="14">
                  <c:v>71.777370615842671</c:v>
                </c:pt>
                <c:pt idx="15">
                  <c:v>71.906951053581963</c:v>
                </c:pt>
                <c:pt idx="16">
                  <c:v>71.941091084272045</c:v>
                </c:pt>
                <c:pt idx="17">
                  <c:v>71.88926971389472</c:v>
                </c:pt>
                <c:pt idx="18">
                  <c:v>71.880657760090926</c:v>
                </c:pt>
                <c:pt idx="19">
                  <c:v>71.860975315326257</c:v>
                </c:pt>
                <c:pt idx="20">
                  <c:v>71.872675478845423</c:v>
                </c:pt>
                <c:pt idx="21">
                  <c:v>71.862046926366929</c:v>
                </c:pt>
                <c:pt idx="22">
                  <c:v>71.832468313527443</c:v>
                </c:pt>
                <c:pt idx="23">
                  <c:v>71.789097093818896</c:v>
                </c:pt>
                <c:pt idx="24">
                  <c:v>71.804608910661202</c:v>
                </c:pt>
                <c:pt idx="25">
                  <c:v>71.783414885921047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C3D-4F0C-A75A-38C35ADEECD8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72.13463626797467</c:v>
                </c:pt>
                <c:pt idx="1">
                  <c:v>72.915865238209662</c:v>
                </c:pt>
                <c:pt idx="2">
                  <c:v>73.134906214958903</c:v>
                </c:pt>
                <c:pt idx="3">
                  <c:v>73.132329758175814</c:v>
                </c:pt>
                <c:pt idx="4">
                  <c:v>74.947029448573673</c:v>
                </c:pt>
                <c:pt idx="5">
                  <c:v>81.542313296358259</c:v>
                </c:pt>
                <c:pt idx="6">
                  <c:v>80.640013467368973</c:v>
                </c:pt>
                <c:pt idx="7">
                  <c:v>80.974314383950016</c:v>
                </c:pt>
                <c:pt idx="8">
                  <c:v>79.27690707612328</c:v>
                </c:pt>
                <c:pt idx="9">
                  <c:v>83.203369424048049</c:v>
                </c:pt>
                <c:pt idx="10">
                  <c:v>78.928229856731903</c:v>
                </c:pt>
                <c:pt idx="11">
                  <c:v>81.000739733301046</c:v>
                </c:pt>
                <c:pt idx="12">
                  <c:v>81.444333919684894</c:v>
                </c:pt>
                <c:pt idx="13">
                  <c:v>82.10002474046</c:v>
                </c:pt>
                <c:pt idx="14">
                  <c:v>82.854591076839185</c:v>
                </c:pt>
                <c:pt idx="15">
                  <c:v>83.465879383626358</c:v>
                </c:pt>
                <c:pt idx="16">
                  <c:v>84.00858603954434</c:v>
                </c:pt>
                <c:pt idx="17">
                  <c:v>84.517712005656648</c:v>
                </c:pt>
                <c:pt idx="18">
                  <c:v>85.01673891460463</c:v>
                </c:pt>
                <c:pt idx="19">
                  <c:v>85.522548784604865</c:v>
                </c:pt>
                <c:pt idx="20">
                  <c:v>86.046883267078769</c:v>
                </c:pt>
                <c:pt idx="21">
                  <c:v>86.543002002614699</c:v>
                </c:pt>
                <c:pt idx="22">
                  <c:v>87.05162492967996</c:v>
                </c:pt>
                <c:pt idx="23">
                  <c:v>87.564057010967005</c:v>
                </c:pt>
                <c:pt idx="24">
                  <c:v>88.060615229883652</c:v>
                </c:pt>
                <c:pt idx="25">
                  <c:v>88.550962485980079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3D-4F0C-A75A-38C35ADEECD8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60.88883905183468</c:v>
                </c:pt>
                <c:pt idx="1">
                  <c:v>65.740824931038503</c:v>
                </c:pt>
                <c:pt idx="2">
                  <c:v>69.232755714938733</c:v>
                </c:pt>
                <c:pt idx="3">
                  <c:v>67.547590325357561</c:v>
                </c:pt>
                <c:pt idx="4">
                  <c:v>66.868656247134268</c:v>
                </c:pt>
                <c:pt idx="5">
                  <c:v>67.650112553582659</c:v>
                </c:pt>
                <c:pt idx="6">
                  <c:v>69.415155572423416</c:v>
                </c:pt>
                <c:pt idx="7">
                  <c:v>65.18445169991675</c:v>
                </c:pt>
                <c:pt idx="8">
                  <c:v>65.99056156533905</c:v>
                </c:pt>
                <c:pt idx="9">
                  <c:v>66.064672482627699</c:v>
                </c:pt>
                <c:pt idx="10">
                  <c:v>66.154645293507599</c:v>
                </c:pt>
                <c:pt idx="11">
                  <c:v>65.723622306922522</c:v>
                </c:pt>
                <c:pt idx="12">
                  <c:v>65.737935944113119</c:v>
                </c:pt>
                <c:pt idx="13">
                  <c:v>65.927586238457991</c:v>
                </c:pt>
                <c:pt idx="14">
                  <c:v>66.188745066748609</c:v>
                </c:pt>
                <c:pt idx="15">
                  <c:v>66.294151026564577</c:v>
                </c:pt>
                <c:pt idx="16">
                  <c:v>66.327025188153897</c:v>
                </c:pt>
                <c:pt idx="17">
                  <c:v>66.325738643857491</c:v>
                </c:pt>
                <c:pt idx="18">
                  <c:v>66.336724077457916</c:v>
                </c:pt>
                <c:pt idx="19">
                  <c:v>66.342263303237004</c:v>
                </c:pt>
                <c:pt idx="20">
                  <c:v>66.330009449850635</c:v>
                </c:pt>
                <c:pt idx="21">
                  <c:v>66.35157908730902</c:v>
                </c:pt>
                <c:pt idx="22">
                  <c:v>66.335539715069302</c:v>
                </c:pt>
                <c:pt idx="23">
                  <c:v>66.326108649857559</c:v>
                </c:pt>
                <c:pt idx="24">
                  <c:v>66.31070179473501</c:v>
                </c:pt>
                <c:pt idx="25">
                  <c:v>66.316025592094505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C3D-4F0C-A75A-38C35ADEECD8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37.710288835421537</c:v>
                </c:pt>
                <c:pt idx="1">
                  <c:v>37.600734991472073</c:v>
                </c:pt>
                <c:pt idx="2">
                  <c:v>37.666347228059976</c:v>
                </c:pt>
                <c:pt idx="3">
                  <c:v>35.014389717431321</c:v>
                </c:pt>
                <c:pt idx="4">
                  <c:v>38.76327715660566</c:v>
                </c:pt>
                <c:pt idx="5">
                  <c:v>37.86368362937651</c:v>
                </c:pt>
                <c:pt idx="6">
                  <c:v>40.690047695115965</c:v>
                </c:pt>
                <c:pt idx="7">
                  <c:v>39.297850977524007</c:v>
                </c:pt>
                <c:pt idx="8">
                  <c:v>40.193926798743938</c:v>
                </c:pt>
                <c:pt idx="9">
                  <c:v>39.74154361038277</c:v>
                </c:pt>
                <c:pt idx="10">
                  <c:v>33.643335164535806</c:v>
                </c:pt>
                <c:pt idx="11">
                  <c:v>37.801601360535862</c:v>
                </c:pt>
                <c:pt idx="12">
                  <c:v>37.71366191855013</c:v>
                </c:pt>
                <c:pt idx="13">
                  <c:v>37.858945708857803</c:v>
                </c:pt>
                <c:pt idx="14">
                  <c:v>38.016276918438656</c:v>
                </c:pt>
                <c:pt idx="15">
                  <c:v>38.00761082025749</c:v>
                </c:pt>
                <c:pt idx="16">
                  <c:v>37.975066658976104</c:v>
                </c:pt>
                <c:pt idx="17">
                  <c:v>37.957993266040958</c:v>
                </c:pt>
                <c:pt idx="18">
                  <c:v>37.938907241151824</c:v>
                </c:pt>
                <c:pt idx="19">
                  <c:v>37.917002420344467</c:v>
                </c:pt>
                <c:pt idx="20">
                  <c:v>37.901501220354554</c:v>
                </c:pt>
                <c:pt idx="21">
                  <c:v>37.877582072023479</c:v>
                </c:pt>
                <c:pt idx="22">
                  <c:v>37.873712985375882</c:v>
                </c:pt>
                <c:pt idx="23">
                  <c:v>37.898104297153552</c:v>
                </c:pt>
                <c:pt idx="24">
                  <c:v>37.973450742125955</c:v>
                </c:pt>
                <c:pt idx="25">
                  <c:v>38.048744257037569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3D-4F0C-A75A-38C35ADEECD8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solidFill>
              <a:schemeClr val="bg1"/>
            </a:solidFill>
            <a:ln w="12700" cmpd="sng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90.642337541079343</c:v>
                </c:pt>
                <c:pt idx="1">
                  <c:v>93.438330727116764</c:v>
                </c:pt>
                <c:pt idx="2">
                  <c:v>97.87176147479579</c:v>
                </c:pt>
                <c:pt idx="3">
                  <c:v>90.938152885949251</c:v>
                </c:pt>
                <c:pt idx="4">
                  <c:v>96.446618773996477</c:v>
                </c:pt>
                <c:pt idx="5">
                  <c:v>97.277648870906489</c:v>
                </c:pt>
                <c:pt idx="6">
                  <c:v>96.492882315804479</c:v>
                </c:pt>
                <c:pt idx="7">
                  <c:v>93.1699430466347</c:v>
                </c:pt>
                <c:pt idx="8">
                  <c:v>91.882599025353812</c:v>
                </c:pt>
                <c:pt idx="9">
                  <c:v>93.142138036950058</c:v>
                </c:pt>
                <c:pt idx="10">
                  <c:v>84.814320137323875</c:v>
                </c:pt>
                <c:pt idx="11">
                  <c:v>85.776164194219518</c:v>
                </c:pt>
                <c:pt idx="12">
                  <c:v>85.899233890989379</c:v>
                </c:pt>
                <c:pt idx="13">
                  <c:v>86.015317347013436</c:v>
                </c:pt>
                <c:pt idx="14">
                  <c:v>86.172869674639244</c:v>
                </c:pt>
                <c:pt idx="15">
                  <c:v>86.062380532069156</c:v>
                </c:pt>
                <c:pt idx="16">
                  <c:v>85.869201631070482</c:v>
                </c:pt>
                <c:pt idx="17">
                  <c:v>85.624038496478022</c:v>
                </c:pt>
                <c:pt idx="18">
                  <c:v>85.359969130211454</c:v>
                </c:pt>
                <c:pt idx="19">
                  <c:v>85.093787714244229</c:v>
                </c:pt>
                <c:pt idx="20">
                  <c:v>84.835337669458511</c:v>
                </c:pt>
                <c:pt idx="21">
                  <c:v>84.578179972903314</c:v>
                </c:pt>
                <c:pt idx="22">
                  <c:v>84.306337004203314</c:v>
                </c:pt>
                <c:pt idx="23">
                  <c:v>84.073379447366108</c:v>
                </c:pt>
                <c:pt idx="24">
                  <c:v>83.790275810752718</c:v>
                </c:pt>
                <c:pt idx="25">
                  <c:v>83.448184336130424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3D-4F0C-A75A-38C35ADEE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2512"/>
        <c:axId val="250342904"/>
      </c:areaChart>
      <c:catAx>
        <c:axId val="2503425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9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03429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5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0886092785699087E-2"/>
          <c:y val="0.85872628043372545"/>
          <c:w val="0.9100947010002125"/>
          <c:h val="0.1343519039515061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T1'!$F$6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T1'!$F$8:$F$16</c:f>
              <c:numCache>
                <c:formatCode>#,##0</c:formatCode>
                <c:ptCount val="9"/>
                <c:pt idx="0">
                  <c:v>126.94944921209097</c:v>
                </c:pt>
                <c:pt idx="1">
                  <c:v>246.52999555946499</c:v>
                </c:pt>
                <c:pt idx="2">
                  <c:v>130.52666710307909</c:v>
                </c:pt>
                <c:pt idx="3">
                  <c:v>73.324556568201245</c:v>
                </c:pt>
                <c:pt idx="4">
                  <c:v>71.783414885921047</c:v>
                </c:pt>
                <c:pt idx="5">
                  <c:v>88.550962485980079</c:v>
                </c:pt>
                <c:pt idx="6">
                  <c:v>66.316025592094505</c:v>
                </c:pt>
                <c:pt idx="7">
                  <c:v>38.048744257037569</c:v>
                </c:pt>
                <c:pt idx="8">
                  <c:v>83.448184336130424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CB-48C7-87FF-8D2305D66F7C}"/>
            </c:ext>
          </c:extLst>
        </c:ser>
        <c:ser>
          <c:idx val="1"/>
          <c:order val="1"/>
          <c:tx>
            <c:strRef>
              <c:f>'Occ T1'!$D$6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T1'!$D$8:$D$16</c:f>
              <c:numCache>
                <c:formatCode>#,##0</c:formatCode>
                <c:ptCount val="9"/>
                <c:pt idx="0">
                  <c:v>109.92994578235215</c:v>
                </c:pt>
                <c:pt idx="1">
                  <c:v>210.18095966500374</c:v>
                </c:pt>
                <c:pt idx="2">
                  <c:v>124.08566971596375</c:v>
                </c:pt>
                <c:pt idx="3">
                  <c:v>88.379330022516001</c:v>
                </c:pt>
                <c:pt idx="4">
                  <c:v>68.523564362064846</c:v>
                </c:pt>
                <c:pt idx="5">
                  <c:v>78.928229856731903</c:v>
                </c:pt>
                <c:pt idx="6">
                  <c:v>66.154645293507599</c:v>
                </c:pt>
                <c:pt idx="7">
                  <c:v>33.643335164535806</c:v>
                </c:pt>
                <c:pt idx="8">
                  <c:v>84.814320137323875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CB-48C7-87FF-8D2305D66F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3688"/>
        <c:axId val="250344080"/>
      </c:radarChart>
      <c:catAx>
        <c:axId val="25034368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080"/>
        <c:crosses val="autoZero"/>
        <c:auto val="1"/>
        <c:lblAlgn val="ctr"/>
        <c:lblOffset val="100"/>
        <c:noMultiLvlLbl val="0"/>
      </c:catAx>
      <c:valAx>
        <c:axId val="250344080"/>
        <c:scaling>
          <c:orientation val="minMax"/>
        </c:scaling>
        <c:delete val="0"/>
        <c:axPos val="l"/>
        <c:majorGridlines/>
        <c:numFmt formatCode="#,##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3688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sz="900"/>
              <a:t>% of total employment</a:t>
            </a:r>
          </a:p>
        </c:rich>
      </c:tx>
      <c:layout>
        <c:manualLayout>
          <c:xMode val="edge"/>
          <c:yMode val="edge"/>
          <c:x val="0.72238188976377971"/>
          <c:y val="5.5555555555555455E-2"/>
        </c:manualLayout>
      </c:layout>
      <c:overlay val="0"/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T1'!$F$24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T1'!$F$26:$F$34</c:f>
              <c:numCache>
                <c:formatCode>0.0</c:formatCode>
                <c:ptCount val="9"/>
                <c:pt idx="0">
                  <c:v>13.717176336130191</c:v>
                </c:pt>
                <c:pt idx="1">
                  <c:v>26.638125980246418</c:v>
                </c:pt>
                <c:pt idx="2">
                  <c:v>14.103702854425398</c:v>
                </c:pt>
                <c:pt idx="3">
                  <c:v>7.9228848841572939</c:v>
                </c:pt>
                <c:pt idx="4">
                  <c:v>7.7563610248888732</c:v>
                </c:pt>
                <c:pt idx="5">
                  <c:v>9.5681326283261274</c:v>
                </c:pt>
                <c:pt idx="6">
                  <c:v>7.1655971932444089</c:v>
                </c:pt>
                <c:pt idx="7">
                  <c:v>4.111253239627259</c:v>
                </c:pt>
                <c:pt idx="8">
                  <c:v>9.0167658589540132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9F-433A-BBDE-5FE09C22A8FF}"/>
            </c:ext>
          </c:extLst>
        </c:ser>
        <c:ser>
          <c:idx val="1"/>
          <c:order val="1"/>
          <c:tx>
            <c:strRef>
              <c:f>'Occ T1'!$D$24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T1'!$D$26:$D$34</c:f>
              <c:numCache>
                <c:formatCode>0.0</c:formatCode>
                <c:ptCount val="9"/>
                <c:pt idx="0">
                  <c:v>12.713955609542953</c:v>
                </c:pt>
                <c:pt idx="1">
                  <c:v>24.308493669620169</c:v>
                </c:pt>
                <c:pt idx="2">
                  <c:v>14.351136856491001</c:v>
                </c:pt>
                <c:pt idx="3">
                  <c:v>10.221517628436811</c:v>
                </c:pt>
                <c:pt idx="4">
                  <c:v>7.9250976547539871</c:v>
                </c:pt>
                <c:pt idx="5">
                  <c:v>9.128449974177915</c:v>
                </c:pt>
                <c:pt idx="6">
                  <c:v>7.6511201533016768</c:v>
                </c:pt>
                <c:pt idx="7">
                  <c:v>3.8910222941959449</c:v>
                </c:pt>
                <c:pt idx="8">
                  <c:v>9.8092061594795421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9F-433A-BBDE-5FE09C22A8FF}"/>
            </c:ext>
          </c:extLst>
        </c:ser>
        <c:ser>
          <c:idx val="2"/>
          <c:order val="2"/>
          <c:tx>
            <c:strRef>
              <c:f>'Occ T1'!$B$24</c:f>
              <c:strCache>
                <c:ptCount val="1"/>
                <c:pt idx="0">
                  <c:v>2015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T1'!$B$26:$B$34</c:f>
              <c:numCache>
                <c:formatCode>0.0</c:formatCode>
                <c:ptCount val="9"/>
                <c:pt idx="0">
                  <c:v>11.540211405399981</c:v>
                </c:pt>
                <c:pt idx="1">
                  <c:v>21.665160439704444</c:v>
                </c:pt>
                <c:pt idx="2">
                  <c:v>13.648748003813452</c:v>
                </c:pt>
                <c:pt idx="3">
                  <c:v>10.863318185085941</c:v>
                </c:pt>
                <c:pt idx="4">
                  <c:v>9.4117972478472911</c:v>
                </c:pt>
                <c:pt idx="5">
                  <c:v>9.426802538292641</c:v>
                </c:pt>
                <c:pt idx="6">
                  <c:v>7.8207770537260091</c:v>
                </c:pt>
                <c:pt idx="7">
                  <c:v>4.3772791636321768</c:v>
                </c:pt>
                <c:pt idx="8">
                  <c:v>11.245905962498078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49F-433A-BBDE-5FE09C22A8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4864"/>
        <c:axId val="250345256"/>
      </c:radarChart>
      <c:catAx>
        <c:axId val="250344864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5256"/>
        <c:crosses val="autoZero"/>
        <c:auto val="1"/>
        <c:lblAlgn val="ctr"/>
        <c:lblOffset val="100"/>
        <c:noMultiLvlLbl val="0"/>
      </c:catAx>
      <c:valAx>
        <c:axId val="250345256"/>
        <c:scaling>
          <c:orientation val="minMax"/>
        </c:scaling>
        <c:delete val="0"/>
        <c:axPos val="l"/>
        <c:majorGridlines/>
        <c:numFmt formatCode="0.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864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 orientation="portrait"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F2'!$L$52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F2'!$M$52:$AL$52</c:f>
              <c:numCache>
                <c:formatCode>0%</c:formatCode>
                <c:ptCount val="26"/>
                <c:pt idx="0">
                  <c:v>0.10113881960888013</c:v>
                </c:pt>
                <c:pt idx="1">
                  <c:v>0.11060492323541568</c:v>
                </c:pt>
                <c:pt idx="2">
                  <c:v>0.11270388733698808</c:v>
                </c:pt>
                <c:pt idx="3">
                  <c:v>0.11611835756143546</c:v>
                </c:pt>
                <c:pt idx="4">
                  <c:v>0.11489916327102206</c:v>
                </c:pt>
                <c:pt idx="5">
                  <c:v>0.11540211405399982</c:v>
                </c:pt>
                <c:pt idx="6">
                  <c:v>0.1181109085378966</c:v>
                </c:pt>
                <c:pt idx="7">
                  <c:v>0.11967382061919875</c:v>
                </c:pt>
                <c:pt idx="8">
                  <c:v>0.12211125267255296</c:v>
                </c:pt>
                <c:pt idx="9">
                  <c:v>0.12455628473301589</c:v>
                </c:pt>
                <c:pt idx="10">
                  <c:v>0.12713955609542954</c:v>
                </c:pt>
                <c:pt idx="11">
                  <c:v>0.12373873996170838</c:v>
                </c:pt>
                <c:pt idx="12">
                  <c:v>0.1247946125940851</c:v>
                </c:pt>
                <c:pt idx="13">
                  <c:v>0.12582152342438913</c:v>
                </c:pt>
                <c:pt idx="14">
                  <c:v>0.1268031799536109</c:v>
                </c:pt>
                <c:pt idx="15">
                  <c:v>0.12774708738422955</c:v>
                </c:pt>
                <c:pt idx="16">
                  <c:v>0.12870206839585518</c:v>
                </c:pt>
                <c:pt idx="17">
                  <c:v>0.12967047053061304</c:v>
                </c:pt>
                <c:pt idx="18">
                  <c:v>0.13060879137227988</c:v>
                </c:pt>
                <c:pt idx="19">
                  <c:v>0.13152348054326632</c:v>
                </c:pt>
                <c:pt idx="20">
                  <c:v>0.13244578198712742</c:v>
                </c:pt>
                <c:pt idx="21">
                  <c:v>0.13334827145363828</c:v>
                </c:pt>
                <c:pt idx="22">
                  <c:v>0.13429348567569654</c:v>
                </c:pt>
                <c:pt idx="23">
                  <c:v>0.13519502508769668</c:v>
                </c:pt>
                <c:pt idx="24">
                  <c:v>0.13621150739768215</c:v>
                </c:pt>
                <c:pt idx="25">
                  <c:v>0.13717176336130191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9AAC-4C4B-BBFD-BAF66A5040A1}"/>
            </c:ext>
          </c:extLst>
        </c:ser>
        <c:ser>
          <c:idx val="1"/>
          <c:order val="1"/>
          <c:tx>
            <c:strRef>
              <c:f>'Occ F2'!$L$56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F2'!$M$56:$AL$56</c:f>
              <c:numCache>
                <c:formatCode>0%</c:formatCode>
                <c:ptCount val="26"/>
                <c:pt idx="0">
                  <c:v>0.22277807904317382</c:v>
                </c:pt>
                <c:pt idx="1">
                  <c:v>0.21487608622509813</c:v>
                </c:pt>
                <c:pt idx="2">
                  <c:v>0.21365488017596723</c:v>
                </c:pt>
                <c:pt idx="3">
                  <c:v>0.22087337274161231</c:v>
                </c:pt>
                <c:pt idx="4">
                  <c:v>0.21589810904879442</c:v>
                </c:pt>
                <c:pt idx="5">
                  <c:v>0.21665160439704445</c:v>
                </c:pt>
                <c:pt idx="6">
                  <c:v>0.22459771546483193</c:v>
                </c:pt>
                <c:pt idx="7">
                  <c:v>0.21638576143914037</c:v>
                </c:pt>
                <c:pt idx="8">
                  <c:v>0.225112186887511</c:v>
                </c:pt>
                <c:pt idx="9">
                  <c:v>0.23229121155315846</c:v>
                </c:pt>
                <c:pt idx="10">
                  <c:v>0.24308493669620168</c:v>
                </c:pt>
                <c:pt idx="11">
                  <c:v>0.24939906139782214</c:v>
                </c:pt>
                <c:pt idx="12">
                  <c:v>0.2503655610818229</c:v>
                </c:pt>
                <c:pt idx="13">
                  <c:v>0.25149239874546547</c:v>
                </c:pt>
                <c:pt idx="14">
                  <c:v>0.25263601885641979</c:v>
                </c:pt>
                <c:pt idx="15">
                  <c:v>0.25389329757278933</c:v>
                </c:pt>
                <c:pt idx="16">
                  <c:v>0.25518799637209194</c:v>
                </c:pt>
                <c:pt idx="17">
                  <c:v>0.25649494733553385</c:v>
                </c:pt>
                <c:pt idx="18">
                  <c:v>0.25776670124930801</c:v>
                </c:pt>
                <c:pt idx="19">
                  <c:v>0.25901575362616147</c:v>
                </c:pt>
                <c:pt idx="20">
                  <c:v>0.26025801012020783</c:v>
                </c:pt>
                <c:pt idx="21">
                  <c:v>0.26144527335661516</c:v>
                </c:pt>
                <c:pt idx="22">
                  <c:v>0.26263952580439548</c:v>
                </c:pt>
                <c:pt idx="23">
                  <c:v>0.26387620772961434</c:v>
                </c:pt>
                <c:pt idx="24">
                  <c:v>0.26517456739685302</c:v>
                </c:pt>
                <c:pt idx="25">
                  <c:v>0.26638125980246419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9AAC-4C4B-BBFD-BAF66A5040A1}"/>
            </c:ext>
          </c:extLst>
        </c:ser>
        <c:ser>
          <c:idx val="2"/>
          <c:order val="2"/>
          <c:tx>
            <c:strRef>
              <c:f>'Occ F2'!$L$62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F2'!$M$62:$AL$62</c:f>
              <c:numCache>
                <c:formatCode>0%</c:formatCode>
                <c:ptCount val="26"/>
                <c:pt idx="0">
                  <c:v>0.13245662817320245</c:v>
                </c:pt>
                <c:pt idx="1">
                  <c:v>0.13375785909349475</c:v>
                </c:pt>
                <c:pt idx="2">
                  <c:v>0.13557198915410257</c:v>
                </c:pt>
                <c:pt idx="3">
                  <c:v>0.13445278656036783</c:v>
                </c:pt>
                <c:pt idx="4">
                  <c:v>0.13498751315880478</c:v>
                </c:pt>
                <c:pt idx="5">
                  <c:v>0.13648748003813452</c:v>
                </c:pt>
                <c:pt idx="6">
                  <c:v>0.13562769307484399</c:v>
                </c:pt>
                <c:pt idx="7">
                  <c:v>0.13761657416716463</c:v>
                </c:pt>
                <c:pt idx="8">
                  <c:v>0.13861983289454005</c:v>
                </c:pt>
                <c:pt idx="9">
                  <c:v>0.13604798162826509</c:v>
                </c:pt>
                <c:pt idx="10">
                  <c:v>0.14351136856491001</c:v>
                </c:pt>
                <c:pt idx="11">
                  <c:v>0.1357597479118019</c:v>
                </c:pt>
                <c:pt idx="12">
                  <c:v>0.13621522127619526</c:v>
                </c:pt>
                <c:pt idx="13">
                  <c:v>0.13658679847513952</c:v>
                </c:pt>
                <c:pt idx="14">
                  <c:v>0.13699556799585533</c:v>
                </c:pt>
                <c:pt idx="15">
                  <c:v>0.13738780649087731</c:v>
                </c:pt>
                <c:pt idx="16">
                  <c:v>0.13778703327288436</c:v>
                </c:pt>
                <c:pt idx="17">
                  <c:v>0.13814121047311301</c:v>
                </c:pt>
                <c:pt idx="18">
                  <c:v>0.13851253216544354</c:v>
                </c:pt>
                <c:pt idx="19">
                  <c:v>0.13889937998645704</c:v>
                </c:pt>
                <c:pt idx="20">
                  <c:v>0.13927337498694872</c:v>
                </c:pt>
                <c:pt idx="21">
                  <c:v>0.13960398105399105</c:v>
                </c:pt>
                <c:pt idx="22">
                  <c:v>0.13996735561262455</c:v>
                </c:pt>
                <c:pt idx="23">
                  <c:v>0.14032050319172074</c:v>
                </c:pt>
                <c:pt idx="24">
                  <c:v>0.1407154444909367</c:v>
                </c:pt>
                <c:pt idx="25">
                  <c:v>0.14103702854425398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9AAC-4C4B-BBFD-BAF66A5040A1}"/>
            </c:ext>
          </c:extLst>
        </c:ser>
        <c:ser>
          <c:idx val="3"/>
          <c:order val="3"/>
          <c:tx>
            <c:strRef>
              <c:f>'Occ F2'!$L$69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F2'!$M$69:$AL$69</c:f>
              <c:numCache>
                <c:formatCode>0%</c:formatCode>
                <c:ptCount val="26"/>
                <c:pt idx="0">
                  <c:v>0.1208313094346362</c:v>
                </c:pt>
                <c:pt idx="1">
                  <c:v>0.11518894782391868</c:v>
                </c:pt>
                <c:pt idx="2">
                  <c:v>0.11342480876474141</c:v>
                </c:pt>
                <c:pt idx="3">
                  <c:v>0.11086188505381535</c:v>
                </c:pt>
                <c:pt idx="4">
                  <c:v>0.10985482046605442</c:v>
                </c:pt>
                <c:pt idx="5">
                  <c:v>0.10863318185085941</c:v>
                </c:pt>
                <c:pt idx="6">
                  <c:v>0.10295136647464091</c:v>
                </c:pt>
                <c:pt idx="7">
                  <c:v>0.10491611600743134</c:v>
                </c:pt>
                <c:pt idx="8">
                  <c:v>0.10575605630741926</c:v>
                </c:pt>
                <c:pt idx="9">
                  <c:v>9.915601446674617E-2</c:v>
                </c:pt>
                <c:pt idx="10">
                  <c:v>0.1022151762843681</c:v>
                </c:pt>
                <c:pt idx="11">
                  <c:v>9.8308942816287812E-2</c:v>
                </c:pt>
                <c:pt idx="12">
                  <c:v>9.6883590454022367E-2</c:v>
                </c:pt>
                <c:pt idx="13">
                  <c:v>9.538751980387232E-2</c:v>
                </c:pt>
                <c:pt idx="14">
                  <c:v>9.3922594911623053E-2</c:v>
                </c:pt>
                <c:pt idx="15">
                  <c:v>9.2494569944382626E-2</c:v>
                </c:pt>
                <c:pt idx="16">
                  <c:v>9.1097575755283031E-2</c:v>
                </c:pt>
                <c:pt idx="17">
                  <c:v>8.9715537273142784E-2</c:v>
                </c:pt>
                <c:pt idx="18">
                  <c:v>8.8339949391265202E-2</c:v>
                </c:pt>
                <c:pt idx="19">
                  <c:v>8.6987101153213661E-2</c:v>
                </c:pt>
                <c:pt idx="20">
                  <c:v>8.5720902717016711E-2</c:v>
                </c:pt>
                <c:pt idx="21">
                  <c:v>8.455078919321582E-2</c:v>
                </c:pt>
                <c:pt idx="22">
                  <c:v>8.3324499621989331E-2</c:v>
                </c:pt>
                <c:pt idx="23">
                  <c:v>8.2046841675478308E-2</c:v>
                </c:pt>
                <c:pt idx="24">
                  <c:v>8.0487973987582742E-2</c:v>
                </c:pt>
                <c:pt idx="25">
                  <c:v>7.9228848841572941E-2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9AAC-4C4B-BBFD-BAF66A5040A1}"/>
            </c:ext>
          </c:extLst>
        </c:ser>
        <c:ser>
          <c:idx val="4"/>
          <c:order val="4"/>
          <c:tx>
            <c:strRef>
              <c:f>'Occ F2'!$L$73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F2'!$M$73:$AL$73</c:f>
              <c:numCache>
                <c:formatCode>0%</c:formatCode>
                <c:ptCount val="26"/>
                <c:pt idx="0">
                  <c:v>9.6807693459175684E-2</c:v>
                </c:pt>
                <c:pt idx="1">
                  <c:v>9.4440996285262882E-2</c:v>
                </c:pt>
                <c:pt idx="2">
                  <c:v>9.1340160551058064E-2</c:v>
                </c:pt>
                <c:pt idx="3">
                  <c:v>9.1887598059657433E-2</c:v>
                </c:pt>
                <c:pt idx="4">
                  <c:v>9.5944644327327008E-2</c:v>
                </c:pt>
                <c:pt idx="5">
                  <c:v>9.4117972478472908E-2</c:v>
                </c:pt>
                <c:pt idx="6">
                  <c:v>9.3724621743282846E-2</c:v>
                </c:pt>
                <c:pt idx="7">
                  <c:v>9.5571392751271078E-2</c:v>
                </c:pt>
                <c:pt idx="8">
                  <c:v>8.6742842709539553E-2</c:v>
                </c:pt>
                <c:pt idx="9">
                  <c:v>8.8211362974751753E-2</c:v>
                </c:pt>
                <c:pt idx="10">
                  <c:v>7.9250976547539875E-2</c:v>
                </c:pt>
                <c:pt idx="11">
                  <c:v>8.1239440976640306E-2</c:v>
                </c:pt>
                <c:pt idx="12">
                  <c:v>8.1104547569375671E-2</c:v>
                </c:pt>
                <c:pt idx="13">
                  <c:v>8.1144883735905587E-2</c:v>
                </c:pt>
                <c:pt idx="14">
                  <c:v>8.1062971923766214E-2</c:v>
                </c:pt>
                <c:pt idx="15">
                  <c:v>8.0796142670152143E-2</c:v>
                </c:pt>
                <c:pt idx="16">
                  <c:v>8.0484613267198427E-2</c:v>
                </c:pt>
                <c:pt idx="17">
                  <c:v>8.0122675888162298E-2</c:v>
                </c:pt>
                <c:pt idx="18">
                  <c:v>7.9812504244404059E-2</c:v>
                </c:pt>
                <c:pt idx="19">
                  <c:v>7.9495570959095846E-2</c:v>
                </c:pt>
                <c:pt idx="20">
                  <c:v>7.9187720332258141E-2</c:v>
                </c:pt>
                <c:pt idx="21">
                  <c:v>7.8865716917198778E-2</c:v>
                </c:pt>
                <c:pt idx="22">
                  <c:v>7.8526799438893707E-2</c:v>
                </c:pt>
                <c:pt idx="23">
                  <c:v>7.8172082114733227E-2</c:v>
                </c:pt>
                <c:pt idx="24">
                  <c:v>7.7886534749657718E-2</c:v>
                </c:pt>
                <c:pt idx="25">
                  <c:v>7.7563610248888734E-2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9AAC-4C4B-BBFD-BAF66A5040A1}"/>
            </c:ext>
          </c:extLst>
        </c:ser>
        <c:ser>
          <c:idx val="5"/>
          <c:order val="5"/>
          <c:tx>
            <c:strRef>
              <c:f>'Occ F2'!$L$79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F2'!$M$79:$AL$79</c:f>
              <c:numCache>
                <c:formatCode>0%</c:formatCode>
                <c:ptCount val="26"/>
                <c:pt idx="0">
                  <c:v>8.9966096533010478E-2</c:v>
                </c:pt>
                <c:pt idx="1">
                  <c:v>8.952575821052472E-2</c:v>
                </c:pt>
                <c:pt idx="2">
                  <c:v>8.7713820284434835E-2</c:v>
                </c:pt>
                <c:pt idx="3">
                  <c:v>8.9362531444119764E-2</c:v>
                </c:pt>
                <c:pt idx="4">
                  <c:v>8.8850223584918051E-2</c:v>
                </c:pt>
                <c:pt idx="5">
                  <c:v>9.4268025382926418E-2</c:v>
                </c:pt>
                <c:pt idx="6">
                  <c:v>9.1237938714646138E-2</c:v>
                </c:pt>
                <c:pt idx="7">
                  <c:v>9.4694396036951928E-2</c:v>
                </c:pt>
                <c:pt idx="8">
                  <c:v>9.1943717157802182E-2</c:v>
                </c:pt>
                <c:pt idx="9">
                  <c:v>9.4286887314788723E-2</c:v>
                </c:pt>
                <c:pt idx="10">
                  <c:v>9.1284499741779157E-2</c:v>
                </c:pt>
                <c:pt idx="11">
                  <c:v>9.3362601742177559E-2</c:v>
                </c:pt>
                <c:pt idx="12">
                  <c:v>9.3427000755595291E-2</c:v>
                </c:pt>
                <c:pt idx="13">
                  <c:v>9.3472868671752016E-2</c:v>
                </c:pt>
                <c:pt idx="14">
                  <c:v>9.3573215800336049E-2</c:v>
                </c:pt>
                <c:pt idx="15">
                  <c:v>9.3783994453388184E-2</c:v>
                </c:pt>
                <c:pt idx="16">
                  <c:v>9.3985210074122513E-2</c:v>
                </c:pt>
                <c:pt idx="17">
                  <c:v>9.4197441047720418E-2</c:v>
                </c:pt>
                <c:pt idx="18">
                  <c:v>9.4398118310411658E-2</c:v>
                </c:pt>
                <c:pt idx="19">
                  <c:v>9.4608566272260122E-2</c:v>
                </c:pt>
                <c:pt idx="20">
                  <c:v>9.4804548212782835E-2</c:v>
                </c:pt>
                <c:pt idx="21">
                  <c:v>9.4977476832746793E-2</c:v>
                </c:pt>
                <c:pt idx="22">
                  <c:v>9.51642850673899E-2</c:v>
                </c:pt>
                <c:pt idx="23">
                  <c:v>9.5349641269549562E-2</c:v>
                </c:pt>
                <c:pt idx="24">
                  <c:v>9.5519441888642045E-2</c:v>
                </c:pt>
                <c:pt idx="25">
                  <c:v>9.5681326283261273E-2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9AAC-4C4B-BBFD-BAF66A5040A1}"/>
            </c:ext>
          </c:extLst>
        </c:ser>
        <c:ser>
          <c:idx val="6"/>
          <c:order val="6"/>
          <c:tx>
            <c:strRef>
              <c:f>'Occ F2'!$L$84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F2'!$M$84:$AL$84</c:f>
              <c:numCache>
                <c:formatCode>0%</c:formatCode>
                <c:ptCount val="26"/>
                <c:pt idx="0">
                  <c:v>7.5940372826865041E-2</c:v>
                </c:pt>
                <c:pt idx="1">
                  <c:v>8.071627728902607E-2</c:v>
                </c:pt>
                <c:pt idx="2">
                  <c:v>8.3033804333151925E-2</c:v>
                </c:pt>
                <c:pt idx="3">
                  <c:v>8.2538375085055543E-2</c:v>
                </c:pt>
                <c:pt idx="4">
                  <c:v>7.927325608625542E-2</c:v>
                </c:pt>
                <c:pt idx="5">
                  <c:v>7.8207770537260093E-2</c:v>
                </c:pt>
                <c:pt idx="6">
                  <c:v>7.8537880112670946E-2</c:v>
                </c:pt>
                <c:pt idx="7">
                  <c:v>7.622913922377042E-2</c:v>
                </c:pt>
                <c:pt idx="8">
                  <c:v>7.6534488433334172E-2</c:v>
                </c:pt>
                <c:pt idx="9">
                  <c:v>7.4865145161508093E-2</c:v>
                </c:pt>
                <c:pt idx="10">
                  <c:v>7.6511201533016771E-2</c:v>
                </c:pt>
                <c:pt idx="11">
                  <c:v>7.5753979466088972E-2</c:v>
                </c:pt>
                <c:pt idx="12">
                  <c:v>7.5409766346403853E-2</c:v>
                </c:pt>
                <c:pt idx="13">
                  <c:v>7.5060155338492307E-2</c:v>
                </c:pt>
                <c:pt idx="14">
                  <c:v>7.4751364350352789E-2</c:v>
                </c:pt>
                <c:pt idx="15">
                  <c:v>7.4489484063197622E-2</c:v>
                </c:pt>
                <c:pt idx="16">
                  <c:v>7.4203836652671634E-2</c:v>
                </c:pt>
                <c:pt idx="17">
                  <c:v>7.3921959167956741E-2</c:v>
                </c:pt>
                <c:pt idx="18">
                  <c:v>7.3656811678920742E-2</c:v>
                </c:pt>
                <c:pt idx="19">
                  <c:v>7.3390544406996036E-2</c:v>
                </c:pt>
                <c:pt idx="20">
                  <c:v>7.3080933789598623E-2</c:v>
                </c:pt>
                <c:pt idx="21">
                  <c:v>7.2818199273820675E-2</c:v>
                </c:pt>
                <c:pt idx="22">
                  <c:v>7.2517591907600348E-2</c:v>
                </c:pt>
                <c:pt idx="23">
                  <c:v>7.2223362900796298E-2</c:v>
                </c:pt>
                <c:pt idx="24">
                  <c:v>7.1927287927098335E-2</c:v>
                </c:pt>
                <c:pt idx="25">
                  <c:v>7.1655971932444093E-2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9AAC-4C4B-BBFD-BAF66A5040A1}"/>
            </c:ext>
          </c:extLst>
        </c:ser>
        <c:ser>
          <c:idx val="7"/>
          <c:order val="7"/>
          <c:tx>
            <c:strRef>
              <c:f>'Occ F2'!$L$88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F2'!$M$88:$AL$88</c:f>
              <c:numCache>
                <c:formatCode>0%</c:formatCode>
                <c:ptCount val="26"/>
                <c:pt idx="0">
                  <c:v>4.7032156273053273E-2</c:v>
                </c:pt>
                <c:pt idx="1">
                  <c:v>4.6166006511578192E-2</c:v>
                </c:pt>
                <c:pt idx="2">
                  <c:v>4.5174860849926217E-2</c:v>
                </c:pt>
                <c:pt idx="3">
                  <c:v>4.2785106292485053E-2</c:v>
                </c:pt>
                <c:pt idx="4">
                  <c:v>4.5954134107634131E-2</c:v>
                </c:pt>
                <c:pt idx="5">
                  <c:v>4.3772791636321771E-2</c:v>
                </c:pt>
                <c:pt idx="6">
                  <c:v>4.6037642087017688E-2</c:v>
                </c:pt>
                <c:pt idx="7">
                  <c:v>4.5956378787251284E-2</c:v>
                </c:pt>
                <c:pt idx="8">
                  <c:v>4.6616084977893359E-2</c:v>
                </c:pt>
                <c:pt idx="9">
                  <c:v>4.5035513225560625E-2</c:v>
                </c:pt>
                <c:pt idx="10">
                  <c:v>3.8910222941959449E-2</c:v>
                </c:pt>
                <c:pt idx="11">
                  <c:v>4.3570662004575725E-2</c:v>
                </c:pt>
                <c:pt idx="12">
                  <c:v>4.3262362781863621E-2</c:v>
                </c:pt>
                <c:pt idx="13">
                  <c:v>4.3103327574895288E-2</c:v>
                </c:pt>
                <c:pt idx="14">
                  <c:v>4.2934317070195384E-2</c:v>
                </c:pt>
                <c:pt idx="15">
                  <c:v>4.2706140385466544E-2</c:v>
                </c:pt>
                <c:pt idx="16">
                  <c:v>4.2484879055607938E-2</c:v>
                </c:pt>
                <c:pt idx="17">
                  <c:v>4.2305284278499583E-2</c:v>
                </c:pt>
                <c:pt idx="18">
                  <c:v>4.2125368486731714E-2</c:v>
                </c:pt>
                <c:pt idx="19">
                  <c:v>4.194534993765716E-2</c:v>
                </c:pt>
                <c:pt idx="20">
                  <c:v>4.1759033719199326E-2</c:v>
                </c:pt>
                <c:pt idx="21">
                  <c:v>4.1569128531240278E-2</c:v>
                </c:pt>
                <c:pt idx="22">
                  <c:v>4.1403303177996953E-2</c:v>
                </c:pt>
                <c:pt idx="23">
                  <c:v>4.1267738988806583E-2</c:v>
                </c:pt>
                <c:pt idx="24">
                  <c:v>4.1189841928821865E-2</c:v>
                </c:pt>
                <c:pt idx="25">
                  <c:v>4.1112532396272591E-2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9AAC-4C4B-BBFD-BAF66A5040A1}"/>
            </c:ext>
          </c:extLst>
        </c:ser>
        <c:ser>
          <c:idx val="8"/>
          <c:order val="8"/>
          <c:tx>
            <c:strRef>
              <c:f>'Occ F2'!$L$92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F2'!$M$92:$AL$92</c:f>
              <c:numCache>
                <c:formatCode>0%</c:formatCode>
                <c:ptCount val="26"/>
                <c:pt idx="0">
                  <c:v>0.11304884464800288</c:v>
                </c:pt>
                <c:pt idx="1">
                  <c:v>0.11472314532568098</c:v>
                </c:pt>
                <c:pt idx="2">
                  <c:v>0.11738178854962977</c:v>
                </c:pt>
                <c:pt idx="3">
                  <c:v>0.11111998720145126</c:v>
                </c:pt>
                <c:pt idx="4">
                  <c:v>0.11433813594918971</c:v>
                </c:pt>
                <c:pt idx="5">
                  <c:v>0.11245905962498079</c:v>
                </c:pt>
                <c:pt idx="6">
                  <c:v>0.10917423379016918</c:v>
                </c:pt>
                <c:pt idx="7">
                  <c:v>0.10895642096782027</c:v>
                </c:pt>
                <c:pt idx="8">
                  <c:v>0.10656353795940747</c:v>
                </c:pt>
                <c:pt idx="9">
                  <c:v>0.10554959894220516</c:v>
                </c:pt>
                <c:pt idx="10">
                  <c:v>9.8092061594795416E-2</c:v>
                </c:pt>
                <c:pt idx="11">
                  <c:v>9.8866823722897165E-2</c:v>
                </c:pt>
                <c:pt idx="12">
                  <c:v>9.8537337140635936E-2</c:v>
                </c:pt>
                <c:pt idx="13">
                  <c:v>9.7930524230088203E-2</c:v>
                </c:pt>
                <c:pt idx="14">
                  <c:v>9.7320769137840574E-2</c:v>
                </c:pt>
                <c:pt idx="15">
                  <c:v>9.6701477035516764E-2</c:v>
                </c:pt>
                <c:pt idx="16">
                  <c:v>9.6066787154284988E-2</c:v>
                </c:pt>
                <c:pt idx="17">
                  <c:v>9.5430474005258392E-2</c:v>
                </c:pt>
                <c:pt idx="18">
                  <c:v>9.4779223101235335E-2</c:v>
                </c:pt>
                <c:pt idx="19">
                  <c:v>9.413425311489218E-2</c:v>
                </c:pt>
                <c:pt idx="20">
                  <c:v>9.346969413486042E-2</c:v>
                </c:pt>
                <c:pt idx="21">
                  <c:v>9.2821163387533212E-2</c:v>
                </c:pt>
                <c:pt idx="22">
                  <c:v>9.2163153693413116E-2</c:v>
                </c:pt>
                <c:pt idx="23">
                  <c:v>9.1548597041604243E-2</c:v>
                </c:pt>
                <c:pt idx="24">
                  <c:v>9.0887400232725554E-2</c:v>
                </c:pt>
                <c:pt idx="25">
                  <c:v>9.0167658589540123E-2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9AAC-4C4B-BBFD-BAF66A5040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1400"/>
                  <a:t>%</a:t>
                </a:r>
              </a:p>
            </c:rich>
          </c:tx>
          <c:layout>
            <c:manualLayout>
              <c:xMode val="edge"/>
              <c:yMode val="edge"/>
              <c:x val="3.6734544583954032E-2"/>
              <c:y val="8.1044128159058985E-3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F3'!$X$3</c:f>
          <c:strCache>
            <c:ptCount val="1"/>
            <c:pt idx="0">
              <c:v>2015-2019</c:v>
            </c:pt>
          </c:strCache>
        </c:strRef>
      </c:tx>
      <c:layout>
        <c:manualLayout>
          <c:xMode val="edge"/>
          <c:yMode val="edge"/>
          <c:x val="0.64754427755354116"/>
          <c:y val="3.378378378378378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52891197423851433"/>
          <c:y val="0.11438438438438442"/>
          <c:w val="0.43259004389157235"/>
          <c:h val="0.81895415100139513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F3'!$X$4:$X$12</c:f>
              <c:numCache>
                <c:formatCode>#,##0</c:formatCode>
                <c:ptCount val="9"/>
                <c:pt idx="0">
                  <c:v>10.091163239085105</c:v>
                </c:pt>
                <c:pt idx="1">
                  <c:v>17.580426282407842</c:v>
                </c:pt>
                <c:pt idx="2">
                  <c:v>1.9930526694944319</c:v>
                </c:pt>
                <c:pt idx="3">
                  <c:v>-6.4681196567368886</c:v>
                </c:pt>
                <c:pt idx="4">
                  <c:v>-3.5704877380347</c:v>
                </c:pt>
                <c:pt idx="5">
                  <c:v>1.6610561276897897</c:v>
                </c:pt>
                <c:pt idx="6">
                  <c:v>-1.5854400709549594</c:v>
                </c:pt>
                <c:pt idx="7">
                  <c:v>1.8778599810062602</c:v>
                </c:pt>
                <c:pt idx="8">
                  <c:v>-4.135510833956431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88-4B84-AE14-1F96EBE872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30"/>
          <c:min val="-3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F3'!$Y$3</c:f>
          <c:strCache>
            <c:ptCount val="1"/>
            <c:pt idx="0">
              <c:v>2019-2020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F3'!$Y$4:$Y$12</c:f>
              <c:numCache>
                <c:formatCode>#,##0</c:formatCode>
                <c:ptCount val="9"/>
                <c:pt idx="0">
                  <c:v>1.5376875986945038E-2</c:v>
                </c:pt>
                <c:pt idx="1">
                  <c:v>5.1958123211304894</c:v>
                </c:pt>
                <c:pt idx="2">
                  <c:v>4.0302643760827834</c:v>
                </c:pt>
                <c:pt idx="3">
                  <c:v>0.8792042123502597</c:v>
                </c:pt>
                <c:pt idx="4">
                  <c:v>-9.3184646836419063</c:v>
                </c:pt>
                <c:pt idx="5">
                  <c:v>-4.2751395673161454</c:v>
                </c:pt>
                <c:pt idx="6">
                  <c:v>8.9972810879899612E-2</c:v>
                </c:pt>
                <c:pt idx="7">
                  <c:v>-6.0982084458469643</c:v>
                </c:pt>
                <c:pt idx="8">
                  <c:v>-8.3278178996261829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805-4F18-AE05-2CED887AD0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30"/>
          <c:min val="-3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F3'!$Z$3</c:f>
          <c:strCache>
            <c:ptCount val="1"/>
            <c:pt idx="0">
              <c:v>2020-2025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F3'!$Z$4:$Z$12</c:f>
              <c:numCache>
                <c:formatCode>#,##0</c:formatCode>
                <c:ptCount val="9"/>
                <c:pt idx="0">
                  <c:v>3.7624070478643858</c:v>
                </c:pt>
                <c:pt idx="1">
                  <c:v>15.778997308827172</c:v>
                </c:pt>
                <c:pt idx="2">
                  <c:v>-1.8132696952128242</c:v>
                </c:pt>
                <c:pt idx="3">
                  <c:v>-6.0610126634144024</c:v>
                </c:pt>
                <c:pt idx="4">
                  <c:v>3.3833866915171171</c:v>
                </c:pt>
                <c:pt idx="5">
                  <c:v>4.5376495268944552</c:v>
                </c:pt>
                <c:pt idx="6">
                  <c:v>0.13950573305697844</c:v>
                </c:pt>
                <c:pt idx="7">
                  <c:v>4.3642756557216842</c:v>
                </c:pt>
                <c:pt idx="8">
                  <c:v>1.2480603947452806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526-4BC6-8F56-053EC6BA91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30"/>
          <c:min val="-3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F3'!$AA$3</c:f>
          <c:strCache>
            <c:ptCount val="1"/>
            <c:pt idx="0">
              <c:v>2025-2035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F3'!$AA$4:$AA$12</c:f>
              <c:numCache>
                <c:formatCode>#,##0</c:formatCode>
                <c:ptCount val="9"/>
                <c:pt idx="0">
                  <c:v>13.257096381874433</c:v>
                </c:pt>
                <c:pt idx="1">
                  <c:v>20.57003858563408</c:v>
                </c:pt>
                <c:pt idx="2">
                  <c:v>8.2542670823281696</c:v>
                </c:pt>
                <c:pt idx="3">
                  <c:v>-8.9937607909003532</c:v>
                </c:pt>
                <c:pt idx="4">
                  <c:v>-0.12353616766091591</c:v>
                </c:pt>
                <c:pt idx="5">
                  <c:v>5.0850831023537211</c:v>
                </c:pt>
                <c:pt idx="6">
                  <c:v>2.1874565529927281E-2</c:v>
                </c:pt>
                <c:pt idx="7">
                  <c:v>4.113343678007908E-2</c:v>
                </c:pt>
                <c:pt idx="8">
                  <c:v>-2.6141961959387316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587-435B-BBDD-CBBD5A579B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30"/>
          <c:min val="-3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F4'!$N$2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F4'!$N$3:$N$11</c:f>
              <c:numCache>
                <c:formatCode>#,##0</c:formatCode>
                <c:ptCount val="9"/>
                <c:pt idx="0">
                  <c:v>17.019503429738819</c:v>
                </c:pt>
                <c:pt idx="1">
                  <c:v>36.349035894461252</c:v>
                </c:pt>
                <c:pt idx="2">
                  <c:v>6.4409973871153454</c:v>
                </c:pt>
                <c:pt idx="3">
                  <c:v>-15.054773454314756</c:v>
                </c:pt>
                <c:pt idx="4">
                  <c:v>3.2598505238562012</c:v>
                </c:pt>
                <c:pt idx="5">
                  <c:v>9.6227326292481763</c:v>
                </c:pt>
                <c:pt idx="6">
                  <c:v>0.16138029858690572</c:v>
                </c:pt>
                <c:pt idx="7">
                  <c:v>4.4054090925017633</c:v>
                </c:pt>
                <c:pt idx="8">
                  <c:v>-1.366135801193451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42-418F-B6AC-18C214F21798}"/>
            </c:ext>
          </c:extLst>
        </c:ser>
        <c:ser>
          <c:idx val="1"/>
          <c:order val="1"/>
          <c:tx>
            <c:strRef>
              <c:f>'Occ F4'!$O$2</c:f>
              <c:strCache>
                <c:ptCount val="1"/>
                <c:pt idx="0">
                  <c:v>Females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F4'!$O$3:$O$11</c:f>
              <c:numCache>
                <c:formatCode>#,##0</c:formatCode>
                <c:ptCount val="9"/>
                <c:pt idx="0">
                  <c:v>10.915385786982192</c:v>
                </c:pt>
                <c:pt idx="1">
                  <c:v>19.038975147997206</c:v>
                </c:pt>
                <c:pt idx="2">
                  <c:v>7.0074477762902845</c:v>
                </c:pt>
                <c:pt idx="3">
                  <c:v>-15.255330294286274</c:v>
                </c:pt>
                <c:pt idx="4">
                  <c:v>3.4279571205683421</c:v>
                </c:pt>
                <c:pt idx="5">
                  <c:v>3.9992312773614742</c:v>
                </c:pt>
                <c:pt idx="6">
                  <c:v>-1.7505029106308001</c:v>
                </c:pt>
                <c:pt idx="7">
                  <c:v>1.7970737644178549</c:v>
                </c:pt>
                <c:pt idx="8">
                  <c:v>-0.74369131233027019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42-418F-B6AC-18C214F21798}"/>
            </c:ext>
          </c:extLst>
        </c:ser>
        <c:ser>
          <c:idx val="2"/>
          <c:order val="2"/>
          <c:tx>
            <c:strRef>
              <c:f>'Occ F4'!$P$2</c:f>
              <c:strCache>
                <c:ptCount val="1"/>
                <c:pt idx="0">
                  <c:v>Males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F4'!$P$3:$P$11</c:f>
              <c:numCache>
                <c:formatCode>#,##0</c:formatCode>
                <c:ptCount val="9"/>
                <c:pt idx="0">
                  <c:v>6.1041176427568473</c:v>
                </c:pt>
                <c:pt idx="1">
                  <c:v>17.310060746463961</c:v>
                </c:pt>
                <c:pt idx="2">
                  <c:v>-0.56645038917497459</c:v>
                </c:pt>
                <c:pt idx="3">
                  <c:v>0.20055683997145124</c:v>
                </c:pt>
                <c:pt idx="4">
                  <c:v>-0.1681065967121711</c:v>
                </c:pt>
                <c:pt idx="5">
                  <c:v>5.6235013518867305</c:v>
                </c:pt>
                <c:pt idx="6">
                  <c:v>1.9118832092178302</c:v>
                </c:pt>
                <c:pt idx="7">
                  <c:v>2.6083353280838608</c:v>
                </c:pt>
                <c:pt idx="8">
                  <c:v>-0.6224444888632874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B42-418F-B6AC-18C214F217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121867195352986"/>
          <c:y val="0.94622434214953921"/>
          <c:w val="0.34410578899983585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F5'!$N$3:$N$11</c:f>
              <c:numCache>
                <c:formatCode>#,##0</c:formatCode>
                <c:ptCount val="9"/>
                <c:pt idx="0">
                  <c:v>2.8585814969356065</c:v>
                </c:pt>
                <c:pt idx="1">
                  <c:v>2.7521487084335661E-2</c:v>
                </c:pt>
                <c:pt idx="2">
                  <c:v>1.4824863202248828</c:v>
                </c:pt>
                <c:pt idx="3">
                  <c:v>0.42172367577232261</c:v>
                </c:pt>
                <c:pt idx="4">
                  <c:v>4.5370051805516489</c:v>
                </c:pt>
                <c:pt idx="5">
                  <c:v>1.5507661455927337</c:v>
                </c:pt>
                <c:pt idx="6">
                  <c:v>-0.26906322142557437</c:v>
                </c:pt>
                <c:pt idx="7">
                  <c:v>1.6291282806964862</c:v>
                </c:pt>
                <c:pt idx="8">
                  <c:v>1.3972603625682751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18-4405-9282-83D850E19EAA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F5'!$O$3:$O$11</c:f>
              <c:numCache>
                <c:formatCode>#,##0</c:formatCode>
                <c:ptCount val="9"/>
                <c:pt idx="0">
                  <c:v>4.367295321918105</c:v>
                </c:pt>
                <c:pt idx="1">
                  <c:v>7.7361809716360455</c:v>
                </c:pt>
                <c:pt idx="2">
                  <c:v>0.76845210291484634</c:v>
                </c:pt>
                <c:pt idx="3">
                  <c:v>-6.6469590312170119</c:v>
                </c:pt>
                <c:pt idx="4">
                  <c:v>1.806025691058279</c:v>
                </c:pt>
                <c:pt idx="5">
                  <c:v>1.5421782737895029</c:v>
                </c:pt>
                <c:pt idx="6">
                  <c:v>-0.10501058092879845</c:v>
                </c:pt>
                <c:pt idx="7">
                  <c:v>2.5395621355446485</c:v>
                </c:pt>
                <c:pt idx="8">
                  <c:v>-1.8261013612966437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18-4405-9282-83D850E19EAA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F5'!$P$3:$P$11</c:f>
              <c:numCache>
                <c:formatCode>#,##0</c:formatCode>
                <c:ptCount val="9"/>
                <c:pt idx="0">
                  <c:v>9.7936266108853403</c:v>
                </c:pt>
                <c:pt idx="1">
                  <c:v>28.585333435740921</c:v>
                </c:pt>
                <c:pt idx="2">
                  <c:v>4.1900589639755736</c:v>
                </c:pt>
                <c:pt idx="3">
                  <c:v>-8.8295380988700884</c:v>
                </c:pt>
                <c:pt idx="4">
                  <c:v>-3.0831803477537605</c:v>
                </c:pt>
                <c:pt idx="5">
                  <c:v>6.5297882098659272</c:v>
                </c:pt>
                <c:pt idx="6">
                  <c:v>0.53545410094136159</c:v>
                </c:pt>
                <c:pt idx="7">
                  <c:v>0.23671867626049448</c:v>
                </c:pt>
                <c:pt idx="8">
                  <c:v>-0.9372948024652068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18-4405-9282-83D850E19E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F5'!$N$18:$N$26</c:f>
              <c:numCache>
                <c:formatCode>#,##0</c:formatCode>
                <c:ptCount val="9"/>
                <c:pt idx="0">
                  <c:v>0.79448644822576941</c:v>
                </c:pt>
                <c:pt idx="1">
                  <c:v>0.65907791407844663</c:v>
                </c:pt>
                <c:pt idx="2">
                  <c:v>1.0644344439619591</c:v>
                </c:pt>
                <c:pt idx="3">
                  <c:v>-5.9824891321374807E-2</c:v>
                </c:pt>
                <c:pt idx="4">
                  <c:v>1.2109764893837163</c:v>
                </c:pt>
                <c:pt idx="5">
                  <c:v>0.93626387105807574</c:v>
                </c:pt>
                <c:pt idx="6">
                  <c:v>-0.1248295486109674</c:v>
                </c:pt>
                <c:pt idx="7">
                  <c:v>0.24898217496521302</c:v>
                </c:pt>
                <c:pt idx="8">
                  <c:v>0.23504765308557718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99-4B54-AE40-5BA4742ECC44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F5'!$O$18:$O$26</c:f>
              <c:numCache>
                <c:formatCode>#,##0</c:formatCode>
                <c:ptCount val="9"/>
                <c:pt idx="0">
                  <c:v>2.773627492747865</c:v>
                </c:pt>
                <c:pt idx="1">
                  <c:v>4.1814367765158487</c:v>
                </c:pt>
                <c:pt idx="2">
                  <c:v>1.2934470187849278</c:v>
                </c:pt>
                <c:pt idx="3">
                  <c:v>-5.9730579655104705</c:v>
                </c:pt>
                <c:pt idx="4">
                  <c:v>0.75932915746183527</c:v>
                </c:pt>
                <c:pt idx="5">
                  <c:v>0.10688272867419357</c:v>
                </c:pt>
                <c:pt idx="6">
                  <c:v>-1.0143716982979889</c:v>
                </c:pt>
                <c:pt idx="7">
                  <c:v>1.3117478276098673</c:v>
                </c:pt>
                <c:pt idx="8">
                  <c:v>-1.9806727844920218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99-4B54-AE40-5BA4742ECC44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F5'!$P$18:$P$26</c:f>
              <c:numCache>
                <c:formatCode>#,##0</c:formatCode>
                <c:ptCount val="9"/>
                <c:pt idx="0">
                  <c:v>7.3472718460085744</c:v>
                </c:pt>
                <c:pt idx="1">
                  <c:v>14.198460457402973</c:v>
                </c:pt>
                <c:pt idx="2">
                  <c:v>4.6495663135434029</c:v>
                </c:pt>
                <c:pt idx="3">
                  <c:v>-9.222447437454413</c:v>
                </c:pt>
                <c:pt idx="4">
                  <c:v>1.4576514737227857</c:v>
                </c:pt>
                <c:pt idx="5">
                  <c:v>2.9560846776291854</c:v>
                </c:pt>
                <c:pt idx="6">
                  <c:v>-0.61130166372186245</c:v>
                </c:pt>
                <c:pt idx="7">
                  <c:v>0.23634376184277306</c:v>
                </c:pt>
                <c:pt idx="8">
                  <c:v>1.0019338190761804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99-4B54-AE40-5BA4742ECC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F5'!$N$33:$N$41</c:f>
              <c:numCache>
                <c:formatCode>#,##0</c:formatCode>
                <c:ptCount val="9"/>
                <c:pt idx="0">
                  <c:v>2.0640950487098273</c:v>
                </c:pt>
                <c:pt idx="1">
                  <c:v>-0.63155642699411807</c:v>
                </c:pt>
                <c:pt idx="2">
                  <c:v>0.41805187626293261</c:v>
                </c:pt>
                <c:pt idx="3">
                  <c:v>0.4815485670936972</c:v>
                </c:pt>
                <c:pt idx="4">
                  <c:v>3.3260286911679309</c:v>
                </c:pt>
                <c:pt idx="5">
                  <c:v>0.61450227453465844</c:v>
                </c:pt>
                <c:pt idx="6">
                  <c:v>-0.14423367281461008</c:v>
                </c:pt>
                <c:pt idx="7">
                  <c:v>1.3801461057312769</c:v>
                </c:pt>
                <c:pt idx="8">
                  <c:v>1.1622127094826982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75-42E4-8B8F-C4A03ECE09CC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F5'!$O$33:$O$41</c:f>
              <c:numCache>
                <c:formatCode>#,##0</c:formatCode>
                <c:ptCount val="9"/>
                <c:pt idx="0">
                  <c:v>1.5936678291702444</c:v>
                </c:pt>
                <c:pt idx="1">
                  <c:v>3.5547441951202057</c:v>
                </c:pt>
                <c:pt idx="2">
                  <c:v>-0.52499491587008773</c:v>
                </c:pt>
                <c:pt idx="3">
                  <c:v>-0.6739010657065454</c:v>
                </c:pt>
                <c:pt idx="4">
                  <c:v>1.0466965335964442</c:v>
                </c:pt>
                <c:pt idx="5">
                  <c:v>1.4352955451153013</c:v>
                </c:pt>
                <c:pt idx="6">
                  <c:v>0.90936111736922776</c:v>
                </c:pt>
                <c:pt idx="7">
                  <c:v>1.2278143079347874</c:v>
                </c:pt>
                <c:pt idx="8">
                  <c:v>0.15457142319540651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875-42E4-8B8F-C4A03ECE09CC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F5'!$P$33:$P$41</c:f>
              <c:numCache>
                <c:formatCode>#,##0</c:formatCode>
                <c:ptCount val="9"/>
                <c:pt idx="0">
                  <c:v>2.4463547648767801</c:v>
                </c:pt>
                <c:pt idx="1">
                  <c:v>14.386872978337877</c:v>
                </c:pt>
                <c:pt idx="2">
                  <c:v>-0.45950734956780792</c:v>
                </c:pt>
                <c:pt idx="3">
                  <c:v>0.39290933858430854</c:v>
                </c:pt>
                <c:pt idx="4">
                  <c:v>-4.5408318214765373</c:v>
                </c:pt>
                <c:pt idx="5">
                  <c:v>3.5737035322367667</c:v>
                </c:pt>
                <c:pt idx="6">
                  <c:v>1.1467557646632169</c:v>
                </c:pt>
                <c:pt idx="7">
                  <c:v>3.7491441773340739E-4</c:v>
                </c:pt>
                <c:pt idx="8">
                  <c:v>-1.9392286215413712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875-42E4-8B8F-C4A03ECE09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3941E-2"/>
          <c:y val="5.3177758665893755E-2"/>
          <c:w val="0.8857868020304569"/>
          <c:h val="0.81532300828808613"/>
        </c:manualLayout>
      </c:layout>
      <c:areaChart>
        <c:grouping val="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43.358768602199838</c:v>
                </c:pt>
                <c:pt idx="1">
                  <c:v>40.289414506967894</c:v>
                </c:pt>
                <c:pt idx="2">
                  <c:v>33.1771553839584</c:v>
                </c:pt>
                <c:pt idx="3">
                  <c:v>34.814005412961258</c:v>
                </c:pt>
                <c:pt idx="4">
                  <c:v>26.30518582709151</c:v>
                </c:pt>
                <c:pt idx="5">
                  <c:v>32.164544425578775</c:v>
                </c:pt>
                <c:pt idx="6">
                  <c:v>29.781526797632942</c:v>
                </c:pt>
                <c:pt idx="7">
                  <c:v>30.203328172834034</c:v>
                </c:pt>
                <c:pt idx="8">
                  <c:v>29.074885190141018</c:v>
                </c:pt>
                <c:pt idx="9">
                  <c:v>32.004542202782993</c:v>
                </c:pt>
                <c:pt idx="10">
                  <c:v>27.994067135996506</c:v>
                </c:pt>
                <c:pt idx="11">
                  <c:v>31.512096577567611</c:v>
                </c:pt>
                <c:pt idx="12">
                  <c:v>28.3037393077602</c:v>
                </c:pt>
                <c:pt idx="13">
                  <c:v>27.754687872340213</c:v>
                </c:pt>
                <c:pt idx="14">
                  <c:v>27.116777893025869</c:v>
                </c:pt>
                <c:pt idx="15">
                  <c:v>27.143540102447751</c:v>
                </c:pt>
                <c:pt idx="16">
                  <c:v>27.270442449108803</c:v>
                </c:pt>
                <c:pt idx="17">
                  <c:v>27.293086491830771</c:v>
                </c:pt>
                <c:pt idx="18">
                  <c:v>27.187623267733152</c:v>
                </c:pt>
                <c:pt idx="19">
                  <c:v>27.041971198606287</c:v>
                </c:pt>
                <c:pt idx="20">
                  <c:v>26.861009341317327</c:v>
                </c:pt>
                <c:pt idx="21">
                  <c:v>26.636429431680899</c:v>
                </c:pt>
                <c:pt idx="22">
                  <c:v>26.369370155819286</c:v>
                </c:pt>
                <c:pt idx="23">
                  <c:v>26.067703914338722</c:v>
                </c:pt>
                <c:pt idx="24">
                  <c:v>25.787162205153081</c:v>
                </c:pt>
                <c:pt idx="25">
                  <c:v>26.398703047131281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3B-4AF5-BA54-0B96776899DB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121.62531576430078</c:v>
                </c:pt>
                <c:pt idx="1">
                  <c:v>119.76283325415541</c:v>
                </c:pt>
                <c:pt idx="2">
                  <c:v>116.17173857638035</c:v>
                </c:pt>
                <c:pt idx="3">
                  <c:v>109.85600869332593</c:v>
                </c:pt>
                <c:pt idx="4">
                  <c:v>110.42482798929967</c:v>
                </c:pt>
                <c:pt idx="5">
                  <c:v>114.17181730873848</c:v>
                </c:pt>
                <c:pt idx="6">
                  <c:v>114.02661261068872</c:v>
                </c:pt>
                <c:pt idx="7">
                  <c:v>103.84115040464117</c:v>
                </c:pt>
                <c:pt idx="8">
                  <c:v>102.84789554998817</c:v>
                </c:pt>
                <c:pt idx="9">
                  <c:v>101.7476268814377</c:v>
                </c:pt>
                <c:pt idx="10">
                  <c:v>88.410769366758075</c:v>
                </c:pt>
                <c:pt idx="11">
                  <c:v>96.63595203268568</c:v>
                </c:pt>
                <c:pt idx="12">
                  <c:v>90.867656083472284</c:v>
                </c:pt>
                <c:pt idx="13">
                  <c:v>88.655723460328062</c:v>
                </c:pt>
                <c:pt idx="14">
                  <c:v>86.450089683716371</c:v>
                </c:pt>
                <c:pt idx="15">
                  <c:v>83.882776012302671</c:v>
                </c:pt>
                <c:pt idx="16">
                  <c:v>81.212515561235136</c:v>
                </c:pt>
                <c:pt idx="17">
                  <c:v>78.502364886181013</c:v>
                </c:pt>
                <c:pt idx="18">
                  <c:v>75.814611050513065</c:v>
                </c:pt>
                <c:pt idx="19">
                  <c:v>73.135291680129043</c:v>
                </c:pt>
                <c:pt idx="20">
                  <c:v>70.488760671421801</c:v>
                </c:pt>
                <c:pt idx="21">
                  <c:v>67.827395297775581</c:v>
                </c:pt>
                <c:pt idx="22">
                  <c:v>65.140101701352194</c:v>
                </c:pt>
                <c:pt idx="23">
                  <c:v>62.446105273768701</c:v>
                </c:pt>
                <c:pt idx="24">
                  <c:v>59.739078547191262</c:v>
                </c:pt>
                <c:pt idx="25">
                  <c:v>56.934334716619276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3B-4AF5-BA54-0B96776899DB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161.99564523264576</c:v>
                </c:pt>
                <c:pt idx="1">
                  <c:v>166.45885145393186</c:v>
                </c:pt>
                <c:pt idx="2">
                  <c:v>165.88209142088226</c:v>
                </c:pt>
                <c:pt idx="3">
                  <c:v>165.50715895026585</c:v>
                </c:pt>
                <c:pt idx="4">
                  <c:v>164.5674793648966</c:v>
                </c:pt>
                <c:pt idx="5">
                  <c:v>166.00576046874286</c:v>
                </c:pt>
                <c:pt idx="6">
                  <c:v>169.22420733924187</c:v>
                </c:pt>
                <c:pt idx="7">
                  <c:v>159.799635090668</c:v>
                </c:pt>
                <c:pt idx="8">
                  <c:v>156.24624288531439</c:v>
                </c:pt>
                <c:pt idx="9">
                  <c:v>160.43179252111426</c:v>
                </c:pt>
                <c:pt idx="10">
                  <c:v>146.6854736430119</c:v>
                </c:pt>
                <c:pt idx="11">
                  <c:v>153.97866762550817</c:v>
                </c:pt>
                <c:pt idx="12">
                  <c:v>148.61030444788955</c:v>
                </c:pt>
                <c:pt idx="13">
                  <c:v>147.10286062546504</c:v>
                </c:pt>
                <c:pt idx="14">
                  <c:v>145.70383496697411</c:v>
                </c:pt>
                <c:pt idx="15">
                  <c:v>143.71955274225516</c:v>
                </c:pt>
                <c:pt idx="16">
                  <c:v>141.60063737811905</c:v>
                </c:pt>
                <c:pt idx="17">
                  <c:v>139.41567664655958</c:v>
                </c:pt>
                <c:pt idx="18">
                  <c:v>137.24406351344356</c:v>
                </c:pt>
                <c:pt idx="19">
                  <c:v>135.05796766756094</c:v>
                </c:pt>
                <c:pt idx="20">
                  <c:v>132.91587417918976</c:v>
                </c:pt>
                <c:pt idx="21">
                  <c:v>130.75824147039503</c:v>
                </c:pt>
                <c:pt idx="22">
                  <c:v>128.5927680699059</c:v>
                </c:pt>
                <c:pt idx="23">
                  <c:v>126.41822691450719</c:v>
                </c:pt>
                <c:pt idx="24">
                  <c:v>124.21367208512325</c:v>
                </c:pt>
                <c:pt idx="25">
                  <c:v>121.84612463432335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D3B-4AF5-BA54-0B96776899DB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164.83170933487395</c:v>
                </c:pt>
                <c:pt idx="1">
                  <c:v>163.08502937026134</c:v>
                </c:pt>
                <c:pt idx="2">
                  <c:v>172.1076631794312</c:v>
                </c:pt>
                <c:pt idx="3">
                  <c:v>159.13563691019269</c:v>
                </c:pt>
                <c:pt idx="4">
                  <c:v>166.57290768602309</c:v>
                </c:pt>
                <c:pt idx="5">
                  <c:v>173.17585672265182</c:v>
                </c:pt>
                <c:pt idx="6">
                  <c:v>178.21423334418569</c:v>
                </c:pt>
                <c:pt idx="7">
                  <c:v>170.57821408216421</c:v>
                </c:pt>
                <c:pt idx="8">
                  <c:v>172.62371645607865</c:v>
                </c:pt>
                <c:pt idx="9">
                  <c:v>163.74816219200028</c:v>
                </c:pt>
                <c:pt idx="10">
                  <c:v>170.350236634304</c:v>
                </c:pt>
                <c:pt idx="11">
                  <c:v>163.75160684383499</c:v>
                </c:pt>
                <c:pt idx="12">
                  <c:v>166.22624848687849</c:v>
                </c:pt>
                <c:pt idx="13">
                  <c:v>166.68004649592623</c:v>
                </c:pt>
                <c:pt idx="14">
                  <c:v>167.27647948808033</c:v>
                </c:pt>
                <c:pt idx="15">
                  <c:v>167.23951651317205</c:v>
                </c:pt>
                <c:pt idx="16">
                  <c:v>167.11403053531475</c:v>
                </c:pt>
                <c:pt idx="17">
                  <c:v>166.96573267187176</c:v>
                </c:pt>
                <c:pt idx="18">
                  <c:v>166.86819828532921</c:v>
                </c:pt>
                <c:pt idx="19">
                  <c:v>166.79652048939766</c:v>
                </c:pt>
                <c:pt idx="20">
                  <c:v>166.81563520080715</c:v>
                </c:pt>
                <c:pt idx="21">
                  <c:v>166.84790261652506</c:v>
                </c:pt>
                <c:pt idx="22">
                  <c:v>166.91144836811762</c:v>
                </c:pt>
                <c:pt idx="23">
                  <c:v>167.01827754104463</c:v>
                </c:pt>
                <c:pt idx="24">
                  <c:v>167.13892158998749</c:v>
                </c:pt>
                <c:pt idx="25">
                  <c:v>167.1162811845299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0A-4241-BDC7-CAD877B6E564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44.006728090204987</c:v>
                </c:pt>
                <c:pt idx="1">
                  <c:v>46.537065118207195</c:v>
                </c:pt>
                <c:pt idx="2">
                  <c:v>49.27411836704421</c:v>
                </c:pt>
                <c:pt idx="3">
                  <c:v>49.025220742292007</c:v>
                </c:pt>
                <c:pt idx="4">
                  <c:v>52.310729719063765</c:v>
                </c:pt>
                <c:pt idx="5">
                  <c:v>50.119931817120531</c:v>
                </c:pt>
                <c:pt idx="6">
                  <c:v>49.959983333755652</c:v>
                </c:pt>
                <c:pt idx="7">
                  <c:v>50.337053824397294</c:v>
                </c:pt>
                <c:pt idx="8">
                  <c:v>50.712699095150263</c:v>
                </c:pt>
                <c:pt idx="9">
                  <c:v>54.168072164576657</c:v>
                </c:pt>
                <c:pt idx="10">
                  <c:v>54.070509554076139</c:v>
                </c:pt>
                <c:pt idx="11">
                  <c:v>52.60861564892155</c:v>
                </c:pt>
                <c:pt idx="12">
                  <c:v>53.411137023751955</c:v>
                </c:pt>
                <c:pt idx="13">
                  <c:v>54.228459793442319</c:v>
                </c:pt>
                <c:pt idx="14">
                  <c:v>55.102181481886994</c:v>
                </c:pt>
                <c:pt idx="15">
                  <c:v>55.774144986221359</c:v>
                </c:pt>
                <c:pt idx="16">
                  <c:v>56.439988889268804</c:v>
                </c:pt>
                <c:pt idx="17">
                  <c:v>57.095791047560681</c:v>
                </c:pt>
                <c:pt idx="18" formatCode="General">
                  <c:v>57.789753769581274</c:v>
                </c:pt>
                <c:pt idx="19" formatCode="General">
                  <c:v>58.513752512247436</c:v>
                </c:pt>
                <c:pt idx="20" formatCode="General">
                  <c:v>59.287928061904751</c:v>
                </c:pt>
                <c:pt idx="21" formatCode="General">
                  <c:v>60.077536927440313</c:v>
                </c:pt>
                <c:pt idx="22">
                  <c:v>60.884336368901955</c:v>
                </c:pt>
                <c:pt idx="23">
                  <c:v>61.732297102086704</c:v>
                </c:pt>
                <c:pt idx="24">
                  <c:v>62.622134996504258</c:v>
                </c:pt>
                <c:pt idx="25">
                  <c:v>63.457427221431814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0A-4241-BDC7-CAD877B6E564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48.444341694278819</c:v>
                </c:pt>
                <c:pt idx="1">
                  <c:v>48.906033526476421</c:v>
                </c:pt>
                <c:pt idx="2">
                  <c:v>50.689622267408318</c:v>
                </c:pt>
                <c:pt idx="3">
                  <c:v>50.026370788654511</c:v>
                </c:pt>
                <c:pt idx="4">
                  <c:v>51.21521553367851</c:v>
                </c:pt>
                <c:pt idx="5">
                  <c:v>49.613369511822555</c:v>
                </c:pt>
                <c:pt idx="6">
                  <c:v>48.596472117727018</c:v>
                </c:pt>
                <c:pt idx="7">
                  <c:v>49.01035526932364</c:v>
                </c:pt>
                <c:pt idx="8">
                  <c:v>49.569101942716472</c:v>
                </c:pt>
                <c:pt idx="9">
                  <c:v>51.89792614223925</c:v>
                </c:pt>
                <c:pt idx="10">
                  <c:v>51.553613281971352</c:v>
                </c:pt>
                <c:pt idx="11">
                  <c:v>49.86868242058614</c:v>
                </c:pt>
                <c:pt idx="12">
                  <c:v>50.420988267496959</c:v>
                </c:pt>
                <c:pt idx="13">
                  <c:v>50.953806865329938</c:v>
                </c:pt>
                <c:pt idx="14">
                  <c:v>51.593237558917345</c:v>
                </c:pt>
                <c:pt idx="15">
                  <c:v>52.067001713959804</c:v>
                </c:pt>
                <c:pt idx="16">
                  <c:v>52.559872925721088</c:v>
                </c:pt>
                <c:pt idx="17">
                  <c:v>53.033314748269156</c:v>
                </c:pt>
                <c:pt idx="18" formatCode="General">
                  <c:v>53.525145967052829</c:v>
                </c:pt>
                <c:pt idx="19" formatCode="General">
                  <c:v>54.091969886898887</c:v>
                </c:pt>
                <c:pt idx="20" formatCode="General">
                  <c:v>54.705575845591824</c:v>
                </c:pt>
                <c:pt idx="21" formatCode="General">
                  <c:v>55.350572030627468</c:v>
                </c:pt>
                <c:pt idx="22">
                  <c:v>56.049270979381397</c:v>
                </c:pt>
                <c:pt idx="23">
                  <c:v>56.794103267868536</c:v>
                </c:pt>
                <c:pt idx="24">
                  <c:v>57.560154929732754</c:v>
                </c:pt>
                <c:pt idx="25">
                  <c:v>58.27968679136648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50A-4241-BDC7-CAD877B6E564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143.37030465906457</c:v>
                </c:pt>
                <c:pt idx="1">
                  <c:v>154.41341230964599</c:v>
                </c:pt>
                <c:pt idx="2">
                  <c:v>165.56937096018808</c:v>
                </c:pt>
                <c:pt idx="3">
                  <c:v>172.142679258388</c:v>
                </c:pt>
                <c:pt idx="4">
                  <c:v>182.62210985139282</c:v>
                </c:pt>
                <c:pt idx="5">
                  <c:v>182.47766837630712</c:v>
                </c:pt>
                <c:pt idx="6">
                  <c:v>180.47177715394176</c:v>
                </c:pt>
                <c:pt idx="7">
                  <c:v>179.37757850354876</c:v>
                </c:pt>
                <c:pt idx="8">
                  <c:v>187.55249120637558</c:v>
                </c:pt>
                <c:pt idx="9">
                  <c:v>199.86492090407953</c:v>
                </c:pt>
                <c:pt idx="10">
                  <c:v>197.82415999570529</c:v>
                </c:pt>
                <c:pt idx="11">
                  <c:v>198.32159825602861</c:v>
                </c:pt>
                <c:pt idx="12">
                  <c:v>201.02541300621215</c:v>
                </c:pt>
                <c:pt idx="13">
                  <c:v>204.78920626434549</c:v>
                </c:pt>
                <c:pt idx="14">
                  <c:v>208.71421713567648</c:v>
                </c:pt>
                <c:pt idx="15">
                  <c:v>211.92887378761631</c:v>
                </c:pt>
                <c:pt idx="16">
                  <c:v>214.91113972890588</c:v>
                </c:pt>
                <c:pt idx="17">
                  <c:v>217.84671233086485</c:v>
                </c:pt>
                <c:pt idx="18" formatCode="General">
                  <c:v>220.83296848010801</c:v>
                </c:pt>
                <c:pt idx="19" formatCode="General">
                  <c:v>223.79399779425526</c:v>
                </c:pt>
                <c:pt idx="20" formatCode="General">
                  <c:v>226.875985963593</c:v>
                </c:pt>
                <c:pt idx="21" formatCode="General">
                  <c:v>229.98239833829035</c:v>
                </c:pt>
                <c:pt idx="22" formatCode="General">
                  <c:v>233.1305778092736</c:v>
                </c:pt>
                <c:pt idx="23" formatCode="General">
                  <c:v>236.32146548495146</c:v>
                </c:pt>
                <c:pt idx="24" formatCode="General">
                  <c:v>239.53261373069355</c:v>
                </c:pt>
                <c:pt idx="25" formatCode="General">
                  <c:v>242.62905477633512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50A-4241-BDC7-CAD877B6E564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64.901428760978902</c:v>
                </c:pt>
                <c:pt idx="1">
                  <c:v>65.868180063274934</c:v>
                </c:pt>
                <c:pt idx="2">
                  <c:v>70.970213166522058</c:v>
                </c:pt>
                <c:pt idx="3">
                  <c:v>68.156957479619734</c:v>
                </c:pt>
                <c:pt idx="4">
                  <c:v>78.597502633062746</c:v>
                </c:pt>
                <c:pt idx="5">
                  <c:v>85.344949672341116</c:v>
                </c:pt>
                <c:pt idx="6">
                  <c:v>99.598154704465472</c:v>
                </c:pt>
                <c:pt idx="7">
                  <c:v>98.318841894858906</c:v>
                </c:pt>
                <c:pt idx="8">
                  <c:v>99.758034713552291</c:v>
                </c:pt>
                <c:pt idx="9">
                  <c:v>104.16972003141201</c:v>
                </c:pt>
                <c:pt idx="10">
                  <c:v>112.22082333054639</c:v>
                </c:pt>
                <c:pt idx="11">
                  <c:v>106.18820212443981</c:v>
                </c:pt>
                <c:pt idx="12">
                  <c:v>116.76317796700037</c:v>
                </c:pt>
                <c:pt idx="13">
                  <c:v>121.43133698185555</c:v>
                </c:pt>
                <c:pt idx="14">
                  <c:v>126.13692665776018</c:v>
                </c:pt>
                <c:pt idx="15">
                  <c:v>130.30734335170911</c:v>
                </c:pt>
                <c:pt idx="16">
                  <c:v>134.28858153522481</c:v>
                </c:pt>
                <c:pt idx="17">
                  <c:v>138.11939592377166</c:v>
                </c:pt>
                <c:pt idx="18" formatCode="General">
                  <c:v>141.88236209697973</c:v>
                </c:pt>
                <c:pt idx="19" formatCode="General">
                  <c:v>145.56454939990653</c:v>
                </c:pt>
                <c:pt idx="20" formatCode="General">
                  <c:v>149.2191387293845</c:v>
                </c:pt>
                <c:pt idx="21" formatCode="General">
                  <c:v>152.78514004768891</c:v>
                </c:pt>
                <c:pt idx="22" formatCode="General">
                  <c:v>156.27743637789732</c:v>
                </c:pt>
                <c:pt idx="23" formatCode="General">
                  <c:v>159.69804034716429</c:v>
                </c:pt>
                <c:pt idx="24" formatCode="General">
                  <c:v>163.02150772064351</c:v>
                </c:pt>
                <c:pt idx="25" formatCode="General">
                  <c:v>166.1003625353504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50A-4241-BDC7-CAD877B6E564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9.2637578614531009</c:v>
                </c:pt>
                <c:pt idx="1">
                  <c:v>9.1471803970793033</c:v>
                </c:pt>
                <c:pt idx="2">
                  <c:v>9.9480266781852364</c:v>
                </c:pt>
                <c:pt idx="3">
                  <c:v>9.7139617642998957</c:v>
                </c:pt>
                <c:pt idx="4">
                  <c:v>10.905041395490377</c:v>
                </c:pt>
                <c:pt idx="5">
                  <c:v>11.931101696696773</c:v>
                </c:pt>
                <c:pt idx="6">
                  <c:v>13.970032598360497</c:v>
                </c:pt>
                <c:pt idx="7">
                  <c:v>13.645842757564155</c:v>
                </c:pt>
                <c:pt idx="8">
                  <c:v>13.847932960681982</c:v>
                </c:pt>
                <c:pt idx="9">
                  <c:v>14.416236960357105</c:v>
                </c:pt>
                <c:pt idx="10">
                  <c:v>15.530347057630051</c:v>
                </c:pt>
                <c:pt idx="11">
                  <c:v>14.727578470427416</c:v>
                </c:pt>
                <c:pt idx="12">
                  <c:v>16.114335409537773</c:v>
                </c:pt>
                <c:pt idx="13">
                  <c:v>16.73387164096723</c:v>
                </c:pt>
                <c:pt idx="14">
                  <c:v>17.358255133962974</c:v>
                </c:pt>
                <c:pt idx="15">
                  <c:v>17.917250790315162</c:v>
                </c:pt>
                <c:pt idx="16">
                  <c:v>18.451790997101455</c:v>
                </c:pt>
                <c:pt idx="17">
                  <c:v>18.967925253090272</c:v>
                </c:pt>
                <c:pt idx="18" formatCode="General">
                  <c:v>19.474273569259331</c:v>
                </c:pt>
                <c:pt idx="19" formatCode="General">
                  <c:v>19.96597937099768</c:v>
                </c:pt>
                <c:pt idx="20" formatCode="General">
                  <c:v>20.45409200679028</c:v>
                </c:pt>
                <c:pt idx="21" formatCode="General">
                  <c:v>20.929383839576616</c:v>
                </c:pt>
                <c:pt idx="22" formatCode="General">
                  <c:v>21.395690169350402</c:v>
                </c:pt>
                <c:pt idx="23" formatCode="General">
                  <c:v>21.850780154270048</c:v>
                </c:pt>
                <c:pt idx="24" formatCode="General">
                  <c:v>22.297754194970107</c:v>
                </c:pt>
                <c:pt idx="25" formatCode="General">
                  <c:v>22.716025092912208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50A-4241-BDC7-CAD877B6E5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4752"/>
        <c:axId val="313685144"/>
      </c:areaChart>
      <c:catAx>
        <c:axId val="31368475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1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51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07912952832355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475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611294197620134"/>
          <c:y val="0.91619015180354346"/>
          <c:w val="0.87603013652070461"/>
          <c:h val="7.783401120661444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408E-2"/>
          <c:y val="5.3177758665893755E-2"/>
          <c:w val="0.8857868020304569"/>
          <c:h val="0.7763068929360929"/>
        </c:manualLayout>
      </c:layout>
      <c:areaChart>
        <c:grouping val="percent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43.358768602199838</c:v>
                </c:pt>
                <c:pt idx="1">
                  <c:v>40.289414506967894</c:v>
                </c:pt>
                <c:pt idx="2">
                  <c:v>33.1771553839584</c:v>
                </c:pt>
                <c:pt idx="3">
                  <c:v>34.814005412961258</c:v>
                </c:pt>
                <c:pt idx="4">
                  <c:v>26.30518582709151</c:v>
                </c:pt>
                <c:pt idx="5">
                  <c:v>32.164544425578775</c:v>
                </c:pt>
                <c:pt idx="6">
                  <c:v>29.781526797632942</c:v>
                </c:pt>
                <c:pt idx="7">
                  <c:v>30.203328172834034</c:v>
                </c:pt>
                <c:pt idx="8">
                  <c:v>29.074885190141018</c:v>
                </c:pt>
                <c:pt idx="9">
                  <c:v>32.004542202782993</c:v>
                </c:pt>
                <c:pt idx="10">
                  <c:v>27.994067135996506</c:v>
                </c:pt>
                <c:pt idx="11">
                  <c:v>31.512096577567611</c:v>
                </c:pt>
                <c:pt idx="12">
                  <c:v>28.3037393077602</c:v>
                </c:pt>
                <c:pt idx="13">
                  <c:v>27.754687872340213</c:v>
                </c:pt>
                <c:pt idx="14">
                  <c:v>27.116777893025869</c:v>
                </c:pt>
                <c:pt idx="15">
                  <c:v>27.143540102447751</c:v>
                </c:pt>
                <c:pt idx="16">
                  <c:v>27.270442449108803</c:v>
                </c:pt>
                <c:pt idx="17">
                  <c:v>27.293086491830771</c:v>
                </c:pt>
                <c:pt idx="18">
                  <c:v>27.187623267733152</c:v>
                </c:pt>
                <c:pt idx="19">
                  <c:v>27.041971198606287</c:v>
                </c:pt>
                <c:pt idx="20">
                  <c:v>26.861009341317327</c:v>
                </c:pt>
                <c:pt idx="21">
                  <c:v>26.636429431680899</c:v>
                </c:pt>
                <c:pt idx="22">
                  <c:v>26.369370155819286</c:v>
                </c:pt>
                <c:pt idx="23">
                  <c:v>26.067703914338722</c:v>
                </c:pt>
                <c:pt idx="24">
                  <c:v>25.787162205153081</c:v>
                </c:pt>
                <c:pt idx="25">
                  <c:v>26.398703047131281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8E-4884-8657-BD0E95BA20A8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121.62531576430078</c:v>
                </c:pt>
                <c:pt idx="1">
                  <c:v>119.76283325415541</c:v>
                </c:pt>
                <c:pt idx="2">
                  <c:v>116.17173857638035</c:v>
                </c:pt>
                <c:pt idx="3">
                  <c:v>109.85600869332593</c:v>
                </c:pt>
                <c:pt idx="4">
                  <c:v>110.42482798929967</c:v>
                </c:pt>
                <c:pt idx="5">
                  <c:v>114.17181730873848</c:v>
                </c:pt>
                <c:pt idx="6">
                  <c:v>114.02661261068872</c:v>
                </c:pt>
                <c:pt idx="7">
                  <c:v>103.84115040464117</c:v>
                </c:pt>
                <c:pt idx="8">
                  <c:v>102.84789554998817</c:v>
                </c:pt>
                <c:pt idx="9">
                  <c:v>101.7476268814377</c:v>
                </c:pt>
                <c:pt idx="10">
                  <c:v>88.410769366758075</c:v>
                </c:pt>
                <c:pt idx="11">
                  <c:v>96.63595203268568</c:v>
                </c:pt>
                <c:pt idx="12">
                  <c:v>90.867656083472284</c:v>
                </c:pt>
                <c:pt idx="13">
                  <c:v>88.655723460328062</c:v>
                </c:pt>
                <c:pt idx="14">
                  <c:v>86.450089683716371</c:v>
                </c:pt>
                <c:pt idx="15">
                  <c:v>83.882776012302671</c:v>
                </c:pt>
                <c:pt idx="16">
                  <c:v>81.212515561235136</c:v>
                </c:pt>
                <c:pt idx="17">
                  <c:v>78.502364886181013</c:v>
                </c:pt>
                <c:pt idx="18">
                  <c:v>75.814611050513065</c:v>
                </c:pt>
                <c:pt idx="19">
                  <c:v>73.135291680129043</c:v>
                </c:pt>
                <c:pt idx="20">
                  <c:v>70.488760671421801</c:v>
                </c:pt>
                <c:pt idx="21">
                  <c:v>67.827395297775581</c:v>
                </c:pt>
                <c:pt idx="22">
                  <c:v>65.140101701352194</c:v>
                </c:pt>
                <c:pt idx="23">
                  <c:v>62.446105273768701</c:v>
                </c:pt>
                <c:pt idx="24">
                  <c:v>59.739078547191262</c:v>
                </c:pt>
                <c:pt idx="25">
                  <c:v>56.934334716619276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8E-4884-8657-BD0E95BA20A8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161.99564523264576</c:v>
                </c:pt>
                <c:pt idx="1">
                  <c:v>166.45885145393186</c:v>
                </c:pt>
                <c:pt idx="2">
                  <c:v>165.88209142088226</c:v>
                </c:pt>
                <c:pt idx="3">
                  <c:v>165.50715895026585</c:v>
                </c:pt>
                <c:pt idx="4">
                  <c:v>164.5674793648966</c:v>
                </c:pt>
                <c:pt idx="5">
                  <c:v>166.00576046874286</c:v>
                </c:pt>
                <c:pt idx="6">
                  <c:v>169.22420733924187</c:v>
                </c:pt>
                <c:pt idx="7">
                  <c:v>159.799635090668</c:v>
                </c:pt>
                <c:pt idx="8">
                  <c:v>156.24624288531439</c:v>
                </c:pt>
                <c:pt idx="9">
                  <c:v>160.43179252111426</c:v>
                </c:pt>
                <c:pt idx="10">
                  <c:v>146.6854736430119</c:v>
                </c:pt>
                <c:pt idx="11">
                  <c:v>153.97866762550817</c:v>
                </c:pt>
                <c:pt idx="12">
                  <c:v>148.61030444788955</c:v>
                </c:pt>
                <c:pt idx="13">
                  <c:v>147.10286062546504</c:v>
                </c:pt>
                <c:pt idx="14">
                  <c:v>145.70383496697411</c:v>
                </c:pt>
                <c:pt idx="15">
                  <c:v>143.71955274225516</c:v>
                </c:pt>
                <c:pt idx="16">
                  <c:v>141.60063737811905</c:v>
                </c:pt>
                <c:pt idx="17">
                  <c:v>139.41567664655958</c:v>
                </c:pt>
                <c:pt idx="18">
                  <c:v>137.24406351344356</c:v>
                </c:pt>
                <c:pt idx="19">
                  <c:v>135.05796766756094</c:v>
                </c:pt>
                <c:pt idx="20">
                  <c:v>132.91587417918976</c:v>
                </c:pt>
                <c:pt idx="21">
                  <c:v>130.75824147039503</c:v>
                </c:pt>
                <c:pt idx="22">
                  <c:v>128.5927680699059</c:v>
                </c:pt>
                <c:pt idx="23">
                  <c:v>126.41822691450719</c:v>
                </c:pt>
                <c:pt idx="24">
                  <c:v>124.21367208512325</c:v>
                </c:pt>
                <c:pt idx="25">
                  <c:v>121.84612463432335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8E-4884-8657-BD0E95BA20A8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164.83170933487395</c:v>
                </c:pt>
                <c:pt idx="1">
                  <c:v>163.08502937026134</c:v>
                </c:pt>
                <c:pt idx="2">
                  <c:v>172.1076631794312</c:v>
                </c:pt>
                <c:pt idx="3">
                  <c:v>159.13563691019269</c:v>
                </c:pt>
                <c:pt idx="4">
                  <c:v>166.57290768602309</c:v>
                </c:pt>
                <c:pt idx="5">
                  <c:v>173.17585672265182</c:v>
                </c:pt>
                <c:pt idx="6">
                  <c:v>178.21423334418569</c:v>
                </c:pt>
                <c:pt idx="7">
                  <c:v>170.57821408216421</c:v>
                </c:pt>
                <c:pt idx="8">
                  <c:v>172.62371645607865</c:v>
                </c:pt>
                <c:pt idx="9">
                  <c:v>163.74816219200028</c:v>
                </c:pt>
                <c:pt idx="10">
                  <c:v>170.350236634304</c:v>
                </c:pt>
                <c:pt idx="11">
                  <c:v>163.75160684383499</c:v>
                </c:pt>
                <c:pt idx="12">
                  <c:v>166.22624848687849</c:v>
                </c:pt>
                <c:pt idx="13">
                  <c:v>166.68004649592623</c:v>
                </c:pt>
                <c:pt idx="14">
                  <c:v>167.27647948808033</c:v>
                </c:pt>
                <c:pt idx="15">
                  <c:v>167.23951651317205</c:v>
                </c:pt>
                <c:pt idx="16">
                  <c:v>167.11403053531475</c:v>
                </c:pt>
                <c:pt idx="17">
                  <c:v>166.96573267187176</c:v>
                </c:pt>
                <c:pt idx="18">
                  <c:v>166.86819828532921</c:v>
                </c:pt>
                <c:pt idx="19">
                  <c:v>166.79652048939766</c:v>
                </c:pt>
                <c:pt idx="20">
                  <c:v>166.81563520080715</c:v>
                </c:pt>
                <c:pt idx="21">
                  <c:v>166.84790261652506</c:v>
                </c:pt>
                <c:pt idx="22">
                  <c:v>166.91144836811762</c:v>
                </c:pt>
                <c:pt idx="23">
                  <c:v>167.01827754104463</c:v>
                </c:pt>
                <c:pt idx="24">
                  <c:v>167.13892158998749</c:v>
                </c:pt>
                <c:pt idx="25">
                  <c:v>167.1162811845299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13-4AC5-AC3B-DF816665A51E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44.006728090204987</c:v>
                </c:pt>
                <c:pt idx="1">
                  <c:v>46.537065118207195</c:v>
                </c:pt>
                <c:pt idx="2">
                  <c:v>49.27411836704421</c:v>
                </c:pt>
                <c:pt idx="3">
                  <c:v>49.025220742292007</c:v>
                </c:pt>
                <c:pt idx="4">
                  <c:v>52.310729719063765</c:v>
                </c:pt>
                <c:pt idx="5">
                  <c:v>50.119931817120531</c:v>
                </c:pt>
                <c:pt idx="6">
                  <c:v>49.959983333755652</c:v>
                </c:pt>
                <c:pt idx="7">
                  <c:v>50.337053824397294</c:v>
                </c:pt>
                <c:pt idx="8">
                  <c:v>50.712699095150263</c:v>
                </c:pt>
                <c:pt idx="9">
                  <c:v>54.168072164576657</c:v>
                </c:pt>
                <c:pt idx="10">
                  <c:v>54.070509554076139</c:v>
                </c:pt>
                <c:pt idx="11">
                  <c:v>52.60861564892155</c:v>
                </c:pt>
                <c:pt idx="12">
                  <c:v>53.411137023751955</c:v>
                </c:pt>
                <c:pt idx="13">
                  <c:v>54.228459793442319</c:v>
                </c:pt>
                <c:pt idx="14">
                  <c:v>55.102181481886994</c:v>
                </c:pt>
                <c:pt idx="15">
                  <c:v>55.774144986221359</c:v>
                </c:pt>
                <c:pt idx="16">
                  <c:v>56.439988889268804</c:v>
                </c:pt>
                <c:pt idx="17">
                  <c:v>57.095791047560681</c:v>
                </c:pt>
                <c:pt idx="18" formatCode="General">
                  <c:v>57.789753769581274</c:v>
                </c:pt>
                <c:pt idx="19" formatCode="General">
                  <c:v>58.513752512247436</c:v>
                </c:pt>
                <c:pt idx="20" formatCode="General">
                  <c:v>59.287928061904751</c:v>
                </c:pt>
                <c:pt idx="21" formatCode="General">
                  <c:v>60.077536927440313</c:v>
                </c:pt>
                <c:pt idx="22">
                  <c:v>60.884336368901955</c:v>
                </c:pt>
                <c:pt idx="23">
                  <c:v>61.732297102086704</c:v>
                </c:pt>
                <c:pt idx="24">
                  <c:v>62.622134996504258</c:v>
                </c:pt>
                <c:pt idx="25">
                  <c:v>63.457427221431814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13-4AC5-AC3B-DF816665A51E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48.444341694278819</c:v>
                </c:pt>
                <c:pt idx="1">
                  <c:v>48.906033526476421</c:v>
                </c:pt>
                <c:pt idx="2">
                  <c:v>50.689622267408318</c:v>
                </c:pt>
                <c:pt idx="3">
                  <c:v>50.026370788654511</c:v>
                </c:pt>
                <c:pt idx="4">
                  <c:v>51.21521553367851</c:v>
                </c:pt>
                <c:pt idx="5">
                  <c:v>49.613369511822555</c:v>
                </c:pt>
                <c:pt idx="6">
                  <c:v>48.596472117727018</c:v>
                </c:pt>
                <c:pt idx="7">
                  <c:v>49.01035526932364</c:v>
                </c:pt>
                <c:pt idx="8">
                  <c:v>49.569101942716472</c:v>
                </c:pt>
                <c:pt idx="9">
                  <c:v>51.89792614223925</c:v>
                </c:pt>
                <c:pt idx="10">
                  <c:v>51.553613281971352</c:v>
                </c:pt>
                <c:pt idx="11">
                  <c:v>49.86868242058614</c:v>
                </c:pt>
                <c:pt idx="12">
                  <c:v>50.420988267496959</c:v>
                </c:pt>
                <c:pt idx="13">
                  <c:v>50.953806865329938</c:v>
                </c:pt>
                <c:pt idx="14">
                  <c:v>51.593237558917345</c:v>
                </c:pt>
                <c:pt idx="15">
                  <c:v>52.067001713959804</c:v>
                </c:pt>
                <c:pt idx="16">
                  <c:v>52.559872925721088</c:v>
                </c:pt>
                <c:pt idx="17">
                  <c:v>53.033314748269156</c:v>
                </c:pt>
                <c:pt idx="18" formatCode="General">
                  <c:v>53.525145967052829</c:v>
                </c:pt>
                <c:pt idx="19" formatCode="General">
                  <c:v>54.091969886898887</c:v>
                </c:pt>
                <c:pt idx="20" formatCode="General">
                  <c:v>54.705575845591824</c:v>
                </c:pt>
                <c:pt idx="21" formatCode="General">
                  <c:v>55.350572030627468</c:v>
                </c:pt>
                <c:pt idx="22">
                  <c:v>56.049270979381397</c:v>
                </c:pt>
                <c:pt idx="23">
                  <c:v>56.794103267868536</c:v>
                </c:pt>
                <c:pt idx="24">
                  <c:v>57.560154929732754</c:v>
                </c:pt>
                <c:pt idx="25">
                  <c:v>58.27968679136648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F13-4AC5-AC3B-DF816665A51E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143.37030465906457</c:v>
                </c:pt>
                <c:pt idx="1">
                  <c:v>154.41341230964599</c:v>
                </c:pt>
                <c:pt idx="2">
                  <c:v>165.56937096018808</c:v>
                </c:pt>
                <c:pt idx="3">
                  <c:v>172.142679258388</c:v>
                </c:pt>
                <c:pt idx="4">
                  <c:v>182.62210985139282</c:v>
                </c:pt>
                <c:pt idx="5">
                  <c:v>182.47766837630712</c:v>
                </c:pt>
                <c:pt idx="6">
                  <c:v>180.47177715394176</c:v>
                </c:pt>
                <c:pt idx="7">
                  <c:v>179.37757850354876</c:v>
                </c:pt>
                <c:pt idx="8">
                  <c:v>187.55249120637558</c:v>
                </c:pt>
                <c:pt idx="9">
                  <c:v>199.86492090407953</c:v>
                </c:pt>
                <c:pt idx="10">
                  <c:v>197.82415999570529</c:v>
                </c:pt>
                <c:pt idx="11">
                  <c:v>198.32159825602861</c:v>
                </c:pt>
                <c:pt idx="12">
                  <c:v>201.02541300621215</c:v>
                </c:pt>
                <c:pt idx="13">
                  <c:v>204.78920626434549</c:v>
                </c:pt>
                <c:pt idx="14">
                  <c:v>208.71421713567648</c:v>
                </c:pt>
                <c:pt idx="15">
                  <c:v>211.92887378761631</c:v>
                </c:pt>
                <c:pt idx="16">
                  <c:v>214.91113972890588</c:v>
                </c:pt>
                <c:pt idx="17">
                  <c:v>217.84671233086485</c:v>
                </c:pt>
                <c:pt idx="18" formatCode="General">
                  <c:v>220.83296848010801</c:v>
                </c:pt>
                <c:pt idx="19" formatCode="General">
                  <c:v>223.79399779425526</c:v>
                </c:pt>
                <c:pt idx="20" formatCode="General">
                  <c:v>226.875985963593</c:v>
                </c:pt>
                <c:pt idx="21" formatCode="General">
                  <c:v>229.98239833829035</c:v>
                </c:pt>
                <c:pt idx="22" formatCode="General">
                  <c:v>233.1305778092736</c:v>
                </c:pt>
                <c:pt idx="23" formatCode="General">
                  <c:v>236.32146548495146</c:v>
                </c:pt>
                <c:pt idx="24" formatCode="General">
                  <c:v>239.53261373069355</c:v>
                </c:pt>
                <c:pt idx="25" formatCode="General">
                  <c:v>242.62905477633512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13-4AC5-AC3B-DF816665A51E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64.901428760978902</c:v>
                </c:pt>
                <c:pt idx="1">
                  <c:v>65.868180063274934</c:v>
                </c:pt>
                <c:pt idx="2">
                  <c:v>70.970213166522058</c:v>
                </c:pt>
                <c:pt idx="3">
                  <c:v>68.156957479619734</c:v>
                </c:pt>
                <c:pt idx="4">
                  <c:v>78.597502633062746</c:v>
                </c:pt>
                <c:pt idx="5">
                  <c:v>85.344949672341116</c:v>
                </c:pt>
                <c:pt idx="6">
                  <c:v>99.598154704465472</c:v>
                </c:pt>
                <c:pt idx="7">
                  <c:v>98.318841894858906</c:v>
                </c:pt>
                <c:pt idx="8">
                  <c:v>99.758034713552291</c:v>
                </c:pt>
                <c:pt idx="9">
                  <c:v>104.16972003141201</c:v>
                </c:pt>
                <c:pt idx="10">
                  <c:v>112.22082333054639</c:v>
                </c:pt>
                <c:pt idx="11">
                  <c:v>106.18820212443981</c:v>
                </c:pt>
                <c:pt idx="12">
                  <c:v>116.76317796700037</c:v>
                </c:pt>
                <c:pt idx="13">
                  <c:v>121.43133698185555</c:v>
                </c:pt>
                <c:pt idx="14">
                  <c:v>126.13692665776018</c:v>
                </c:pt>
                <c:pt idx="15">
                  <c:v>130.30734335170911</c:v>
                </c:pt>
                <c:pt idx="16">
                  <c:v>134.28858153522481</c:v>
                </c:pt>
                <c:pt idx="17">
                  <c:v>138.11939592377166</c:v>
                </c:pt>
                <c:pt idx="18" formatCode="General">
                  <c:v>141.88236209697973</c:v>
                </c:pt>
                <c:pt idx="19" formatCode="General">
                  <c:v>145.56454939990653</c:v>
                </c:pt>
                <c:pt idx="20" formatCode="General">
                  <c:v>149.2191387293845</c:v>
                </c:pt>
                <c:pt idx="21" formatCode="General">
                  <c:v>152.78514004768891</c:v>
                </c:pt>
                <c:pt idx="22" formatCode="General">
                  <c:v>156.27743637789732</c:v>
                </c:pt>
                <c:pt idx="23" formatCode="General">
                  <c:v>159.69804034716429</c:v>
                </c:pt>
                <c:pt idx="24" formatCode="General">
                  <c:v>163.02150772064351</c:v>
                </c:pt>
                <c:pt idx="25" formatCode="General">
                  <c:v>166.1003625353504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F13-4AC5-AC3B-DF816665A51E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9.2637578614531009</c:v>
                </c:pt>
                <c:pt idx="1">
                  <c:v>9.1471803970793033</c:v>
                </c:pt>
                <c:pt idx="2">
                  <c:v>9.9480266781852364</c:v>
                </c:pt>
                <c:pt idx="3">
                  <c:v>9.7139617642998957</c:v>
                </c:pt>
                <c:pt idx="4">
                  <c:v>10.905041395490377</c:v>
                </c:pt>
                <c:pt idx="5">
                  <c:v>11.931101696696773</c:v>
                </c:pt>
                <c:pt idx="6">
                  <c:v>13.970032598360497</c:v>
                </c:pt>
                <c:pt idx="7">
                  <c:v>13.645842757564155</c:v>
                </c:pt>
                <c:pt idx="8">
                  <c:v>13.847932960681982</c:v>
                </c:pt>
                <c:pt idx="9">
                  <c:v>14.416236960357105</c:v>
                </c:pt>
                <c:pt idx="10">
                  <c:v>15.530347057630051</c:v>
                </c:pt>
                <c:pt idx="11">
                  <c:v>14.727578470427416</c:v>
                </c:pt>
                <c:pt idx="12">
                  <c:v>16.114335409537773</c:v>
                </c:pt>
                <c:pt idx="13">
                  <c:v>16.73387164096723</c:v>
                </c:pt>
                <c:pt idx="14">
                  <c:v>17.358255133962974</c:v>
                </c:pt>
                <c:pt idx="15">
                  <c:v>17.917250790315162</c:v>
                </c:pt>
                <c:pt idx="16">
                  <c:v>18.451790997101455</c:v>
                </c:pt>
                <c:pt idx="17">
                  <c:v>18.967925253090272</c:v>
                </c:pt>
                <c:pt idx="18" formatCode="General">
                  <c:v>19.474273569259331</c:v>
                </c:pt>
                <c:pt idx="19" formatCode="General">
                  <c:v>19.96597937099768</c:v>
                </c:pt>
                <c:pt idx="20" formatCode="General">
                  <c:v>20.45409200679028</c:v>
                </c:pt>
                <c:pt idx="21" formatCode="General">
                  <c:v>20.929383839576616</c:v>
                </c:pt>
                <c:pt idx="22" formatCode="General">
                  <c:v>21.395690169350402</c:v>
                </c:pt>
                <c:pt idx="23" formatCode="General">
                  <c:v>21.850780154270048</c:v>
                </c:pt>
                <c:pt idx="24" formatCode="General">
                  <c:v>22.297754194970107</c:v>
                </c:pt>
                <c:pt idx="25" formatCode="General">
                  <c:v>22.716025092912208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F13-4AC5-AC3B-DF816665A5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5928"/>
        <c:axId val="313686320"/>
      </c:areaChart>
      <c:catAx>
        <c:axId val="3136859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63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632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9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5.194451201428852E-2"/>
          <c:y val="0.88735215349989649"/>
          <c:w val="0.85740973872129711"/>
          <c:h val="0.1001032504524720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8787893154494418"/>
          <c:y val="4.3626565131883739E-2"/>
          <c:w val="0.58235719863626845"/>
          <c:h val="0.8805887705417054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'ShiftShare T1'!$C$4</c:f>
              <c:strCache>
                <c:ptCount val="1"/>
                <c:pt idx="0">
                  <c:v>2015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T1'!$B$8:$B$33</c:f>
              <c:numCache>
                <c:formatCode>#,##0</c:formatCode>
                <c:ptCount val="26"/>
                <c:pt idx="0">
                  <c:v>68.673395206321104</c:v>
                </c:pt>
                <c:pt idx="1">
                  <c:v>31.150010460958992</c:v>
                </c:pt>
                <c:pt idx="2">
                  <c:v>63.176564041394101</c:v>
                </c:pt>
                <c:pt idx="3">
                  <c:v>28.267194384711377</c:v>
                </c:pt>
                <c:pt idx="4">
                  <c:v>38.222998373704257</c:v>
                </c:pt>
                <c:pt idx="5">
                  <c:v>57.737964261655698</c:v>
                </c:pt>
                <c:pt idx="6">
                  <c:v>15.495168489057251</c:v>
                </c:pt>
                <c:pt idx="7">
                  <c:v>12.707484419440277</c:v>
                </c:pt>
                <c:pt idx="8">
                  <c:v>10.245227559390734</c:v>
                </c:pt>
                <c:pt idx="9">
                  <c:v>22.448448989730881</c:v>
                </c:pt>
                <c:pt idx="10">
                  <c:v>57.166023212767385</c:v>
                </c:pt>
                <c:pt idx="11">
                  <c:v>72.16613856968074</c:v>
                </c:pt>
                <c:pt idx="12">
                  <c:v>21.802106897221897</c:v>
                </c:pt>
                <c:pt idx="13">
                  <c:v>8.4039470707917943</c:v>
                </c:pt>
                <c:pt idx="14">
                  <c:v>28.870477861307073</c:v>
                </c:pt>
                <c:pt idx="15">
                  <c:v>24.522418259082531</c:v>
                </c:pt>
                <c:pt idx="16">
                  <c:v>19.615673592560057</c:v>
                </c:pt>
                <c:pt idx="17">
                  <c:v>58.131005767511112</c:v>
                </c:pt>
                <c:pt idx="18">
                  <c:v>22.488059503441097</c:v>
                </c:pt>
                <c:pt idx="19">
                  <c:v>0.92324802540605289</c:v>
                </c:pt>
                <c:pt idx="20">
                  <c:v>54.477963592890447</c:v>
                </c:pt>
                <c:pt idx="21">
                  <c:v>13.172148960692217</c:v>
                </c:pt>
                <c:pt idx="22">
                  <c:v>12.743962550817093</c:v>
                </c:pt>
                <c:pt idx="23">
                  <c:v>25.119721078559419</c:v>
                </c:pt>
                <c:pt idx="24">
                  <c:v>11.210781757562087</c:v>
                </c:pt>
                <c:pt idx="25">
                  <c:v>86.066867113344401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2E-4752-A244-893F04CFF91E}"/>
            </c:ext>
          </c:extLst>
        </c:ser>
        <c:ser>
          <c:idx val="1"/>
          <c:order val="1"/>
          <c:tx>
            <c:strRef>
              <c:f>'ShiftShare T1'!$F$4</c:f>
              <c:strCache>
                <c:ptCount val="1"/>
                <c:pt idx="0">
                  <c:v>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T1'!$E$8:$E$33</c:f>
              <c:numCache>
                <c:formatCode>#,##0</c:formatCode>
                <c:ptCount val="26"/>
                <c:pt idx="0">
                  <c:v>78.879841298032446</c:v>
                </c:pt>
                <c:pt idx="1">
                  <c:v>31.0501044843197</c:v>
                </c:pt>
                <c:pt idx="2">
                  <c:v>69.933180691612307</c:v>
                </c:pt>
                <c:pt idx="3">
                  <c:v>33.507088363575704</c:v>
                </c:pt>
                <c:pt idx="4">
                  <c:v>39.418497018336062</c:v>
                </c:pt>
                <c:pt idx="5">
                  <c:v>67.322193591479675</c:v>
                </c:pt>
                <c:pt idx="6">
                  <c:v>18.372333308333101</c:v>
                </c:pt>
                <c:pt idx="7">
                  <c:v>14.702827358199553</c:v>
                </c:pt>
                <c:pt idx="8">
                  <c:v>10.190391215898869</c:v>
                </c:pt>
                <c:pt idx="9">
                  <c:v>20.723051149864897</c:v>
                </c:pt>
                <c:pt idx="10">
                  <c:v>60.097066683667329</c:v>
                </c:pt>
                <c:pt idx="11">
                  <c:v>69.940840134492603</c:v>
                </c:pt>
                <c:pt idx="12">
                  <c:v>18.438489888023401</c:v>
                </c:pt>
                <c:pt idx="13">
                  <c:v>7.0314570870948216</c:v>
                </c:pt>
                <c:pt idx="14">
                  <c:v>25.128095818289641</c:v>
                </c:pt>
                <c:pt idx="15">
                  <c:v>20.419196268607529</c:v>
                </c:pt>
                <c:pt idx="16">
                  <c:v>15.944815188072862</c:v>
                </c:pt>
                <c:pt idx="17">
                  <c:v>56.991340768895562</c:v>
                </c:pt>
                <c:pt idx="18">
                  <c:v>20.996416440378088</c:v>
                </c:pt>
                <c:pt idx="19">
                  <c:v>0.94047264745824644</c:v>
                </c:pt>
                <c:pt idx="20">
                  <c:v>52.38875275613151</c:v>
                </c:pt>
                <c:pt idx="21">
                  <c:v>13.765892537376093</c:v>
                </c:pt>
                <c:pt idx="22">
                  <c:v>10.939631034552663</c:v>
                </c:pt>
                <c:pt idx="23">
                  <c:v>22.703704129983144</c:v>
                </c:pt>
                <c:pt idx="24">
                  <c:v>8.7182083202628089</c:v>
                </c:pt>
                <c:pt idx="25">
                  <c:v>76.096111817061072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2E-4752-A244-893F04CFF91E}"/>
            </c:ext>
          </c:extLst>
        </c:ser>
        <c:ser>
          <c:idx val="2"/>
          <c:order val="2"/>
          <c:tx>
            <c:strRef>
              <c:f>'ShiftShare T1'!$F$40</c:f>
              <c:strCache>
                <c:ptCount val="1"/>
                <c:pt idx="0">
                  <c:v>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T1'!$E$44:$E$69</c:f>
              <c:numCache>
                <c:formatCode>#,##0</c:formatCode>
                <c:ptCount val="26"/>
                <c:pt idx="0">
                  <c:v>81.205940364543608</c:v>
                </c:pt>
                <c:pt idx="1">
                  <c:v>45.743508847547353</c:v>
                </c:pt>
                <c:pt idx="2">
                  <c:v>81.977793168316026</c:v>
                </c:pt>
                <c:pt idx="3">
                  <c:v>37.145736440383374</c:v>
                </c:pt>
                <c:pt idx="4">
                  <c:v>43.903871917542446</c:v>
                </c:pt>
                <c:pt idx="5">
                  <c:v>83.502594033223147</c:v>
                </c:pt>
                <c:pt idx="6">
                  <c:v>17.616695063451782</c:v>
                </c:pt>
                <c:pt idx="7">
                  <c:v>15.567270685868875</c:v>
                </c:pt>
                <c:pt idx="8">
                  <c:v>13.966560653587337</c:v>
                </c:pt>
                <c:pt idx="9">
                  <c:v>22.738822976872477</c:v>
                </c:pt>
                <c:pt idx="10">
                  <c:v>60.637317723298622</c:v>
                </c:pt>
                <c:pt idx="11">
                  <c:v>58.446301695484934</c:v>
                </c:pt>
                <c:pt idx="12">
                  <c:v>14.878254872716308</c:v>
                </c:pt>
                <c:pt idx="13">
                  <c:v>8.8852578157912987</c:v>
                </c:pt>
                <c:pt idx="14">
                  <c:v>25.16053680105826</c:v>
                </c:pt>
                <c:pt idx="15">
                  <c:v>20.361165478126061</c:v>
                </c:pt>
                <c:pt idx="16">
                  <c:v>17.376454790945417</c:v>
                </c:pt>
                <c:pt idx="17">
                  <c:v>65.879337343067263</c:v>
                </c:pt>
                <c:pt idx="18">
                  <c:v>21.871543451721784</c:v>
                </c:pt>
                <c:pt idx="19">
                  <c:v>0.80008169119102535</c:v>
                </c:pt>
                <c:pt idx="20">
                  <c:v>46.442664895555289</c:v>
                </c:pt>
                <c:pt idx="21">
                  <c:v>19.873360696539212</c:v>
                </c:pt>
                <c:pt idx="22">
                  <c:v>13.418760554653188</c:v>
                </c:pt>
                <c:pt idx="23">
                  <c:v>24.629983702384379</c:v>
                </c:pt>
                <c:pt idx="24">
                  <c:v>7.0598733495814647</c:v>
                </c:pt>
                <c:pt idx="25">
                  <c:v>76.388310986548959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2E-4752-A244-893F04CFF9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0496"/>
        <c:axId val="320200888"/>
      </c:barChart>
      <c:catAx>
        <c:axId val="320200496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extTo"/>
        <c:crossAx val="320200888"/>
        <c:crosses val="autoZero"/>
        <c:auto val="1"/>
        <c:lblAlgn val="ctr"/>
        <c:lblOffset val="100"/>
        <c:noMultiLvlLbl val="0"/>
      </c:catAx>
      <c:valAx>
        <c:axId val="320200888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0496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54132763162669373"/>
          <c:y val="0.95527891662688502"/>
          <c:w val="0.17405791669497794"/>
          <c:h val="3.1004491913691319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9718540339964518"/>
          <c:y val="3.4908754382882691E-2"/>
          <c:w val="0.46370250563807996"/>
          <c:h val="0.88947796371950538"/>
        </c:manualLayout>
      </c:layout>
      <c:barChart>
        <c:barDir val="bar"/>
        <c:grouping val="clustered"/>
        <c:varyColors val="0"/>
        <c:ser>
          <c:idx val="4"/>
          <c:order val="0"/>
          <c:tx>
            <c:strRef>
              <c:f>'ShiftShare T1'!$I$4</c:f>
              <c:strCache>
                <c:ptCount val="1"/>
                <c:pt idx="0">
                  <c:v>2015-2020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T1'!$H$8:$H$33</c:f>
              <c:numCache>
                <c:formatCode>#,##0</c:formatCode>
                <c:ptCount val="26"/>
                <c:pt idx="0">
                  <c:v>10.206446091711342</c:v>
                </c:pt>
                <c:pt idx="1">
                  <c:v>-9.9905976639291794E-2</c:v>
                </c:pt>
                <c:pt idx="2">
                  <c:v>6.7566166502182057</c:v>
                </c:pt>
                <c:pt idx="3">
                  <c:v>5.2398939788643268</c:v>
                </c:pt>
                <c:pt idx="4">
                  <c:v>1.1954986446318046</c:v>
                </c:pt>
                <c:pt idx="5">
                  <c:v>9.5842293298239767</c:v>
                </c:pt>
                <c:pt idx="6">
                  <c:v>2.8771648192758494</c:v>
                </c:pt>
                <c:pt idx="7">
                  <c:v>1.9953429387592756</c:v>
                </c:pt>
                <c:pt idx="8">
                  <c:v>-5.4836343491865946E-2</c:v>
                </c:pt>
                <c:pt idx="9">
                  <c:v>-1.7253978398659839</c:v>
                </c:pt>
                <c:pt idx="10">
                  <c:v>2.9310434708999438</c:v>
                </c:pt>
                <c:pt idx="11">
                  <c:v>-2.2252984351881366</c:v>
                </c:pt>
                <c:pt idx="12">
                  <c:v>-3.3636170091984958</c:v>
                </c:pt>
                <c:pt idx="13">
                  <c:v>-1.3724899836969726</c:v>
                </c:pt>
                <c:pt idx="14">
                  <c:v>-3.7423820430174324</c:v>
                </c:pt>
                <c:pt idx="15">
                  <c:v>-4.1032219904750029</c:v>
                </c:pt>
                <c:pt idx="16">
                  <c:v>-3.6708584044871948</c:v>
                </c:pt>
                <c:pt idx="17">
                  <c:v>-1.1396649986155509</c:v>
                </c:pt>
                <c:pt idx="18">
                  <c:v>-1.4916430630630089</c:v>
                </c:pt>
                <c:pt idx="19">
                  <c:v>1.722462205219355E-2</c:v>
                </c:pt>
                <c:pt idx="20">
                  <c:v>-2.0892108367589373</c:v>
                </c:pt>
                <c:pt idx="21">
                  <c:v>0.59374357668387567</c:v>
                </c:pt>
                <c:pt idx="22">
                  <c:v>-1.8043315162644298</c:v>
                </c:pt>
                <c:pt idx="23">
                  <c:v>-2.4160169485762744</c:v>
                </c:pt>
                <c:pt idx="24">
                  <c:v>-2.4925734372992778</c:v>
                </c:pt>
                <c:pt idx="25">
                  <c:v>-9.970755296283329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30-4246-8424-BFF62A2BAC31}"/>
            </c:ext>
          </c:extLst>
        </c:ser>
        <c:ser>
          <c:idx val="5"/>
          <c:order val="1"/>
          <c:tx>
            <c:strRef>
              <c:f>'ShiftShare T1'!$I$40</c:f>
              <c:strCache>
                <c:ptCount val="1"/>
                <c:pt idx="0">
                  <c:v>2020-2035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T1'!$H$44:$H$69</c:f>
              <c:numCache>
                <c:formatCode>#,##0</c:formatCode>
                <c:ptCount val="26"/>
                <c:pt idx="0">
                  <c:v>2.3260990665111621</c:v>
                </c:pt>
                <c:pt idx="1">
                  <c:v>14.693404363227653</c:v>
                </c:pt>
                <c:pt idx="2">
                  <c:v>12.044612476703719</c:v>
                </c:pt>
                <c:pt idx="3">
                  <c:v>3.6386480768076694</c:v>
                </c:pt>
                <c:pt idx="4">
                  <c:v>4.4853748992063842</c:v>
                </c:pt>
                <c:pt idx="5">
                  <c:v>16.180400441743473</c:v>
                </c:pt>
                <c:pt idx="6">
                  <c:v>-0.75563824488131814</c:v>
                </c:pt>
                <c:pt idx="7">
                  <c:v>0.86444332766932241</c:v>
                </c:pt>
                <c:pt idx="8">
                  <c:v>3.776169437688468</c:v>
                </c:pt>
                <c:pt idx="9">
                  <c:v>2.0157718270075797</c:v>
                </c:pt>
                <c:pt idx="10">
                  <c:v>0.54025103963129339</c:v>
                </c:pt>
                <c:pt idx="11">
                  <c:v>-11.49453843900767</c:v>
                </c:pt>
                <c:pt idx="12">
                  <c:v>-3.560235015307093</c:v>
                </c:pt>
                <c:pt idx="13">
                  <c:v>1.8538007286964771</c:v>
                </c:pt>
                <c:pt idx="14">
                  <c:v>3.2440982768619619E-2</c:v>
                </c:pt>
                <c:pt idx="15">
                  <c:v>-5.803079048146742E-2</c:v>
                </c:pt>
                <c:pt idx="16">
                  <c:v>1.4316396028725542</c:v>
                </c:pt>
                <c:pt idx="17">
                  <c:v>8.8879965741717015</c:v>
                </c:pt>
                <c:pt idx="18">
                  <c:v>0.87512701134369664</c:v>
                </c:pt>
                <c:pt idx="19">
                  <c:v>-0.14039095626722109</c:v>
                </c:pt>
                <c:pt idx="20">
                  <c:v>-5.9460878605762204</c:v>
                </c:pt>
                <c:pt idx="21">
                  <c:v>6.107468159163119</c:v>
                </c:pt>
                <c:pt idx="22">
                  <c:v>2.4791295201005248</c:v>
                </c:pt>
                <c:pt idx="23">
                  <c:v>1.9262795724012349</c:v>
                </c:pt>
                <c:pt idx="24">
                  <c:v>-1.6583349706813442</c:v>
                </c:pt>
                <c:pt idx="25">
                  <c:v>0.29219916948788693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30-4246-8424-BFF62A2BAC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1672"/>
        <c:axId val="320202064"/>
      </c:barChart>
      <c:catAx>
        <c:axId val="320201672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low"/>
        <c:crossAx val="320202064"/>
        <c:crosses val="autoZero"/>
        <c:auto val="1"/>
        <c:lblAlgn val="ctr"/>
        <c:lblOffset val="1000"/>
        <c:noMultiLvlLbl val="0"/>
      </c:catAx>
      <c:valAx>
        <c:axId val="320202064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167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6164780852212991"/>
          <c:y val="0.94823266163463993"/>
          <c:w val="0.2106189753783651"/>
          <c:h val="3.1117474689689728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9295888892981675E-2"/>
          <c:y val="3.5947604941935246E-2"/>
          <c:w val="0.90390271996709393"/>
          <c:h val="0.80496508415316914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T1'!$A$8</c:f>
              <c:strCache>
                <c:ptCount val="1"/>
                <c:pt idx="0">
                  <c:v>11 Corporate managers and directors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T1'!$C$8,'ShiftShare T1'!$F$8,'ShiftShare T1'!$F$44)</c:f>
              <c:numCache>
                <c:formatCode>0.0</c:formatCode>
                <c:ptCount val="3"/>
                <c:pt idx="0">
                  <c:v>7.9390749424940994</c:v>
                </c:pt>
                <c:pt idx="1">
                  <c:v>9.1228535920189273</c:v>
                </c:pt>
                <c:pt idx="2">
                  <c:v>8.774486304865551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6E-4072-ACC3-8D57D4851C1D}"/>
            </c:ext>
          </c:extLst>
        </c:ser>
        <c:ser>
          <c:idx val="2"/>
          <c:order val="1"/>
          <c:tx>
            <c:strRef>
              <c:f>'ShiftShare T1'!$A$9</c:f>
              <c:strCache>
                <c:ptCount val="1"/>
                <c:pt idx="0">
                  <c:v>12 Other managers and proprietors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T1'!$C$9,'ShiftShare T1'!$F$9,'ShiftShare T1'!$F$45)</c:f>
              <c:numCache>
                <c:formatCode>0.0</c:formatCode>
                <c:ptCount val="3"/>
                <c:pt idx="0">
                  <c:v>3.6011364629058775</c:v>
                </c:pt>
                <c:pt idx="1">
                  <c:v>3.591102017524022</c:v>
                </c:pt>
                <c:pt idx="2">
                  <c:v>4.9426900312646387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6E-4072-ACC3-8D57D4851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2848"/>
        <c:axId val="320203240"/>
      </c:lineChart>
      <c:catAx>
        <c:axId val="320202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03240"/>
        <c:crosses val="autoZero"/>
        <c:auto val="1"/>
        <c:lblAlgn val="ctr"/>
        <c:lblOffset val="100"/>
        <c:noMultiLvlLbl val="0"/>
      </c:catAx>
      <c:valAx>
        <c:axId val="320203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2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2.367846311576052E-2"/>
          <c:y val="0.91788153826032881"/>
          <c:w val="0.95853017103776827"/>
          <c:h val="6.462140443005880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3"/>
          <c:order val="0"/>
          <c:tx>
            <c:strRef>
              <c:f>'ShiftShare T1'!$A$14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T1'!$C$14,'ShiftShare T1'!$F$14,'ShiftShare T1'!$F$50)</c:f>
              <c:numCache>
                <c:formatCode>0.0</c:formatCode>
                <c:ptCount val="3"/>
                <c:pt idx="0">
                  <c:v>1.7913386037141112</c:v>
                </c:pt>
                <c:pt idx="1">
                  <c:v>2.1248535006861933</c:v>
                </c:pt>
                <c:pt idx="2">
                  <c:v>1.9035239155821948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1"/>
          <c:tx>
            <c:strRef>
              <c:f>'ShiftShare T1'!$A$15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T1'!$C$15,'ShiftShare T1'!$F$15,'ShiftShare T1'!$F$51)</c:f>
              <c:numCache>
                <c:formatCode>0.0</c:formatCode>
                <c:ptCount val="3"/>
                <c:pt idx="0">
                  <c:v>1.4690648515835485</c:v>
                </c:pt>
                <c:pt idx="1">
                  <c:v>1.700456531990141</c:v>
                </c:pt>
                <c:pt idx="2">
                  <c:v>1.6820789565898786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2"/>
          <c:tx>
            <c:strRef>
              <c:f>'ShiftShare T1'!$A$16</c:f>
              <c:strCache>
                <c:ptCount val="1"/>
                <c:pt idx="0">
                  <c:v>33 Protective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T1'!$C$16,'ShiftShare T1'!$F$16,'ShiftShare T1'!$F$52)</c:f>
              <c:numCache>
                <c:formatCode>0.0</c:formatCode>
                <c:ptCount val="3"/>
                <c:pt idx="0">
                  <c:v>1.1844125247126585</c:v>
                </c:pt>
                <c:pt idx="1">
                  <c:v>1.1785704126455947</c:v>
                </c:pt>
                <c:pt idx="2">
                  <c:v>1.5091186018022402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A1D-49CD-BB27-98A48CC6E552}"/>
            </c:ext>
          </c:extLst>
        </c:ser>
        <c:ser>
          <c:idx val="4"/>
          <c:order val="3"/>
          <c:tx>
            <c:strRef>
              <c:f>'ShiftShare T1'!$A$17</c:f>
              <c:strCache>
                <c:ptCount val="1"/>
                <c:pt idx="0">
                  <c:v>34 Culture, media and sports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T1'!$C$17,'ShiftShare T1'!$F$17,'ShiftShare T1'!$F$53)</c:f>
              <c:numCache>
                <c:formatCode>0.0</c:formatCode>
                <c:ptCount val="3"/>
                <c:pt idx="0">
                  <c:v>2.5951814139491538</c:v>
                </c:pt>
                <c:pt idx="1">
                  <c:v>2.3967259379469952</c:v>
                </c:pt>
                <c:pt idx="2">
                  <c:v>2.4569814708585702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A1D-49CD-BB27-98A48CC6E552}"/>
            </c:ext>
          </c:extLst>
        </c:ser>
        <c:ser>
          <c:idx val="5"/>
          <c:order val="4"/>
          <c:tx>
            <c:strRef>
              <c:f>'ShiftShare T1'!$A$18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T1'!$C$18,'ShiftShare T1'!$F$18,'ShiftShare T1'!$F$54)</c:f>
              <c:numCache>
                <c:formatCode>0.0</c:formatCode>
                <c:ptCount val="3"/>
                <c:pt idx="0">
                  <c:v>6.6087506098539732</c:v>
                </c:pt>
                <c:pt idx="1">
                  <c:v>6.9505304732220736</c:v>
                </c:pt>
                <c:pt idx="2">
                  <c:v>6.5519999095925163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A1D-49CD-BB27-98A48CC6E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4024"/>
        <c:axId val="320269064"/>
      </c:lineChart>
      <c:catAx>
        <c:axId val="320204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69064"/>
        <c:crosses val="autoZero"/>
        <c:auto val="1"/>
        <c:lblAlgn val="ctr"/>
        <c:lblOffset val="100"/>
        <c:noMultiLvlLbl val="0"/>
      </c:catAx>
      <c:valAx>
        <c:axId val="32026906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4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84908255569149549"/>
          <c:h val="0.20791568661300647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78565359775118182"/>
        </c:manualLayout>
      </c:layout>
      <c:lineChart>
        <c:grouping val="standard"/>
        <c:varyColors val="0"/>
        <c:ser>
          <c:idx val="4"/>
          <c:order val="0"/>
          <c:tx>
            <c:strRef>
              <c:f>'ShiftShare T1'!$A$19</c:f>
              <c:strCache>
                <c:ptCount val="1"/>
                <c:pt idx="0">
                  <c:v>41 Administrative occupations</c:v>
                </c:pt>
              </c:strCache>
            </c:strRef>
          </c:tx>
          <c:val>
            <c:numRef>
              <c:f>('ShiftShare T1'!$C$19,'ShiftShare T1'!$F$19,'ShiftShare T1'!$F$55)</c:f>
              <c:numCache>
                <c:formatCode>0.0</c:formatCode>
                <c:ptCount val="3"/>
                <c:pt idx="0">
                  <c:v>8.3428579684141386</c:v>
                </c:pt>
                <c:pt idx="1">
                  <c:v>8.0890127838745158</c:v>
                </c:pt>
                <c:pt idx="2">
                  <c:v>6.3152556511861917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4E-489B-AA3C-D474FCE6D67C}"/>
            </c:ext>
          </c:extLst>
        </c:ser>
        <c:ser>
          <c:idx val="1"/>
          <c:order val="1"/>
          <c:tx>
            <c:strRef>
              <c:f>'ShiftShare T1'!$A$20</c:f>
              <c:strCache>
                <c:ptCount val="1"/>
                <c:pt idx="0">
                  <c:v>42 Secretarial and related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T1'!$C$20,'ShiftShare T1'!$F$20,'ShiftShare T1'!$F$56)</c:f>
              <c:numCache>
                <c:formatCode>0.0</c:formatCode>
                <c:ptCount val="3"/>
                <c:pt idx="0">
                  <c:v>2.5204602166717986</c:v>
                </c:pt>
                <c:pt idx="1">
                  <c:v>2.1325048445622925</c:v>
                </c:pt>
                <c:pt idx="2">
                  <c:v>1.6076292329711035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4E-489B-AA3C-D474FCE6D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69848"/>
        <c:axId val="320270240"/>
      </c:lineChart>
      <c:catAx>
        <c:axId val="320269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0240"/>
        <c:crosses val="autoZero"/>
        <c:auto val="1"/>
        <c:lblAlgn val="ctr"/>
        <c:lblOffset val="100"/>
        <c:noMultiLvlLbl val="0"/>
      </c:catAx>
      <c:valAx>
        <c:axId val="320270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69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4.4974248467898471E-2"/>
          <c:y val="0.89428044341365409"/>
          <c:w val="0.88541212612219578"/>
          <c:h val="9.604213968957588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05656060376E-2"/>
          <c:y val="3.1694838332767254E-2"/>
          <c:w val="0.89724219155004581"/>
          <c:h val="0.7489724514245768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T1'!$A$25</c:f>
              <c:strCache>
                <c:ptCount val="1"/>
                <c:pt idx="0">
                  <c:v>61 Caring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T1'!$C$25,'ShiftShare T1'!$F$25,'ShiftShare T1'!$F$61)</c:f>
              <c:numCache>
                <c:formatCode>0.0</c:formatCode>
                <c:ptCount val="3"/>
                <c:pt idx="0">
                  <c:v>6.7203086418588454</c:v>
                </c:pt>
                <c:pt idx="1">
                  <c:v>6.5913375241598322</c:v>
                </c:pt>
                <c:pt idx="2">
                  <c:v>7.118412036057828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C8-4F4F-9A85-289A2A78C237}"/>
            </c:ext>
          </c:extLst>
        </c:ser>
        <c:ser>
          <c:idx val="3"/>
          <c:order val="1"/>
          <c:tx>
            <c:strRef>
              <c:f>'ShiftShare T1'!$A$26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T1'!$C$26,'ShiftShare T1'!$F$26,'ShiftShare T1'!$F$62)</c:f>
              <c:numCache>
                <c:formatCode>0.0</c:formatCode>
                <c:ptCount val="3"/>
                <c:pt idx="0">
                  <c:v>2.5997606376195619</c:v>
                </c:pt>
                <c:pt idx="1">
                  <c:v>2.4283420198438761</c:v>
                </c:pt>
                <c:pt idx="2">
                  <c:v>2.3632699482561215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3C8-4F4F-9A85-289A2A78C237}"/>
            </c:ext>
          </c:extLst>
        </c:ser>
        <c:ser>
          <c:idx val="0"/>
          <c:order val="2"/>
          <c:tx>
            <c:strRef>
              <c:f>'ShiftShare T1'!$A$27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val>
            <c:numRef>
              <c:f>('ShiftShare T1'!$C$27,'ShiftShare T1'!$F$27,'ShiftShare T1'!$F$63)</c:f>
              <c:numCache>
                <c:formatCode>0.0</c:formatCode>
                <c:ptCount val="3"/>
                <c:pt idx="0">
                  <c:v>0.1067332588142326</c:v>
                </c:pt>
                <c:pt idx="1">
                  <c:v>0.10877043017420505</c:v>
                </c:pt>
                <c:pt idx="2">
                  <c:v>8.6450644012178071E-2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18-4F57-BBB7-C2844FF396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1024"/>
        <c:axId val="320271416"/>
      </c:lineChart>
      <c:catAx>
        <c:axId val="320271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1416"/>
        <c:crosses val="autoZero"/>
        <c:auto val="1"/>
        <c:lblAlgn val="ctr"/>
        <c:lblOffset val="100"/>
        <c:noMultiLvlLbl val="0"/>
      </c:catAx>
      <c:valAx>
        <c:axId val="32027141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1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3.3354350200792061E-2"/>
          <c:y val="0.84966379700769423"/>
          <c:w val="0.92471690542165774"/>
          <c:h val="0.1503362029923058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76564146626E-2"/>
          <c:y val="3.7432015198227891E-2"/>
          <c:w val="0.89724219155004581"/>
          <c:h val="0.82011132728884228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T1'!$A$28</c:f>
              <c:strCache>
                <c:ptCount val="1"/>
                <c:pt idx="0">
                  <c:v>71 Sales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T1'!$C$28,'ShiftShare T1'!$F$28,'ShiftShare T1'!$F$64)</c:f>
              <c:numCache>
                <c:formatCode>0.0</c:formatCode>
                <c:ptCount val="3"/>
                <c:pt idx="0">
                  <c:v>6.2979940685765321</c:v>
                </c:pt>
                <c:pt idx="1">
                  <c:v>6.0590248838975205</c:v>
                </c:pt>
                <c:pt idx="2">
                  <c:v>5.0182354302917291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00-4934-A6E0-AD279657781B}"/>
            </c:ext>
          </c:extLst>
        </c:ser>
        <c:ser>
          <c:idx val="0"/>
          <c:order val="1"/>
          <c:tx>
            <c:strRef>
              <c:f>'ShiftShare T1'!$A$29</c:f>
              <c:strCache>
                <c:ptCount val="1"/>
                <c:pt idx="0">
                  <c:v>72 Customer service occupations</c:v>
                </c:pt>
              </c:strCache>
            </c:strRef>
          </c:tx>
          <c:val>
            <c:numRef>
              <c:f>('ShiftShare T1'!$C$29,'ShiftShare T1'!$F$29,'ShiftShare T1'!$F$65)</c:f>
              <c:numCache>
                <c:formatCode>0.0</c:formatCode>
                <c:ptCount val="3"/>
                <c:pt idx="0">
                  <c:v>1.5227829851494747</c:v>
                </c:pt>
                <c:pt idx="1">
                  <c:v>1.5920952694041559</c:v>
                </c:pt>
                <c:pt idx="2">
                  <c:v>2.1473617629526811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00-4934-A6E0-AD2796577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2200"/>
        <c:axId val="320272592"/>
      </c:lineChart>
      <c:catAx>
        <c:axId val="32027220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2592"/>
        <c:crosses val="autoZero"/>
        <c:auto val="1"/>
        <c:lblAlgn val="ctr"/>
        <c:lblOffset val="100"/>
        <c:noMultiLvlLbl val="0"/>
      </c:catAx>
      <c:valAx>
        <c:axId val="320272592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2200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34200636663143"/>
          <c:y val="0.91484329410538578"/>
          <c:w val="0.71469576168901416"/>
          <c:h val="8.458572012886506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T1'!$A$30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T1'!$C$30,'ShiftShare T1'!$F$30,'ShiftShare T1'!$F$66)</c:f>
              <c:numCache>
                <c:formatCode>0.0</c:formatCode>
                <c:ptCount val="3"/>
                <c:pt idx="0">
                  <c:v>1.4732819522219049</c:v>
                </c:pt>
                <c:pt idx="1">
                  <c:v>1.2652237965572568</c:v>
                </c:pt>
                <c:pt idx="2">
                  <c:v>1.4499275568574497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T1'!$A$31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T1'!$C$31,'ShiftShare T1'!$F$31,'ShiftShare T1'!$F$67)</c:f>
              <c:numCache>
                <c:formatCode>0.0</c:formatCode>
                <c:ptCount val="3"/>
                <c:pt idx="0">
                  <c:v>2.9039972114102706</c:v>
                </c:pt>
                <c:pt idx="1">
                  <c:v>2.6257984976386877</c:v>
                </c:pt>
                <c:pt idx="2">
                  <c:v>2.6613256827698097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6712"/>
        <c:axId val="320367104"/>
      </c:lineChart>
      <c:catAx>
        <c:axId val="320366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7104"/>
        <c:crosses val="autoZero"/>
        <c:auto val="1"/>
        <c:lblAlgn val="ctr"/>
        <c:lblOffset val="100"/>
        <c:noMultiLvlLbl val="0"/>
      </c:catAx>
      <c:valAx>
        <c:axId val="32036710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671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T1'!$C$10,'ShiftShare T1'!$F$10,'ShiftShare T1'!$F$46)</c:f>
              <c:numCache>
                <c:formatCode>0.0</c:formatCode>
                <c:ptCount val="3"/>
                <c:pt idx="0">
                  <c:v>7.30360680474611</c:v>
                </c:pt>
                <c:pt idx="1">
                  <c:v>8.0881269304695973</c:v>
                </c:pt>
                <c:pt idx="2">
                  <c:v>8.8578867534739931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1D-49CD-BB27-98A48CC6E552}"/>
            </c:ext>
          </c:extLst>
        </c:ser>
        <c:ser>
          <c:idx val="3"/>
          <c:order val="1"/>
          <c:tx>
            <c:strRef>
              <c:f>'ShiftShare T1'!$A$11</c:f>
              <c:strCache>
                <c:ptCount val="1"/>
                <c:pt idx="0">
                  <c:v>22 Health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T1'!$C$11,'ShiftShare T1'!$F$11,'ShiftShare T1'!$F$47)</c:f>
              <c:numCache>
                <c:formatCode>0.0</c:formatCode>
                <c:ptCount val="3"/>
                <c:pt idx="0">
                  <c:v>3.2678648545050453</c:v>
                </c:pt>
                <c:pt idx="1">
                  <c:v>3.8752646608502626</c:v>
                </c:pt>
                <c:pt idx="2">
                  <c:v>4.0136811939758026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2"/>
          <c:tx>
            <c:strRef>
              <c:f>'ShiftShare T1'!$A$12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T1'!$C$12,'ShiftShare T1'!$F$12,'ShiftShare T1'!$F$48)</c:f>
              <c:numCache>
                <c:formatCode>0.0</c:formatCode>
                <c:ptCount val="3"/>
                <c:pt idx="0">
                  <c:v>4.4188182003230327</c:v>
                </c:pt>
                <c:pt idx="1">
                  <c:v>4.5589490444966767</c:v>
                </c:pt>
                <c:pt idx="2">
                  <c:v>4.743913082487369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3"/>
          <c:tx>
            <c:strRef>
              <c:f>'ShiftShare T1'!$A$13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T1'!$C$13,'ShiftShare T1'!$F$13,'ShiftShare T1'!$F$49)</c:f>
              <c:numCache>
                <c:formatCode>0.0</c:formatCode>
                <c:ptCount val="3"/>
                <c:pt idx="0">
                  <c:v>6.6748705801302517</c:v>
                </c:pt>
                <c:pt idx="1">
                  <c:v>7.786153033803628</c:v>
                </c:pt>
                <c:pt idx="2">
                  <c:v>9.0226449503092621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88-46B4-8BF5-03AE894803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7888"/>
        <c:axId val="320368280"/>
      </c:lineChart>
      <c:catAx>
        <c:axId val="320367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8280"/>
        <c:crosses val="autoZero"/>
        <c:auto val="1"/>
        <c:lblAlgn val="ctr"/>
        <c:lblOffset val="100"/>
        <c:noMultiLvlLbl val="0"/>
      </c:catAx>
      <c:valAx>
        <c:axId val="32036828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788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67585879198024412"/>
          <c:h val="0.21647982074255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68242781751896942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T1'!$A$21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T1'!$C$21,'ShiftShare T1'!$F$21,'ShiftShare T1'!$F$57)</c:f>
              <c:numCache>
                <c:formatCode>0.0</c:formatCode>
                <c:ptCount val="3"/>
                <c:pt idx="0">
                  <c:v>0.97154895876807557</c:v>
                </c:pt>
                <c:pt idx="1">
                  <c:v>0.81322366384793932</c:v>
                </c:pt>
                <c:pt idx="2">
                  <c:v>0.96007228867583017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E4E-489B-AA3C-D474FCE6D67C}"/>
            </c:ext>
          </c:extLst>
        </c:ser>
        <c:ser>
          <c:idx val="3"/>
          <c:order val="1"/>
          <c:tx>
            <c:strRef>
              <c:f>'ShiftShare T1'!$A$22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T1'!$C$22,'ShiftShare T1'!$F$22,'ShiftShare T1'!$F$58)</c:f>
              <c:numCache>
                <c:formatCode>0.0</c:formatCode>
                <c:ptCount val="3"/>
                <c:pt idx="0">
                  <c:v>3.33760820588402</c:v>
                </c:pt>
                <c:pt idx="1">
                  <c:v>2.9061916888288355</c:v>
                </c:pt>
                <c:pt idx="2">
                  <c:v>2.7186531501622149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E4E-489B-AA3C-D474FCE6D67C}"/>
            </c:ext>
          </c:extLst>
        </c:ser>
        <c:ser>
          <c:idx val="0"/>
          <c:order val="2"/>
          <c:tx>
            <c:strRef>
              <c:f>'ShiftShare T1'!$A$23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T1'!$C$23,'ShiftShare T1'!$F$23,'ShiftShare T1'!$F$59)</c:f>
              <c:numCache>
                <c:formatCode>0.0</c:formatCode>
                <c:ptCount val="3"/>
                <c:pt idx="0">
                  <c:v>2.8349452614820176</c:v>
                </c:pt>
                <c:pt idx="1">
                  <c:v>2.3615835802886207</c:v>
                </c:pt>
                <c:pt idx="2">
                  <c:v>2.2000701775867237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E4E-489B-AA3C-D474FCE6D67C}"/>
            </c:ext>
          </c:extLst>
        </c:ser>
        <c:ser>
          <c:idx val="1"/>
          <c:order val="3"/>
          <c:tx>
            <c:strRef>
              <c:f>'ShiftShare T1'!$A$24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T1'!$C$24,'ShiftShare T1'!$F$24,'ShiftShare T1'!$F$60)</c:f>
              <c:numCache>
                <c:formatCode>0.0</c:formatCode>
                <c:ptCount val="3"/>
                <c:pt idx="0">
                  <c:v>2.2676948217131754</c:v>
                </c:pt>
                <c:pt idx="1">
                  <c:v>1.84409872178859</c:v>
                </c:pt>
                <c:pt idx="2">
                  <c:v>1.8775654084641036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1E-4A90-85D0-2B206F5901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9064"/>
        <c:axId val="320369456"/>
      </c:lineChart>
      <c:catAx>
        <c:axId val="320369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9456"/>
        <c:crosses val="autoZero"/>
        <c:auto val="1"/>
        <c:lblAlgn val="ctr"/>
        <c:lblOffset val="100"/>
        <c:noMultiLvlLbl val="0"/>
      </c:catAx>
      <c:valAx>
        <c:axId val="32036945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906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9.1071051195981773E-2"/>
          <c:y val="0.80073229115401567"/>
          <c:w val="0.53487078385524123"/>
          <c:h val="0.1992679199217881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T1'!$A$32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T1'!$C$32,'ShiftShare T1'!$F$32,'ShiftShare T1'!$F$68)</c:f>
              <c:numCache>
                <c:formatCode>0.0</c:formatCode>
                <c:ptCount val="3"/>
                <c:pt idx="0">
                  <c:v>1.2960366422809213</c:v>
                </c:pt>
                <c:pt idx="1">
                  <c:v>1.0083049963294333</c:v>
                </c:pt>
                <c:pt idx="2">
                  <c:v>0.76283535098419031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T1'!$A$33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T1'!$C$33,'ShiftShare T1'!$F$33,'ShiftShare T1'!$F$69)</c:f>
              <c:numCache>
                <c:formatCode>0.0</c:formatCode>
                <c:ptCount val="3"/>
                <c:pt idx="0">
                  <c:v>9.9498693202171538</c:v>
                </c:pt>
                <c:pt idx="1">
                  <c:v>8.8009011631501064</c:v>
                </c:pt>
                <c:pt idx="2">
                  <c:v>8.2539305079698249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597792"/>
        <c:axId val="320598184"/>
      </c:lineChart>
      <c:catAx>
        <c:axId val="32059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598184"/>
        <c:crosses val="autoZero"/>
        <c:auto val="1"/>
        <c:lblAlgn val="ctr"/>
        <c:lblOffset val="100"/>
        <c:noMultiLvlLbl val="0"/>
      </c:catAx>
      <c:valAx>
        <c:axId val="32059818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59779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370221327967807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F1'!$P$7:$P$15</c:f>
              <c:numCache>
                <c:formatCode>#,##0</c:formatCode>
                <c:ptCount val="9"/>
                <c:pt idx="0">
                  <c:v>-1.366135801193451</c:v>
                </c:pt>
                <c:pt idx="1">
                  <c:v>4.4054090925017633</c:v>
                </c:pt>
                <c:pt idx="2">
                  <c:v>0.16138029858690572</c:v>
                </c:pt>
                <c:pt idx="3">
                  <c:v>9.6227326292481763</c:v>
                </c:pt>
                <c:pt idx="4">
                  <c:v>3.2598505238562012</c:v>
                </c:pt>
                <c:pt idx="5">
                  <c:v>-15.054773454314756</c:v>
                </c:pt>
                <c:pt idx="6">
                  <c:v>6.4409973871153454</c:v>
                </c:pt>
                <c:pt idx="7">
                  <c:v>36.349035894461252</c:v>
                </c:pt>
                <c:pt idx="8">
                  <c:v>17.019503429738819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1C-463B-A3CC-2301F74E2AFA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F1'!$Q$7:$Q$15</c:f>
              <c:numCache>
                <c:formatCode>#,##0</c:formatCode>
                <c:ptCount val="9"/>
                <c:pt idx="0">
                  <c:v>38.995414787259762</c:v>
                </c:pt>
                <c:pt idx="1">
                  <c:v>22.196168441368918</c:v>
                </c:pt>
                <c:pt idx="2">
                  <c:v>29.543856914870606</c:v>
                </c:pt>
                <c:pt idx="3">
                  <c:v>55.293669613873334</c:v>
                </c:pt>
                <c:pt idx="4">
                  <c:v>33.742330294195213</c:v>
                </c:pt>
                <c:pt idx="5">
                  <c:v>25.492906885327344</c:v>
                </c:pt>
                <c:pt idx="6">
                  <c:v>63.596726873855872</c:v>
                </c:pt>
                <c:pt idx="7">
                  <c:v>142.29612832545197</c:v>
                </c:pt>
                <c:pt idx="8">
                  <c:v>79.586616785656844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1C-463B-A3CC-2301F74E2AF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3387492920127439"/>
          <c:y val="0.9421495097312633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816012331187075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F1'!$P$37:$P$62</c:f>
              <c:numCache>
                <c:formatCode>#,##0</c:formatCode>
                <c:ptCount val="26"/>
                <c:pt idx="0">
                  <c:v>2.3260990665111621</c:v>
                </c:pt>
                <c:pt idx="1">
                  <c:v>14.693404363227653</c:v>
                </c:pt>
                <c:pt idx="2">
                  <c:v>12.044612476703719</c:v>
                </c:pt>
                <c:pt idx="3">
                  <c:v>3.6386480768076694</c:v>
                </c:pt>
                <c:pt idx="4">
                  <c:v>4.4853748992063842</c:v>
                </c:pt>
                <c:pt idx="5">
                  <c:v>16.180400441743473</c:v>
                </c:pt>
                <c:pt idx="6">
                  <c:v>-0.75563824488131814</c:v>
                </c:pt>
                <c:pt idx="7">
                  <c:v>0.86444332766932241</c:v>
                </c:pt>
                <c:pt idx="8">
                  <c:v>3.776169437688468</c:v>
                </c:pt>
                <c:pt idx="9">
                  <c:v>2.0157718270075797</c:v>
                </c:pt>
                <c:pt idx="10">
                  <c:v>0.54025103963129339</c:v>
                </c:pt>
                <c:pt idx="11">
                  <c:v>-11.49453843900767</c:v>
                </c:pt>
                <c:pt idx="12">
                  <c:v>-3.560235015307093</c:v>
                </c:pt>
                <c:pt idx="13">
                  <c:v>1.8538007286964771</c:v>
                </c:pt>
                <c:pt idx="14">
                  <c:v>3.2440982768619619E-2</c:v>
                </c:pt>
                <c:pt idx="15">
                  <c:v>-5.803079048146742E-2</c:v>
                </c:pt>
                <c:pt idx="16">
                  <c:v>1.4316396028725542</c:v>
                </c:pt>
                <c:pt idx="17">
                  <c:v>8.8879965741717015</c:v>
                </c:pt>
                <c:pt idx="18">
                  <c:v>0.87512701134369664</c:v>
                </c:pt>
                <c:pt idx="19">
                  <c:v>-0.14039095626722109</c:v>
                </c:pt>
                <c:pt idx="20">
                  <c:v>-5.9460878605762204</c:v>
                </c:pt>
                <c:pt idx="21">
                  <c:v>6.107468159163119</c:v>
                </c:pt>
                <c:pt idx="22">
                  <c:v>2.4791295201005248</c:v>
                </c:pt>
                <c:pt idx="23">
                  <c:v>1.9262795724012349</c:v>
                </c:pt>
                <c:pt idx="24">
                  <c:v>-1.6583349706813442</c:v>
                </c:pt>
                <c:pt idx="25">
                  <c:v>0.29219916948788693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C9-4190-A82C-A7B3F7C4586D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F1'!$Q$37:$Q$62</c:f>
              <c:numCache>
                <c:formatCode>#,##0</c:formatCode>
                <c:ptCount val="26"/>
                <c:pt idx="0">
                  <c:v>41.699655097771874</c:v>
                </c:pt>
                <c:pt idx="1">
                  <c:v>37.886961687884963</c:v>
                </c:pt>
                <c:pt idx="2">
                  <c:v>40.759551868468648</c:v>
                </c:pt>
                <c:pt idx="3">
                  <c:v>22.767113328073336</c:v>
                </c:pt>
                <c:pt idx="4">
                  <c:v>25.90873287424818</c:v>
                </c:pt>
                <c:pt idx="5">
                  <c:v>52.860730254661796</c:v>
                </c:pt>
                <c:pt idx="6">
                  <c:v>6.3143435023315382</c:v>
                </c:pt>
                <c:pt idx="7">
                  <c:v>9.4070347100317324</c:v>
                </c:pt>
                <c:pt idx="8">
                  <c:v>8.1517484965904874</c:v>
                </c:pt>
                <c:pt idx="9">
                  <c:v>11.924299185909131</c:v>
                </c:pt>
                <c:pt idx="10">
                  <c:v>27.799300978992981</c:v>
                </c:pt>
                <c:pt idx="11">
                  <c:v>19.814793101437196</c:v>
                </c:pt>
                <c:pt idx="12">
                  <c:v>5.6781137838901365</c:v>
                </c:pt>
                <c:pt idx="13">
                  <c:v>6.306506863865792</c:v>
                </c:pt>
                <c:pt idx="14">
                  <c:v>9.8946985389537154</c:v>
                </c:pt>
                <c:pt idx="15">
                  <c:v>8.8362286921012778</c:v>
                </c:pt>
                <c:pt idx="16">
                  <c:v>8.7048961992744118</c:v>
                </c:pt>
                <c:pt idx="17">
                  <c:v>43.290935573514027</c:v>
                </c:pt>
                <c:pt idx="18">
                  <c:v>11.762308244467869</c:v>
                </c:pt>
                <c:pt idx="19">
                  <c:v>0.24042579589143387</c:v>
                </c:pt>
                <c:pt idx="20">
                  <c:v>15.273124507210991</c:v>
                </c:pt>
                <c:pt idx="21">
                  <c:v>14.270732407659608</c:v>
                </c:pt>
                <c:pt idx="22">
                  <c:v>7.4915687659144972</c:v>
                </c:pt>
                <c:pt idx="23">
                  <c:v>14.704599675454419</c:v>
                </c:pt>
                <c:pt idx="24">
                  <c:v>1.0732764465025273</c:v>
                </c:pt>
                <c:pt idx="25">
                  <c:v>37.922138340757229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C9-4190-A82C-A7B3F7C4586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max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21775285466260869"/>
          <c:y val="0.947686116700201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.xm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3" Type="http://schemas.openxmlformats.org/officeDocument/2006/relationships/chart" Target="../charts/chart4.xml"/><Relationship Id="rId7" Type="http://schemas.openxmlformats.org/officeDocument/2006/relationships/chart" Target="../charts/chart8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11" Type="http://schemas.openxmlformats.org/officeDocument/2006/relationships/image" Target="../media/image3.png"/><Relationship Id="rId5" Type="http://schemas.openxmlformats.org/officeDocument/2006/relationships/chart" Target="../charts/chart6.xml"/><Relationship Id="rId10" Type="http://schemas.openxmlformats.org/officeDocument/2006/relationships/hyperlink" Target="#Contents!A1"/><Relationship Id="rId4" Type="http://schemas.openxmlformats.org/officeDocument/2006/relationships/chart" Target="../charts/chart5.xml"/><Relationship Id="rId9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1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chart" Target="../charts/chart26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5.xml"/><Relationship Id="rId2" Type="http://schemas.openxmlformats.org/officeDocument/2006/relationships/chart" Target="../charts/chart15.xml"/><Relationship Id="rId16" Type="http://schemas.openxmlformats.org/officeDocument/2006/relationships/chart" Target="../charts/chart27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chart" Target="../charts/chart24.xml"/><Relationship Id="rId5" Type="http://schemas.openxmlformats.org/officeDocument/2006/relationships/chart" Target="../charts/chart18.xml"/><Relationship Id="rId15" Type="http://schemas.openxmlformats.org/officeDocument/2006/relationships/image" Target="../media/image3.png"/><Relationship Id="rId10" Type="http://schemas.openxmlformats.org/officeDocument/2006/relationships/chart" Target="../charts/chart23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hyperlink" Target="#Contents!A1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Relationship Id="rId6" Type="http://schemas.openxmlformats.org/officeDocument/2006/relationships/image" Target="../media/image3.png"/><Relationship Id="rId5" Type="http://schemas.openxmlformats.org/officeDocument/2006/relationships/hyperlink" Target="#Contents!A1"/><Relationship Id="rId4" Type="http://schemas.openxmlformats.org/officeDocument/2006/relationships/chart" Target="../charts/chart31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2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3.xml"/><Relationship Id="rId5" Type="http://schemas.openxmlformats.org/officeDocument/2006/relationships/chart" Target="../charts/chart35.xml"/><Relationship Id="rId4" Type="http://schemas.openxmlformats.org/officeDocument/2006/relationships/chart" Target="../charts/chart34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hyperlink" Target="#Contents!A1"/><Relationship Id="rId2" Type="http://schemas.openxmlformats.org/officeDocument/2006/relationships/chart" Target="../charts/chart37.xml"/><Relationship Id="rId1" Type="http://schemas.openxmlformats.org/officeDocument/2006/relationships/chart" Target="../charts/chart36.xml"/><Relationship Id="rId4" Type="http://schemas.openxmlformats.org/officeDocument/2006/relationships/image" Target="../media/image3.png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5.xml"/><Relationship Id="rId13" Type="http://schemas.openxmlformats.org/officeDocument/2006/relationships/chart" Target="../charts/chart48.xml"/><Relationship Id="rId3" Type="http://schemas.openxmlformats.org/officeDocument/2006/relationships/chart" Target="../charts/chart40.xml"/><Relationship Id="rId7" Type="http://schemas.openxmlformats.org/officeDocument/2006/relationships/chart" Target="../charts/chart44.xml"/><Relationship Id="rId12" Type="http://schemas.openxmlformats.org/officeDocument/2006/relationships/chart" Target="../charts/chart47.xml"/><Relationship Id="rId2" Type="http://schemas.openxmlformats.org/officeDocument/2006/relationships/chart" Target="../charts/chart39.xml"/><Relationship Id="rId1" Type="http://schemas.openxmlformats.org/officeDocument/2006/relationships/chart" Target="../charts/chart38.xml"/><Relationship Id="rId6" Type="http://schemas.openxmlformats.org/officeDocument/2006/relationships/chart" Target="../charts/chart43.xml"/><Relationship Id="rId11" Type="http://schemas.openxmlformats.org/officeDocument/2006/relationships/chart" Target="../charts/chart46.xml"/><Relationship Id="rId5" Type="http://schemas.openxmlformats.org/officeDocument/2006/relationships/chart" Target="../charts/chart42.xml"/><Relationship Id="rId10" Type="http://schemas.openxmlformats.org/officeDocument/2006/relationships/image" Target="../media/image3.png"/><Relationship Id="rId4" Type="http://schemas.openxmlformats.org/officeDocument/2006/relationships/chart" Target="../charts/chart41.xml"/><Relationship Id="rId9" Type="http://schemas.openxmlformats.org/officeDocument/2006/relationships/hyperlink" Target="#Contents!A1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49.xml"/><Relationship Id="rId4" Type="http://schemas.openxmlformats.org/officeDocument/2006/relationships/chart" Target="../charts/chart50.xml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10</xdr:row>
          <xdr:rowOff>95250</xdr:rowOff>
        </xdr:from>
        <xdr:to>
          <xdr:col>7</xdr:col>
          <xdr:colOff>609600</xdr:colOff>
          <xdr:row>12</xdr:row>
          <xdr:rowOff>76200</xdr:rowOff>
        </xdr:to>
        <xdr:sp macro="" textlink="">
          <xdr:nvSpPr>
            <xdr:cNvPr id="1025" name="SummaryTables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6</xdr:row>
          <xdr:rowOff>85725</xdr:rowOff>
        </xdr:from>
        <xdr:to>
          <xdr:col>1</xdr:col>
          <xdr:colOff>657225</xdr:colOff>
          <xdr:row>7</xdr:row>
          <xdr:rowOff>190500</xdr:rowOff>
        </xdr:to>
        <xdr:sp macro="" textlink="">
          <xdr:nvSpPr>
            <xdr:cNvPr id="1029" name="installDataButton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2609850</xdr:colOff>
      <xdr:row>1</xdr:row>
      <xdr:rowOff>9525</xdr:rowOff>
    </xdr:from>
    <xdr:to>
      <xdr:col>1</xdr:col>
      <xdr:colOff>2771775</xdr:colOff>
      <xdr:row>2</xdr:row>
      <xdr:rowOff>9525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52825" y="200025"/>
          <a:ext cx="161925" cy="1619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246531</xdr:colOff>
      <xdr:row>0</xdr:row>
      <xdr:rowOff>33618</xdr:rowOff>
    </xdr:from>
    <xdr:to>
      <xdr:col>21</xdr:col>
      <xdr:colOff>9302</xdr:colOff>
      <xdr:row>2</xdr:row>
      <xdr:rowOff>35859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696766" y="33618"/>
          <a:ext cx="369794" cy="36979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179296</xdr:colOff>
      <xdr:row>0</xdr:row>
      <xdr:rowOff>22412</xdr:rowOff>
    </xdr:from>
    <xdr:to>
      <xdr:col>9</xdr:col>
      <xdr:colOff>552900</xdr:colOff>
      <xdr:row>2</xdr:row>
      <xdr:rowOff>33618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97590" y="22412"/>
          <a:ext cx="369794" cy="36979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12</xdr:col>
      <xdr:colOff>605154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42176" y="0"/>
          <a:ext cx="369794" cy="36979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112060</xdr:colOff>
      <xdr:row>0</xdr:row>
      <xdr:rowOff>33618</xdr:rowOff>
    </xdr:from>
    <xdr:to>
      <xdr:col>14</xdr:col>
      <xdr:colOff>483796</xdr:colOff>
      <xdr:row>2</xdr:row>
      <xdr:rowOff>42919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2089" y="33618"/>
          <a:ext cx="367926" cy="36979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89647</xdr:colOff>
      <xdr:row>0</xdr:row>
      <xdr:rowOff>56029</xdr:rowOff>
    </xdr:from>
    <xdr:to>
      <xdr:col>25</xdr:col>
      <xdr:colOff>457573</xdr:colOff>
      <xdr:row>2</xdr:row>
      <xdr:rowOff>69140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52294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149860</xdr:rowOff>
    </xdr:from>
    <xdr:to>
      <xdr:col>9</xdr:col>
      <xdr:colOff>990600</xdr:colOff>
      <xdr:row>62</xdr:row>
      <xdr:rowOff>25400</xdr:rowOff>
    </xdr:to>
    <xdr:graphicFrame macro="">
      <xdr:nvGraphicFramePr>
        <xdr:cNvPr id="2051" name="Chart 3">
          <a:extLst>
            <a:ext uri="{FF2B5EF4-FFF2-40B4-BE49-F238E27FC236}">
              <a16:creationId xmlns:a16="http://schemas.microsoft.com/office/drawing/2014/main" id="{00000000-0008-0000-0A00-000003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266700</xdr:colOff>
      <xdr:row>0</xdr:row>
      <xdr:rowOff>0</xdr:rowOff>
    </xdr:from>
    <xdr:to>
      <xdr:col>13</xdr:col>
      <xdr:colOff>638399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0" y="0"/>
          <a:ext cx="369794" cy="369794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47</xdr:row>
      <xdr:rowOff>28575</xdr:rowOff>
    </xdr:from>
    <xdr:to>
      <xdr:col>9</xdr:col>
      <xdr:colOff>38100</xdr:colOff>
      <xdr:row>75</xdr:row>
      <xdr:rowOff>38100</xdr:rowOff>
    </xdr:to>
    <xdr:graphicFrame macro="">
      <xdr:nvGraphicFramePr>
        <xdr:cNvPr id="3082" name="Sector 1">
          <a:extLst>
            <a:ext uri="{FF2B5EF4-FFF2-40B4-BE49-F238E27FC236}">
              <a16:creationId xmlns:a16="http://schemas.microsoft.com/office/drawing/2014/main" id="{00000000-0008-0000-0B00-00000A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</xdr:colOff>
      <xdr:row>77</xdr:row>
      <xdr:rowOff>28575</xdr:rowOff>
    </xdr:from>
    <xdr:to>
      <xdr:col>9</xdr:col>
      <xdr:colOff>38100</xdr:colOff>
      <xdr:row>105</xdr:row>
      <xdr:rowOff>47625</xdr:rowOff>
    </xdr:to>
    <xdr:graphicFrame macro="">
      <xdr:nvGraphicFramePr>
        <xdr:cNvPr id="3083" name="Sector 2">
          <a:extLst>
            <a:ext uri="{FF2B5EF4-FFF2-40B4-BE49-F238E27FC236}">
              <a16:creationId xmlns:a16="http://schemas.microsoft.com/office/drawing/2014/main" id="{00000000-0008-0000-0B00-00000B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28575</xdr:colOff>
      <xdr:row>107</xdr:row>
      <xdr:rowOff>9525</xdr:rowOff>
    </xdr:from>
    <xdr:to>
      <xdr:col>9</xdr:col>
      <xdr:colOff>57150</xdr:colOff>
      <xdr:row>135</xdr:row>
      <xdr:rowOff>28575</xdr:rowOff>
    </xdr:to>
    <xdr:graphicFrame macro="">
      <xdr:nvGraphicFramePr>
        <xdr:cNvPr id="3084" name="Sector 3">
          <a:extLst>
            <a:ext uri="{FF2B5EF4-FFF2-40B4-BE49-F238E27FC236}">
              <a16:creationId xmlns:a16="http://schemas.microsoft.com/office/drawing/2014/main" id="{00000000-0008-0000-0B00-00000C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28575</xdr:colOff>
      <xdr:row>137</xdr:row>
      <xdr:rowOff>28575</xdr:rowOff>
    </xdr:from>
    <xdr:to>
      <xdr:col>9</xdr:col>
      <xdr:colOff>28575</xdr:colOff>
      <xdr:row>165</xdr:row>
      <xdr:rowOff>47625</xdr:rowOff>
    </xdr:to>
    <xdr:graphicFrame macro="">
      <xdr:nvGraphicFramePr>
        <xdr:cNvPr id="3085" name="Sector 4">
          <a:extLst>
            <a:ext uri="{FF2B5EF4-FFF2-40B4-BE49-F238E27FC236}">
              <a16:creationId xmlns:a16="http://schemas.microsoft.com/office/drawing/2014/main" id="{00000000-0008-0000-0B00-00000D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167</xdr:row>
      <xdr:rowOff>9525</xdr:rowOff>
    </xdr:from>
    <xdr:to>
      <xdr:col>9</xdr:col>
      <xdr:colOff>28575</xdr:colOff>
      <xdr:row>195</xdr:row>
      <xdr:rowOff>19050</xdr:rowOff>
    </xdr:to>
    <xdr:graphicFrame macro="">
      <xdr:nvGraphicFramePr>
        <xdr:cNvPr id="3086" name="Sector 5">
          <a:extLst>
            <a:ext uri="{FF2B5EF4-FFF2-40B4-BE49-F238E27FC236}">
              <a16:creationId xmlns:a16="http://schemas.microsoft.com/office/drawing/2014/main" id="{00000000-0008-0000-0B00-00000E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197</xdr:row>
      <xdr:rowOff>0</xdr:rowOff>
    </xdr:from>
    <xdr:to>
      <xdr:col>9</xdr:col>
      <xdr:colOff>28575</xdr:colOff>
      <xdr:row>225</xdr:row>
      <xdr:rowOff>28575</xdr:rowOff>
    </xdr:to>
    <xdr:graphicFrame macro="">
      <xdr:nvGraphicFramePr>
        <xdr:cNvPr id="3087" name="Sector 6">
          <a:extLst>
            <a:ext uri="{FF2B5EF4-FFF2-40B4-BE49-F238E27FC236}">
              <a16:creationId xmlns:a16="http://schemas.microsoft.com/office/drawing/2014/main" id="{00000000-0008-0000-0B00-00000F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2</xdr:row>
      <xdr:rowOff>17780</xdr:rowOff>
    </xdr:from>
    <xdr:to>
      <xdr:col>9</xdr:col>
      <xdr:colOff>30480</xdr:colOff>
      <xdr:row>45</xdr:row>
      <xdr:rowOff>17780</xdr:rowOff>
    </xdr:to>
    <xdr:graphicFrame macro="">
      <xdr:nvGraphicFramePr>
        <xdr:cNvPr id="3088" name="Sector 7">
          <a:extLst>
            <a:ext uri="{FF2B5EF4-FFF2-40B4-BE49-F238E27FC236}">
              <a16:creationId xmlns:a16="http://schemas.microsoft.com/office/drawing/2014/main" id="{00000000-0008-0000-0B00-000010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38100</xdr:colOff>
      <xdr:row>226</xdr:row>
      <xdr:rowOff>177800</xdr:rowOff>
    </xdr:from>
    <xdr:to>
      <xdr:col>9</xdr:col>
      <xdr:colOff>28575</xdr:colOff>
      <xdr:row>255</xdr:row>
      <xdr:rowOff>22225</xdr:rowOff>
    </xdr:to>
    <xdr:graphicFrame macro="">
      <xdr:nvGraphicFramePr>
        <xdr:cNvPr id="3089" name="Chart 17">
          <a:extLst>
            <a:ext uri="{FF2B5EF4-FFF2-40B4-BE49-F238E27FC236}">
              <a16:creationId xmlns:a16="http://schemas.microsoft.com/office/drawing/2014/main" id="{00000000-0008-0000-0B00-000011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257</xdr:row>
      <xdr:rowOff>0</xdr:rowOff>
    </xdr:from>
    <xdr:to>
      <xdr:col>8</xdr:col>
      <xdr:colOff>600075</xdr:colOff>
      <xdr:row>285</xdr:row>
      <xdr:rowOff>28575</xdr:rowOff>
    </xdr:to>
    <xdr:graphicFrame macro="">
      <xdr:nvGraphicFramePr>
        <xdr:cNvPr id="3090" name="Chart 18">
          <a:extLst>
            <a:ext uri="{FF2B5EF4-FFF2-40B4-BE49-F238E27FC236}">
              <a16:creationId xmlns:a16="http://schemas.microsoft.com/office/drawing/2014/main" id="{00000000-0008-0000-0B00-000012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1231900</xdr:colOff>
      <xdr:row>0</xdr:row>
      <xdr:rowOff>38100</xdr:rowOff>
    </xdr:from>
    <xdr:to>
      <xdr:col>10</xdr:col>
      <xdr:colOff>1601694</xdr:colOff>
      <xdr:row>2</xdr:row>
      <xdr:rowOff>39594</xdr:rowOff>
    </xdr:to>
    <xdr:pic>
      <xdr:nvPicPr>
        <xdr:cNvPr id="11" name="Picture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48600" y="38100"/>
          <a:ext cx="369794" cy="369794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235323</xdr:colOff>
      <xdr:row>0</xdr:row>
      <xdr:rowOff>0</xdr:rowOff>
    </xdr:from>
    <xdr:to>
      <xdr:col>17</xdr:col>
      <xdr:colOff>36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4352" y="0"/>
          <a:ext cx="367926" cy="369794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235324</xdr:colOff>
      <xdr:row>0</xdr:row>
      <xdr:rowOff>0</xdr:rowOff>
    </xdr:from>
    <xdr:to>
      <xdr:col>20</xdr:col>
      <xdr:colOff>37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97353" y="0"/>
          <a:ext cx="367926" cy="369794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224118</xdr:colOff>
      <xdr:row>0</xdr:row>
      <xdr:rowOff>0</xdr:rowOff>
    </xdr:from>
    <xdr:to>
      <xdr:col>35</xdr:col>
      <xdr:colOff>593912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230794" y="0"/>
          <a:ext cx="369794" cy="369794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224117</xdr:colOff>
      <xdr:row>0</xdr:row>
      <xdr:rowOff>0</xdr:rowOff>
    </xdr:from>
    <xdr:to>
      <xdr:col>33</xdr:col>
      <xdr:colOff>597721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96205" y="0"/>
          <a:ext cx="369794" cy="369794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13</xdr:col>
      <xdr:colOff>1867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13558" y="0"/>
          <a:ext cx="369794" cy="369794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89647</xdr:colOff>
      <xdr:row>0</xdr:row>
      <xdr:rowOff>56029</xdr:rowOff>
    </xdr:from>
    <xdr:to>
      <xdr:col>21</xdr:col>
      <xdr:colOff>457573</xdr:colOff>
      <xdr:row>2</xdr:row>
      <xdr:rowOff>72950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30853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48</xdr:col>
      <xdr:colOff>224118</xdr:colOff>
      <xdr:row>0</xdr:row>
      <xdr:rowOff>33619</xdr:rowOff>
    </xdr:from>
    <xdr:to>
      <xdr:col>48</xdr:col>
      <xdr:colOff>597722</xdr:colOff>
      <xdr:row>2</xdr:row>
      <xdr:rowOff>42920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726030" y="33619"/>
          <a:ext cx="369794" cy="369794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12700</xdr:rowOff>
    </xdr:from>
    <xdr:to>
      <xdr:col>9</xdr:col>
      <xdr:colOff>1057275</xdr:colOff>
      <xdr:row>78</xdr:row>
      <xdr:rowOff>79375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279400</xdr:colOff>
      <xdr:row>0</xdr:row>
      <xdr:rowOff>0</xdr:rowOff>
    </xdr:from>
    <xdr:to>
      <xdr:col>13</xdr:col>
      <xdr:colOff>651062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110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80</xdr:row>
      <xdr:rowOff>41276</xdr:rowOff>
    </xdr:from>
    <xdr:to>
      <xdr:col>9</xdr:col>
      <xdr:colOff>1057275</xdr:colOff>
      <xdr:row>147</xdr:row>
      <xdr:rowOff>155576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150</xdr:row>
      <xdr:rowOff>0</xdr:rowOff>
    </xdr:from>
    <xdr:to>
      <xdr:col>9</xdr:col>
      <xdr:colOff>1057275</xdr:colOff>
      <xdr:row>184</xdr:row>
      <xdr:rowOff>101600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162</xdr:row>
      <xdr:rowOff>9525</xdr:rowOff>
    </xdr:from>
    <xdr:to>
      <xdr:col>9</xdr:col>
      <xdr:colOff>9525</xdr:colOff>
      <xdr:row>194</xdr:row>
      <xdr:rowOff>57150</xdr:rowOff>
    </xdr:to>
    <xdr:graphicFrame macro="">
      <xdr:nvGraphicFramePr>
        <xdr:cNvPr id="2" name="OccGroup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196</xdr:row>
      <xdr:rowOff>190500</xdr:rowOff>
    </xdr:from>
    <xdr:to>
      <xdr:col>9</xdr:col>
      <xdr:colOff>9525</xdr:colOff>
      <xdr:row>229</xdr:row>
      <xdr:rowOff>28575</xdr:rowOff>
    </xdr:to>
    <xdr:graphicFrame macro="">
      <xdr:nvGraphicFramePr>
        <xdr:cNvPr id="3" name="OccGroup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73025</xdr:colOff>
      <xdr:row>232</xdr:row>
      <xdr:rowOff>50800</xdr:rowOff>
    </xdr:from>
    <xdr:to>
      <xdr:col>9</xdr:col>
      <xdr:colOff>57150</xdr:colOff>
      <xdr:row>264</xdr:row>
      <xdr:rowOff>69850</xdr:rowOff>
    </xdr:to>
    <xdr:graphicFrame macro="">
      <xdr:nvGraphicFramePr>
        <xdr:cNvPr id="4" name="OccGroup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9525</xdr:colOff>
      <xdr:row>267</xdr:row>
      <xdr:rowOff>0</xdr:rowOff>
    </xdr:from>
    <xdr:to>
      <xdr:col>9</xdr:col>
      <xdr:colOff>9525</xdr:colOff>
      <xdr:row>299</xdr:row>
      <xdr:rowOff>47625</xdr:rowOff>
    </xdr:to>
    <xdr:graphicFrame macro="">
      <xdr:nvGraphicFramePr>
        <xdr:cNvPr id="5" name="OccGroup 4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302</xdr:row>
      <xdr:rowOff>0</xdr:rowOff>
    </xdr:from>
    <xdr:to>
      <xdr:col>8</xdr:col>
      <xdr:colOff>2105025</xdr:colOff>
      <xdr:row>334</xdr:row>
      <xdr:rowOff>38100</xdr:rowOff>
    </xdr:to>
    <xdr:graphicFrame macro="">
      <xdr:nvGraphicFramePr>
        <xdr:cNvPr id="6" name="OccGroup 5"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9525</xdr:colOff>
      <xdr:row>337</xdr:row>
      <xdr:rowOff>0</xdr:rowOff>
    </xdr:from>
    <xdr:to>
      <xdr:col>8</xdr:col>
      <xdr:colOff>2114550</xdr:colOff>
      <xdr:row>369</xdr:row>
      <xdr:rowOff>9525</xdr:rowOff>
    </xdr:to>
    <xdr:graphicFrame macro="">
      <xdr:nvGraphicFramePr>
        <xdr:cNvPr id="7" name="OccGroup 6">
          <a:extLst>
            <a:ext uri="{FF2B5EF4-FFF2-40B4-BE49-F238E27FC236}">
              <a16:creationId xmlns:a16="http://schemas.microsoft.com/office/drawing/2014/main" id="{00000000-0008-0000-1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9525</xdr:colOff>
      <xdr:row>372</xdr:row>
      <xdr:rowOff>0</xdr:rowOff>
    </xdr:from>
    <xdr:to>
      <xdr:col>9</xdr:col>
      <xdr:colOff>9525</xdr:colOff>
      <xdr:row>404</xdr:row>
      <xdr:rowOff>38100</xdr:rowOff>
    </xdr:to>
    <xdr:graphicFrame macro="">
      <xdr:nvGraphicFramePr>
        <xdr:cNvPr id="8" name="OccGroup 7">
          <a:extLst>
            <a:ext uri="{FF2B5EF4-FFF2-40B4-BE49-F238E27FC236}">
              <a16:creationId xmlns:a16="http://schemas.microsoft.com/office/drawing/2014/main" id="{00000000-0008-0000-14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406</xdr:row>
      <xdr:rowOff>200025</xdr:rowOff>
    </xdr:from>
    <xdr:to>
      <xdr:col>9</xdr:col>
      <xdr:colOff>0</xdr:colOff>
      <xdr:row>437</xdr:row>
      <xdr:rowOff>114300</xdr:rowOff>
    </xdr:to>
    <xdr:graphicFrame macro="">
      <xdr:nvGraphicFramePr>
        <xdr:cNvPr id="9" name="OccGroup 8">
          <a:extLst>
            <a:ext uri="{FF2B5EF4-FFF2-40B4-BE49-F238E27FC236}">
              <a16:creationId xmlns:a16="http://schemas.microsoft.com/office/drawing/2014/main" id="{00000000-0008-0000-14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28575</xdr:colOff>
      <xdr:row>442</xdr:row>
      <xdr:rowOff>0</xdr:rowOff>
    </xdr:from>
    <xdr:to>
      <xdr:col>9</xdr:col>
      <xdr:colOff>9525</xdr:colOff>
      <xdr:row>474</xdr:row>
      <xdr:rowOff>0</xdr:rowOff>
    </xdr:to>
    <xdr:graphicFrame macro="">
      <xdr:nvGraphicFramePr>
        <xdr:cNvPr id="10" name="OccGroup 9">
          <a:extLst>
            <a:ext uri="{FF2B5EF4-FFF2-40B4-BE49-F238E27FC236}">
              <a16:creationId xmlns:a16="http://schemas.microsoft.com/office/drawing/2014/main" id="{00000000-0008-0000-14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0</xdr:colOff>
      <xdr:row>2</xdr:row>
      <xdr:rowOff>38100</xdr:rowOff>
    </xdr:from>
    <xdr:to>
      <xdr:col>9</xdr:col>
      <xdr:colOff>0</xdr:colOff>
      <xdr:row>57</xdr:row>
      <xdr:rowOff>15875</xdr:rowOff>
    </xdr:to>
    <xdr:graphicFrame macro="">
      <xdr:nvGraphicFramePr>
        <xdr:cNvPr id="12" name="OccGroup 11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116</xdr:row>
      <xdr:rowOff>0</xdr:rowOff>
    </xdr:from>
    <xdr:to>
      <xdr:col>9</xdr:col>
      <xdr:colOff>0</xdr:colOff>
      <xdr:row>159</xdr:row>
      <xdr:rowOff>142875</xdr:rowOff>
    </xdr:to>
    <xdr:graphicFrame macro="">
      <xdr:nvGraphicFramePr>
        <xdr:cNvPr id="13" name="OccGroup 11">
          <a:extLst>
            <a:ext uri="{FF2B5EF4-FFF2-40B4-BE49-F238E27FC236}">
              <a16:creationId xmlns:a16="http://schemas.microsoft.com/office/drawing/2014/main" id="{00000000-0008-0000-14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0</xdr:colOff>
      <xdr:row>477</xdr:row>
      <xdr:rowOff>0</xdr:rowOff>
    </xdr:from>
    <xdr:to>
      <xdr:col>8</xdr:col>
      <xdr:colOff>2108200</xdr:colOff>
      <xdr:row>501</xdr:row>
      <xdr:rowOff>114300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4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0</xdr:colOff>
      <xdr:row>505</xdr:row>
      <xdr:rowOff>0</xdr:rowOff>
    </xdr:from>
    <xdr:to>
      <xdr:col>8</xdr:col>
      <xdr:colOff>2082800</xdr:colOff>
      <xdr:row>530</xdr:row>
      <xdr:rowOff>12700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4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375472</xdr:colOff>
      <xdr:row>2</xdr:row>
      <xdr:rowOff>1494</xdr:rowOff>
    </xdr:to>
    <xdr:pic>
      <xdr:nvPicPr>
        <xdr:cNvPr id="16" name="Picture 1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1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741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58</xdr:row>
      <xdr:rowOff>76200</xdr:rowOff>
    </xdr:from>
    <xdr:to>
      <xdr:col>9</xdr:col>
      <xdr:colOff>0</xdr:colOff>
      <xdr:row>113</xdr:row>
      <xdr:rowOff>53975</xdr:rowOff>
    </xdr:to>
    <xdr:graphicFrame macro="">
      <xdr:nvGraphicFramePr>
        <xdr:cNvPr id="17" name="OccGroup 11">
          <a:extLst>
            <a:ext uri="{FF2B5EF4-FFF2-40B4-BE49-F238E27FC236}">
              <a16:creationId xmlns:a16="http://schemas.microsoft.com/office/drawing/2014/main" id="{00000000-0008-0000-14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25400</xdr:rowOff>
    </xdr:from>
    <xdr:to>
      <xdr:col>18</xdr:col>
      <xdr:colOff>622300</xdr:colOff>
      <xdr:row>29</xdr:row>
      <xdr:rowOff>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1500-000011000000}"/>
            </a:ext>
          </a:extLst>
        </xdr:cNvPr>
        <xdr:cNvGrpSpPr/>
      </xdr:nvGrpSpPr>
      <xdr:grpSpPr>
        <a:xfrm>
          <a:off x="0" y="393700"/>
          <a:ext cx="11582400" cy="4432300"/>
          <a:chOff x="0" y="279400"/>
          <a:chExt cx="11582400" cy="4432300"/>
        </a:xfrm>
      </xdr:grpSpPr>
      <xdr:grpSp>
        <xdr:nvGrpSpPr>
          <xdr:cNvPr id="15" name="Group 14">
            <a:extLst>
              <a:ext uri="{FF2B5EF4-FFF2-40B4-BE49-F238E27FC236}">
                <a16:creationId xmlns:a16="http://schemas.microsoft.com/office/drawing/2014/main" id="{00000000-0008-0000-1500-00000F000000}"/>
              </a:ext>
            </a:extLst>
          </xdr:cNvPr>
          <xdr:cNvGrpSpPr/>
        </xdr:nvGrpSpPr>
        <xdr:grpSpPr>
          <a:xfrm>
            <a:off x="0" y="279400"/>
            <a:ext cx="11582400" cy="4432300"/>
            <a:chOff x="38100" y="292100"/>
            <a:chExt cx="11582400" cy="4432300"/>
          </a:xfrm>
        </xdr:grpSpPr>
        <xdr:grpSp>
          <xdr:nvGrpSpPr>
            <xdr:cNvPr id="11" name="Group 10">
              <a:extLst>
                <a:ext uri="{FF2B5EF4-FFF2-40B4-BE49-F238E27FC236}">
                  <a16:creationId xmlns:a16="http://schemas.microsoft.com/office/drawing/2014/main" id="{00000000-0008-0000-1500-00000B000000}"/>
                </a:ext>
              </a:extLst>
            </xdr:cNvPr>
            <xdr:cNvGrpSpPr/>
          </xdr:nvGrpSpPr>
          <xdr:grpSpPr>
            <a:xfrm>
              <a:off x="76200" y="368300"/>
              <a:ext cx="11366500" cy="4229100"/>
              <a:chOff x="76200" y="368300"/>
              <a:chExt cx="11366500" cy="4229100"/>
            </a:xfrm>
            <a:noFill/>
          </xdr:grpSpPr>
          <xdr:graphicFrame macro="">
            <xdr:nvGraphicFramePr>
              <xdr:cNvPr id="7" name="Chart 6">
                <a:extLst>
                  <a:ext uri="{FF2B5EF4-FFF2-40B4-BE49-F238E27FC236}">
                    <a16:creationId xmlns:a16="http://schemas.microsoft.com/office/drawing/2014/main" id="{00000000-0008-0000-1500-000007000000}"/>
                  </a:ext>
                </a:extLst>
              </xdr:cNvPr>
              <xdr:cNvGraphicFramePr/>
            </xdr:nvGraphicFramePr>
            <xdr:xfrm>
              <a:off x="76200" y="368300"/>
              <a:ext cx="45339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"/>
              </a:graphicData>
            </a:graphic>
          </xdr:graphicFrame>
          <xdr:graphicFrame macro="">
            <xdr:nvGraphicFramePr>
              <xdr:cNvPr id="8" name="Chart 7">
                <a:extLst>
                  <a:ext uri="{FF2B5EF4-FFF2-40B4-BE49-F238E27FC236}">
                    <a16:creationId xmlns:a16="http://schemas.microsoft.com/office/drawing/2014/main" id="{00000000-0008-0000-1500-000008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45974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2"/>
              </a:graphicData>
            </a:graphic>
          </xdr:graphicFrame>
          <xdr:graphicFrame macro="">
            <xdr:nvGraphicFramePr>
              <xdr:cNvPr id="9" name="Chart 8">
                <a:extLst>
                  <a:ext uri="{FF2B5EF4-FFF2-40B4-BE49-F238E27FC236}">
                    <a16:creationId xmlns:a16="http://schemas.microsoft.com/office/drawing/2014/main" id="{00000000-0008-0000-1500-000009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6870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graphicFrame macro="">
            <xdr:nvGraphicFramePr>
              <xdr:cNvPr id="10" name="Chart 9">
                <a:extLst>
                  <a:ext uri="{FF2B5EF4-FFF2-40B4-BE49-F238E27FC236}">
                    <a16:creationId xmlns:a16="http://schemas.microsoft.com/office/drawing/2014/main" id="{00000000-0008-0000-1500-00000A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9156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</xdr:grpSp>
        <xdr:sp macro="" textlink="">
          <xdr:nvSpPr>
            <xdr:cNvPr id="14" name="Rectangle 13">
              <a:extLst>
                <a:ext uri="{FF2B5EF4-FFF2-40B4-BE49-F238E27FC236}">
                  <a16:creationId xmlns:a16="http://schemas.microsoft.com/office/drawing/2014/main" id="{00000000-0008-0000-1500-00000E000000}"/>
                </a:ext>
              </a:extLst>
            </xdr:cNvPr>
            <xdr:cNvSpPr/>
          </xdr:nvSpPr>
          <xdr:spPr>
            <a:xfrm>
              <a:off x="38100" y="292100"/>
              <a:ext cx="11582400" cy="4432300"/>
            </a:xfrm>
            <a:prstGeom prst="rect">
              <a:avLst/>
            </a:prstGeom>
            <a:noFill/>
            <a:ln w="3175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sp macro="" textlink="">
        <xdr:nvSpPr>
          <xdr:cNvPr id="16" name="TextBox 15">
            <a:extLst>
              <a:ext uri="{FF2B5EF4-FFF2-40B4-BE49-F238E27FC236}">
                <a16:creationId xmlns:a16="http://schemas.microsoft.com/office/drawing/2014/main" id="{00000000-0008-0000-1500-000010000000}"/>
              </a:ext>
            </a:extLst>
          </xdr:cNvPr>
          <xdr:cNvSpPr txBox="1"/>
        </xdr:nvSpPr>
        <xdr:spPr>
          <a:xfrm>
            <a:off x="10744200" y="279400"/>
            <a:ext cx="835806" cy="25455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GB" sz="1100">
                <a:latin typeface="Arial" panose="020B0604020202020204" pitchFamily="34" charset="0"/>
                <a:cs typeface="Arial" panose="020B0604020202020204" pitchFamily="34" charset="0"/>
              </a:rPr>
              <a:t>thousands</a:t>
            </a:r>
          </a:p>
        </xdr:txBody>
      </xdr:sp>
    </xdr:grpSp>
    <xdr:clientData/>
  </xdr:twoCellAnchor>
  <xdr:twoCellAnchor editAs="oneCell">
    <xdr:from>
      <xdr:col>21</xdr:col>
      <xdr:colOff>0</xdr:colOff>
      <xdr:row>0</xdr:row>
      <xdr:rowOff>0</xdr:rowOff>
    </xdr:from>
    <xdr:to>
      <xdr:col>21</xdr:col>
      <xdr:colOff>371662</xdr:colOff>
      <xdr:row>2</xdr:row>
      <xdr:rowOff>1494</xdr:rowOff>
    </xdr:to>
    <xdr:pic>
      <xdr:nvPicPr>
        <xdr:cNvPr id="21" name="Picture 2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5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60500" y="0"/>
          <a:ext cx="371662" cy="369794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38100</xdr:rowOff>
    </xdr:from>
    <xdr:to>
      <xdr:col>9</xdr:col>
      <xdr:colOff>234951</xdr:colOff>
      <xdr:row>38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5" name="Pictur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44300" y="0"/>
          <a:ext cx="371662" cy="369794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2</xdr:row>
      <xdr:rowOff>76200</xdr:rowOff>
    </xdr:from>
    <xdr:to>
      <xdr:col>9</xdr:col>
      <xdr:colOff>247651</xdr:colOff>
      <xdr:row>38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428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40</xdr:row>
      <xdr:rowOff>0</xdr:rowOff>
    </xdr:from>
    <xdr:to>
      <xdr:col>9</xdr:col>
      <xdr:colOff>234951</xdr:colOff>
      <xdr:row>76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79</xdr:row>
      <xdr:rowOff>0</xdr:rowOff>
    </xdr:from>
    <xdr:to>
      <xdr:col>9</xdr:col>
      <xdr:colOff>234951</xdr:colOff>
      <xdr:row>115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257736</xdr:colOff>
      <xdr:row>0</xdr:row>
      <xdr:rowOff>0</xdr:rowOff>
    </xdr:from>
    <xdr:to>
      <xdr:col>10</xdr:col>
      <xdr:colOff>24280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38030" y="0"/>
          <a:ext cx="371662" cy="369794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2</xdr:row>
      <xdr:rowOff>28575</xdr:rowOff>
    </xdr:from>
    <xdr:to>
      <xdr:col>8</xdr:col>
      <xdr:colOff>2114550</xdr:colOff>
      <xdr:row>47</xdr:row>
      <xdr:rowOff>85725</xdr:rowOff>
    </xdr:to>
    <xdr:graphicFrame macro="">
      <xdr:nvGraphicFramePr>
        <xdr:cNvPr id="29708" name="Qual 1">
          <a:extLst>
            <a:ext uri="{FF2B5EF4-FFF2-40B4-BE49-F238E27FC236}">
              <a16:creationId xmlns:a16="http://schemas.microsoft.com/office/drawing/2014/main" id="{00000000-0008-0000-1900-00000C7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52</xdr:row>
      <xdr:rowOff>12700</xdr:rowOff>
    </xdr:from>
    <xdr:to>
      <xdr:col>8</xdr:col>
      <xdr:colOff>2105025</xdr:colOff>
      <xdr:row>97</xdr:row>
      <xdr:rowOff>69850</xdr:rowOff>
    </xdr:to>
    <xdr:graphicFrame macro="">
      <xdr:nvGraphicFramePr>
        <xdr:cNvPr id="3" name="Qual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371662</xdr:colOff>
      <xdr:row>2</xdr:row>
      <xdr:rowOff>1494</xdr:rowOff>
    </xdr:to>
    <xdr:pic>
      <xdr:nvPicPr>
        <xdr:cNvPr id="4" name="Picture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67700" y="0"/>
          <a:ext cx="371662" cy="369794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35252</xdr:colOff>
      <xdr:row>2</xdr:row>
      <xdr:rowOff>11206</xdr:rowOff>
    </xdr:from>
    <xdr:to>
      <xdr:col>35</xdr:col>
      <xdr:colOff>381000</xdr:colOff>
      <xdr:row>54</xdr:row>
      <xdr:rowOff>44824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35</xdr:col>
      <xdr:colOff>547079</xdr:colOff>
      <xdr:row>2</xdr:row>
      <xdr:rowOff>38099</xdr:rowOff>
    </xdr:from>
    <xdr:to>
      <xdr:col>48</xdr:col>
      <xdr:colOff>582706</xdr:colOff>
      <xdr:row>54</xdr:row>
      <xdr:rowOff>44823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134471</xdr:colOff>
      <xdr:row>56</xdr:row>
      <xdr:rowOff>122892</xdr:rowOff>
    </xdr:from>
    <xdr:to>
      <xdr:col>30</xdr:col>
      <xdr:colOff>505946</xdr:colOff>
      <xdr:row>82</xdr:row>
      <xdr:rowOff>123264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B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41</xdr:col>
      <xdr:colOff>5041</xdr:colOff>
      <xdr:row>57</xdr:row>
      <xdr:rowOff>14382</xdr:rowOff>
    </xdr:from>
    <xdr:to>
      <xdr:col>49</xdr:col>
      <xdr:colOff>480172</xdr:colOff>
      <xdr:row>82</xdr:row>
      <xdr:rowOff>156881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B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99359</xdr:colOff>
      <xdr:row>83</xdr:row>
      <xdr:rowOff>85910</xdr:rowOff>
    </xdr:from>
    <xdr:to>
      <xdr:col>30</xdr:col>
      <xdr:colOff>493058</xdr:colOff>
      <xdr:row>108</xdr:row>
      <xdr:rowOff>100852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1B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41</xdr:col>
      <xdr:colOff>0</xdr:colOff>
      <xdr:row>83</xdr:row>
      <xdr:rowOff>142688</xdr:rowOff>
    </xdr:from>
    <xdr:to>
      <xdr:col>49</xdr:col>
      <xdr:colOff>489698</xdr:colOff>
      <xdr:row>109</xdr:row>
      <xdr:rowOff>44824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B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22</xdr:col>
      <xdr:colOff>38659</xdr:colOff>
      <xdr:row>110</xdr:row>
      <xdr:rowOff>53041</xdr:rowOff>
    </xdr:from>
    <xdr:to>
      <xdr:col>30</xdr:col>
      <xdr:colOff>518271</xdr:colOff>
      <xdr:row>138</xdr:row>
      <xdr:rowOff>112434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1B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31</xdr:col>
      <xdr:colOff>267449</xdr:colOff>
      <xdr:row>110</xdr:row>
      <xdr:rowOff>53041</xdr:rowOff>
    </xdr:from>
    <xdr:to>
      <xdr:col>40</xdr:col>
      <xdr:colOff>120464</xdr:colOff>
      <xdr:row>138</xdr:row>
      <xdr:rowOff>110939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1B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18</xdr:col>
      <xdr:colOff>33618</xdr:colOff>
      <xdr:row>0</xdr:row>
      <xdr:rowOff>56029</xdr:rowOff>
    </xdr:from>
    <xdr:to>
      <xdr:col>18</xdr:col>
      <xdr:colOff>405280</xdr:colOff>
      <xdr:row>1</xdr:row>
      <xdr:rowOff>190499</xdr:rowOff>
    </xdr:to>
    <xdr:pic>
      <xdr:nvPicPr>
        <xdr:cNvPr id="28" name="Picture 2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B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09177" y="56029"/>
          <a:ext cx="371662" cy="369794"/>
        </a:xfrm>
        <a:prstGeom prst="rect">
          <a:avLst/>
        </a:prstGeom>
      </xdr:spPr>
    </xdr:pic>
    <xdr:clientData/>
  </xdr:twoCellAnchor>
  <xdr:twoCellAnchor>
    <xdr:from>
      <xdr:col>31</xdr:col>
      <xdr:colOff>336177</xdr:colOff>
      <xdr:row>56</xdr:row>
      <xdr:rowOff>134470</xdr:rowOff>
    </xdr:from>
    <xdr:to>
      <xdr:col>40</xdr:col>
      <xdr:colOff>206190</xdr:colOff>
      <xdr:row>82</xdr:row>
      <xdr:rowOff>120087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B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31</xdr:col>
      <xdr:colOff>313765</xdr:colOff>
      <xdr:row>83</xdr:row>
      <xdr:rowOff>134470</xdr:rowOff>
    </xdr:from>
    <xdr:to>
      <xdr:col>40</xdr:col>
      <xdr:colOff>102346</xdr:colOff>
      <xdr:row>108</xdr:row>
      <xdr:rowOff>149412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B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41</xdr:col>
      <xdr:colOff>0</xdr:colOff>
      <xdr:row>110</xdr:row>
      <xdr:rowOff>56029</xdr:rowOff>
    </xdr:from>
    <xdr:to>
      <xdr:col>49</xdr:col>
      <xdr:colOff>458133</xdr:colOff>
      <xdr:row>138</xdr:row>
      <xdr:rowOff>113927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1B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201708</xdr:colOff>
      <xdr:row>0</xdr:row>
      <xdr:rowOff>11206</xdr:rowOff>
    </xdr:from>
    <xdr:to>
      <xdr:col>32</xdr:col>
      <xdr:colOff>573370</xdr:colOff>
      <xdr:row>1</xdr:row>
      <xdr:rowOff>78441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676855" y="11206"/>
          <a:ext cx="371662" cy="369794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7844</xdr:colOff>
      <xdr:row>2</xdr:row>
      <xdr:rowOff>39781</xdr:rowOff>
    </xdr:from>
    <xdr:to>
      <xdr:col>11</xdr:col>
      <xdr:colOff>593912</xdr:colOff>
      <xdr:row>31</xdr:row>
      <xdr:rowOff>77881</xdr:rowOff>
    </xdr:to>
    <xdr:graphicFrame macro="">
      <xdr:nvGraphicFramePr>
        <xdr:cNvPr id="19457" name="Chart 1">
          <a:extLst>
            <a:ext uri="{FF2B5EF4-FFF2-40B4-BE49-F238E27FC236}">
              <a16:creationId xmlns:a16="http://schemas.microsoft.com/office/drawing/2014/main" id="{00000000-0008-0000-1D00-0000014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672353</xdr:colOff>
      <xdr:row>0</xdr:row>
      <xdr:rowOff>0</xdr:rowOff>
    </xdr:from>
    <xdr:to>
      <xdr:col>16</xdr:col>
      <xdr:colOff>1044015</xdr:colOff>
      <xdr:row>2</xdr:row>
      <xdr:rowOff>11206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11735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34</xdr:row>
      <xdr:rowOff>22412</xdr:rowOff>
    </xdr:from>
    <xdr:to>
      <xdr:col>11</xdr:col>
      <xdr:colOff>586068</xdr:colOff>
      <xdr:row>77</xdr:row>
      <xdr:rowOff>112059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40</xdr:col>
      <xdr:colOff>105522</xdr:colOff>
      <xdr:row>0</xdr:row>
      <xdr:rowOff>0</xdr:rowOff>
    </xdr:from>
    <xdr:to>
      <xdr:col>40</xdr:col>
      <xdr:colOff>477184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98397" y="0"/>
          <a:ext cx="371662" cy="376331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98</xdr:col>
      <xdr:colOff>93381</xdr:colOff>
      <xdr:row>0</xdr:row>
      <xdr:rowOff>331508</xdr:rowOff>
    </xdr:from>
    <xdr:to>
      <xdr:col>98</xdr:col>
      <xdr:colOff>462242</xdr:colOff>
      <xdr:row>1</xdr:row>
      <xdr:rowOff>73773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11006" y="331508"/>
          <a:ext cx="368861" cy="377265"/>
        </a:xfrm>
        <a:prstGeom prst="rect">
          <a:avLst/>
        </a:prstGeom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92449</xdr:colOff>
      <xdr:row>0</xdr:row>
      <xdr:rowOff>15875</xdr:rowOff>
    </xdr:from>
    <xdr:to>
      <xdr:col>33</xdr:col>
      <xdr:colOff>464111</xdr:colOff>
      <xdr:row>1</xdr:row>
      <xdr:rowOff>183963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111824" y="15875"/>
          <a:ext cx="371662" cy="37446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feesudb/stfdir/output/roee_c0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oee_c01"/>
      <sheetName val="Contents"/>
      <sheetName val="Chapter 7 - Charts"/>
      <sheetName val="Chapter 5 - Charts"/>
      <sheetName val="Chapter 3 - Charts"/>
      <sheetName val="Chapter 4 - Charts"/>
      <sheetName val="Chapter 2 - Charts"/>
    </sheetNames>
    <sheetDataSet>
      <sheetData sheetId="0" refreshError="1"/>
      <sheetData sheetId="1" refreshError="1"/>
      <sheetData sheetId="2" refreshError="1">
        <row r="25">
          <cell r="D25" t="str">
            <v>Chart 7.1.   Regional economic activity rates, 1971-2010</v>
          </cell>
        </row>
        <row r="26">
          <cell r="D26" t="str">
            <v>All Regions</v>
          </cell>
        </row>
        <row r="27">
          <cell r="D27" t="str">
            <v>Total Employment</v>
          </cell>
        </row>
        <row r="67">
          <cell r="D67" t="str">
            <v>Chart 7.2.   Regional unemployment rates, 1971-2010</v>
          </cell>
        </row>
        <row r="68">
          <cell r="D68" t="str">
            <v>All Regions</v>
          </cell>
        </row>
        <row r="69">
          <cell r="D69" t="str">
            <v>Total Employment</v>
          </cell>
        </row>
        <row r="366">
          <cell r="D366" t="str">
            <v>Chart 7.6.b. (a)   Employment Levels by Broad Industrial Sector</v>
          </cell>
        </row>
        <row r="367">
          <cell r="D367" t="str">
            <v>East</v>
          </cell>
        </row>
        <row r="368">
          <cell r="D368" t="str">
            <v>Total Employment</v>
          </cell>
        </row>
        <row r="410">
          <cell r="D410" t="str">
            <v>Chart 7.7.b. (a)   Employment Levels by Broad Industrial Sector</v>
          </cell>
        </row>
        <row r="411">
          <cell r="D411" t="str">
            <v>North West</v>
          </cell>
        </row>
        <row r="412">
          <cell r="D412" t="str">
            <v>Total Employment</v>
          </cell>
        </row>
        <row r="454">
          <cell r="D454" t="str">
            <v>Chart 7.5.b. (b)   Employment Growth by Broad Industrial Sector</v>
          </cell>
        </row>
        <row r="455">
          <cell r="D455" t="str">
            <v>London</v>
          </cell>
        </row>
        <row r="456">
          <cell r="D456" t="str">
            <v>Total Employment</v>
          </cell>
        </row>
        <row r="499">
          <cell r="D499" t="str">
            <v>Chart 7.6.b. (b)   Employment Growth by Broad Industrial Sector</v>
          </cell>
        </row>
        <row r="500">
          <cell r="D500" t="str">
            <v>East</v>
          </cell>
        </row>
        <row r="501">
          <cell r="D501" t="str">
            <v>Total Employment</v>
          </cell>
        </row>
        <row r="543">
          <cell r="D543" t="str">
            <v>Chart 7.7.b. (b)   Employment Growth by Broad Industrial Sector</v>
          </cell>
        </row>
        <row r="544">
          <cell r="D544" t="str">
            <v>North West</v>
          </cell>
        </row>
        <row r="545">
          <cell r="D545" t="str">
            <v>Total Employment</v>
          </cell>
        </row>
        <row r="843">
          <cell r="D843" t="str">
            <v xml:space="preserve">Chart 7.10.a  Employment profiles by gender in the 'Distribution &amp; Transport, etc.' sector. </v>
          </cell>
        </row>
        <row r="844">
          <cell r="D844" t="str">
            <v>South West</v>
          </cell>
        </row>
        <row r="845">
          <cell r="D845" t="str">
            <v>Males</v>
          </cell>
        </row>
        <row r="886">
          <cell r="D886" t="str">
            <v xml:space="preserve">Chart 7.10.b  Employment profiles by gender in the 'Distribution &amp; Transport, etc.' sector. </v>
          </cell>
        </row>
        <row r="887">
          <cell r="D887" t="str">
            <v>South West</v>
          </cell>
        </row>
        <row r="888">
          <cell r="D888" t="str">
            <v>Females</v>
          </cell>
        </row>
        <row r="931">
          <cell r="D931" t="str">
            <v>Chart 7.11.a  Changing Occupational Profile of employment in Banking &amp; Business Services</v>
          </cell>
        </row>
        <row r="932">
          <cell r="D932" t="str">
            <v>London</v>
          </cell>
        </row>
        <row r="976">
          <cell r="D976" t="str">
            <v>Chart 7.11.b  Changing Occupational Profile of employment in Banking &amp; Business Services</v>
          </cell>
        </row>
        <row r="977">
          <cell r="D977" t="str">
            <v>Yorkshire &amp; the Humber</v>
          </cell>
        </row>
        <row r="1021">
          <cell r="D1021" t="str">
            <v>Chart 7.12.a.  Changing occupational profile of employment in Engineering</v>
          </cell>
        </row>
        <row r="1022">
          <cell r="D1022" t="str">
            <v>South East</v>
          </cell>
        </row>
        <row r="1065">
          <cell r="D1065" t="str">
            <v>Chart 7.12.b.  Changing occupational profile of employment in Engineering</v>
          </cell>
        </row>
        <row r="1066">
          <cell r="D1066" t="str">
            <v>West Midlands</v>
          </cell>
        </row>
        <row r="1110">
          <cell r="D1110" t="str">
            <v>Chart 7.12.c.  Changing occupational profile of employment in Engineering</v>
          </cell>
        </row>
        <row r="1111">
          <cell r="D1111" t="str">
            <v>Wales</v>
          </cell>
        </row>
      </sheetData>
      <sheetData sheetId="3" refreshError="1">
        <row r="25">
          <cell r="D25" t="str">
            <v>Chart 5.1.  Qualification Structure, 1979-1998 [% of total employment]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Labour Force Survey</v>
          </cell>
        </row>
        <row r="71">
          <cell r="D71" t="str">
            <v>Chart 5.2. (a)  Change in Employment Shares, 1979 - 1998 [% of total employment]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75">
          <cell r="AJ75">
            <v>2531.5990000000002</v>
          </cell>
          <cell r="AK75">
            <v>4287.2929999999997</v>
          </cell>
        </row>
        <row r="76">
          <cell r="AJ76">
            <v>1804.5730000000001</v>
          </cell>
          <cell r="AK76">
            <v>2817.6059999999998</v>
          </cell>
        </row>
        <row r="77">
          <cell r="AJ77">
            <v>1520.395</v>
          </cell>
          <cell r="AK77">
            <v>2662.07</v>
          </cell>
        </row>
        <row r="78">
          <cell r="AJ78">
            <v>4189.2690000000002</v>
          </cell>
          <cell r="AK78">
            <v>3973.6420000000007</v>
          </cell>
        </row>
        <row r="79">
          <cell r="AJ79">
            <v>4706.652</v>
          </cell>
          <cell r="AK79">
            <v>3247.0230000000001</v>
          </cell>
        </row>
        <row r="80">
          <cell r="AJ80">
            <v>1555.508</v>
          </cell>
          <cell r="AK80">
            <v>2827.058</v>
          </cell>
        </row>
        <row r="81">
          <cell r="AJ81">
            <v>999.12599999999998</v>
          </cell>
          <cell r="AK81">
            <v>1782.453</v>
          </cell>
        </row>
        <row r="82">
          <cell r="AJ82">
            <v>3585.4629999999997</v>
          </cell>
          <cell r="AK82">
            <v>2524.634</v>
          </cell>
        </row>
        <row r="83">
          <cell r="AJ83">
            <v>2810.288</v>
          </cell>
          <cell r="AK83">
            <v>2123.3029999999999</v>
          </cell>
        </row>
        <row r="84">
          <cell r="AJ84">
            <v>0</v>
          </cell>
          <cell r="AK84">
            <v>115.41700000000002</v>
          </cell>
        </row>
        <row r="85">
          <cell r="AJ85">
            <v>23702.873</v>
          </cell>
          <cell r="AK85">
            <v>26360.499000000003</v>
          </cell>
        </row>
        <row r="108">
          <cell r="D108" t="str">
            <v>Source: Labour Force Survey</v>
          </cell>
        </row>
        <row r="118">
          <cell r="D118" t="str">
            <v>Chart 5.2. (b)  Change in Employment Shares, 1983 - 1998 [% of total employment]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30">
          <cell r="D530" t="str">
            <v>Chart 5.3.  Change in Employment by Qualification, 1983 - 1998</v>
          </cell>
        </row>
        <row r="531">
          <cell r="D531" t="str">
            <v>United Kingdom</v>
          </cell>
        </row>
        <row r="532">
          <cell r="D532" t="str">
            <v>Total Employment</v>
          </cell>
        </row>
        <row r="567">
          <cell r="D567" t="str">
            <v>Source: Labour Force Survey</v>
          </cell>
        </row>
      </sheetData>
      <sheetData sheetId="4" refreshError="1">
        <row r="118">
          <cell r="D118" t="str">
            <v>Chart 3.4.  Change in Employment Structure, 1981-2010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99">
          <cell r="D599" t="str">
            <v>Chart 3.4.  Change in Employmend Broad by sector, 1981 - 2010</v>
          </cell>
        </row>
      </sheetData>
      <sheetData sheetId="5" refreshError="1">
        <row r="25">
          <cell r="D25" t="str">
            <v>Chart 4.2.(a)  Occupational Change, 1999-2010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CE/IER estimates, F92F9 Forecast</v>
          </cell>
        </row>
        <row r="71">
          <cell r="D71" t="str">
            <v>Chart 4.3.(a)  Occupational Change, 1999-2010</v>
          </cell>
        </row>
        <row r="72">
          <cell r="D72" t="str">
            <v>United Kingdom</v>
          </cell>
        </row>
        <row r="73">
          <cell r="D73" t="str">
            <v>Male Employment</v>
          </cell>
        </row>
        <row r="108">
          <cell r="D108" t="str">
            <v>Source: CE/IER estimates, F92F9 Forecast</v>
          </cell>
        </row>
        <row r="118">
          <cell r="D118" t="str">
            <v>Chart 4.4.(a)  Occupational Change, 1999-2010</v>
          </cell>
        </row>
        <row r="119">
          <cell r="D119" t="str">
            <v>United Kingdom</v>
          </cell>
        </row>
        <row r="120">
          <cell r="D120" t="str">
            <v>Female Employment</v>
          </cell>
        </row>
        <row r="155">
          <cell r="D155" t="str">
            <v>Source: CE/IER estimates, F92F9 Forecast</v>
          </cell>
        </row>
        <row r="165">
          <cell r="D165" t="str">
            <v>Chart 4.2.(b)  Occupational Change by Status, 1999-2010</v>
          </cell>
        </row>
        <row r="166">
          <cell r="D166" t="str">
            <v>United Kingdom</v>
          </cell>
        </row>
        <row r="167">
          <cell r="D167" t="str">
            <v>Total Employment</v>
          </cell>
        </row>
        <row r="209">
          <cell r="D209" t="str">
            <v>Source: CE/IER estimates, F92F9 Forecast</v>
          </cell>
        </row>
        <row r="216">
          <cell r="D216" t="str">
            <v>Chart 4.3.(b)  Occupational Change by Status, 1999-2010</v>
          </cell>
        </row>
        <row r="217">
          <cell r="D217" t="str">
            <v>United Kingdom</v>
          </cell>
        </row>
        <row r="218">
          <cell r="D218" t="str">
            <v>Male Employment</v>
          </cell>
        </row>
        <row r="260">
          <cell r="D260" t="str">
            <v>Source: CE/IER estimates, F92F9 Forecast</v>
          </cell>
        </row>
        <row r="267">
          <cell r="D267" t="str">
            <v>Chart 4.4.(b)  Occupational Change by Status, 1999-2010</v>
          </cell>
        </row>
        <row r="268">
          <cell r="D268" t="str">
            <v>United Kingdom</v>
          </cell>
        </row>
        <row r="269">
          <cell r="D269" t="str">
            <v>Female Employment</v>
          </cell>
        </row>
        <row r="311">
          <cell r="D311" t="str">
            <v>Source: CE/IER estimates, F92F9 Forecast</v>
          </cell>
        </row>
      </sheetData>
      <sheetData sheetId="6" refreshError="1">
        <row r="71">
          <cell r="D71" t="str">
            <v>Chart 2.2.  Growth in  Unemployment, Employment &amp; Labour Force, 1999-2010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108">
          <cell r="D108" t="str">
            <v>Source: CE/IER estimates, F02F9 Forecast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r.a.wilson@warwick.ac.uk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J12"/>
  <sheetViews>
    <sheetView workbookViewId="0">
      <selection activeCell="B2" sqref="B2"/>
    </sheetView>
  </sheetViews>
  <sheetFormatPr defaultRowHeight="12.75" x14ac:dyDescent="0.2"/>
  <cols>
    <col min="1" max="1" width="16.42578125" customWidth="1"/>
  </cols>
  <sheetData>
    <row r="1" spans="1:10" x14ac:dyDescent="0.2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</row>
    <row r="2" spans="1:10" x14ac:dyDescent="0.2">
      <c r="A2" t="s">
        <v>146</v>
      </c>
      <c r="B2" s="83" t="s">
        <v>526</v>
      </c>
      <c r="C2" t="s">
        <v>510</v>
      </c>
      <c r="D2" t="s">
        <v>509</v>
      </c>
    </row>
    <row r="3" spans="1:10" x14ac:dyDescent="0.2">
      <c r="B3" s="83"/>
    </row>
    <row r="11" spans="1:10" x14ac:dyDescent="0.2">
      <c r="A11" t="s">
        <v>147</v>
      </c>
      <c r="B11" s="83" t="s">
        <v>526</v>
      </c>
    </row>
    <row r="12" spans="1:10" x14ac:dyDescent="0.2">
      <c r="B12" s="83"/>
    </row>
  </sheetData>
  <phoneticPr fontId="4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9"/>
  <dimension ref="A1:N93"/>
  <sheetViews>
    <sheetView showGridLines="0" tabSelected="1" zoomScale="75" zoomScaleNormal="75" workbookViewId="0"/>
  </sheetViews>
  <sheetFormatPr defaultColWidth="10.42578125" defaultRowHeight="12.75" x14ac:dyDescent="0.2"/>
  <cols>
    <col min="1" max="13" width="11.5703125" style="214" customWidth="1"/>
    <col min="14" max="256" width="10.42578125" style="214"/>
    <col min="257" max="269" width="11.5703125" style="214" customWidth="1"/>
    <col min="270" max="512" width="10.42578125" style="214"/>
    <col min="513" max="525" width="11.5703125" style="214" customWidth="1"/>
    <col min="526" max="768" width="10.42578125" style="214"/>
    <col min="769" max="781" width="11.5703125" style="214" customWidth="1"/>
    <col min="782" max="1024" width="10.42578125" style="214"/>
    <col min="1025" max="1037" width="11.5703125" style="214" customWidth="1"/>
    <col min="1038" max="1280" width="10.42578125" style="214"/>
    <col min="1281" max="1293" width="11.5703125" style="214" customWidth="1"/>
    <col min="1294" max="1536" width="10.42578125" style="214"/>
    <col min="1537" max="1549" width="11.5703125" style="214" customWidth="1"/>
    <col min="1550" max="1792" width="10.42578125" style="214"/>
    <col min="1793" max="1805" width="11.5703125" style="214" customWidth="1"/>
    <col min="1806" max="2048" width="10.42578125" style="214"/>
    <col min="2049" max="2061" width="11.5703125" style="214" customWidth="1"/>
    <col min="2062" max="2304" width="10.42578125" style="214"/>
    <col min="2305" max="2317" width="11.5703125" style="214" customWidth="1"/>
    <col min="2318" max="2560" width="10.42578125" style="214"/>
    <col min="2561" max="2573" width="11.5703125" style="214" customWidth="1"/>
    <col min="2574" max="2816" width="10.42578125" style="214"/>
    <col min="2817" max="2829" width="11.5703125" style="214" customWidth="1"/>
    <col min="2830" max="3072" width="10.42578125" style="214"/>
    <col min="3073" max="3085" width="11.5703125" style="214" customWidth="1"/>
    <col min="3086" max="3328" width="10.42578125" style="214"/>
    <col min="3329" max="3341" width="11.5703125" style="214" customWidth="1"/>
    <col min="3342" max="3584" width="10.42578125" style="214"/>
    <col min="3585" max="3597" width="11.5703125" style="214" customWidth="1"/>
    <col min="3598" max="3840" width="10.42578125" style="214"/>
    <col min="3841" max="3853" width="11.5703125" style="214" customWidth="1"/>
    <col min="3854" max="4096" width="10.42578125" style="214"/>
    <col min="4097" max="4109" width="11.5703125" style="214" customWidth="1"/>
    <col min="4110" max="4352" width="10.42578125" style="214"/>
    <col min="4353" max="4365" width="11.5703125" style="214" customWidth="1"/>
    <col min="4366" max="4608" width="10.42578125" style="214"/>
    <col min="4609" max="4621" width="11.5703125" style="214" customWidth="1"/>
    <col min="4622" max="4864" width="10.42578125" style="214"/>
    <col min="4865" max="4877" width="11.5703125" style="214" customWidth="1"/>
    <col min="4878" max="5120" width="10.42578125" style="214"/>
    <col min="5121" max="5133" width="11.5703125" style="214" customWidth="1"/>
    <col min="5134" max="5376" width="10.42578125" style="214"/>
    <col min="5377" max="5389" width="11.5703125" style="214" customWidth="1"/>
    <col min="5390" max="5632" width="10.42578125" style="214"/>
    <col min="5633" max="5645" width="11.5703125" style="214" customWidth="1"/>
    <col min="5646" max="5888" width="10.42578125" style="214"/>
    <col min="5889" max="5901" width="11.5703125" style="214" customWidth="1"/>
    <col min="5902" max="6144" width="10.42578125" style="214"/>
    <col min="6145" max="6157" width="11.5703125" style="214" customWidth="1"/>
    <col min="6158" max="6400" width="10.42578125" style="214"/>
    <col min="6401" max="6413" width="11.5703125" style="214" customWidth="1"/>
    <col min="6414" max="6656" width="10.42578125" style="214"/>
    <col min="6657" max="6669" width="11.5703125" style="214" customWidth="1"/>
    <col min="6670" max="6912" width="10.42578125" style="214"/>
    <col min="6913" max="6925" width="11.5703125" style="214" customWidth="1"/>
    <col min="6926" max="7168" width="10.42578125" style="214"/>
    <col min="7169" max="7181" width="11.5703125" style="214" customWidth="1"/>
    <col min="7182" max="7424" width="10.42578125" style="214"/>
    <col min="7425" max="7437" width="11.5703125" style="214" customWidth="1"/>
    <col min="7438" max="7680" width="10.42578125" style="214"/>
    <col min="7681" max="7693" width="11.5703125" style="214" customWidth="1"/>
    <col min="7694" max="7936" width="10.42578125" style="214"/>
    <col min="7937" max="7949" width="11.5703125" style="214" customWidth="1"/>
    <col min="7950" max="8192" width="10.42578125" style="214"/>
    <col min="8193" max="8205" width="11.5703125" style="214" customWidth="1"/>
    <col min="8206" max="8448" width="10.42578125" style="214"/>
    <col min="8449" max="8461" width="11.5703125" style="214" customWidth="1"/>
    <col min="8462" max="8704" width="10.42578125" style="214"/>
    <col min="8705" max="8717" width="11.5703125" style="214" customWidth="1"/>
    <col min="8718" max="8960" width="10.42578125" style="214"/>
    <col min="8961" max="8973" width="11.5703125" style="214" customWidth="1"/>
    <col min="8974" max="9216" width="10.42578125" style="214"/>
    <col min="9217" max="9229" width="11.5703125" style="214" customWidth="1"/>
    <col min="9230" max="9472" width="10.42578125" style="214"/>
    <col min="9473" max="9485" width="11.5703125" style="214" customWidth="1"/>
    <col min="9486" max="9728" width="10.42578125" style="214"/>
    <col min="9729" max="9741" width="11.5703125" style="214" customWidth="1"/>
    <col min="9742" max="9984" width="10.42578125" style="214"/>
    <col min="9985" max="9997" width="11.5703125" style="214" customWidth="1"/>
    <col min="9998" max="10240" width="10.42578125" style="214"/>
    <col min="10241" max="10253" width="11.5703125" style="214" customWidth="1"/>
    <col min="10254" max="10496" width="10.42578125" style="214"/>
    <col min="10497" max="10509" width="11.5703125" style="214" customWidth="1"/>
    <col min="10510" max="10752" width="10.42578125" style="214"/>
    <col min="10753" max="10765" width="11.5703125" style="214" customWidth="1"/>
    <col min="10766" max="11008" width="10.42578125" style="214"/>
    <col min="11009" max="11021" width="11.5703125" style="214" customWidth="1"/>
    <col min="11022" max="11264" width="10.42578125" style="214"/>
    <col min="11265" max="11277" width="11.5703125" style="214" customWidth="1"/>
    <col min="11278" max="11520" width="10.42578125" style="214"/>
    <col min="11521" max="11533" width="11.5703125" style="214" customWidth="1"/>
    <col min="11534" max="11776" width="10.42578125" style="214"/>
    <col min="11777" max="11789" width="11.5703125" style="214" customWidth="1"/>
    <col min="11790" max="12032" width="10.42578125" style="214"/>
    <col min="12033" max="12045" width="11.5703125" style="214" customWidth="1"/>
    <col min="12046" max="12288" width="10.42578125" style="214"/>
    <col min="12289" max="12301" width="11.5703125" style="214" customWidth="1"/>
    <col min="12302" max="12544" width="10.42578125" style="214"/>
    <col min="12545" max="12557" width="11.5703125" style="214" customWidth="1"/>
    <col min="12558" max="12800" width="10.42578125" style="214"/>
    <col min="12801" max="12813" width="11.5703125" style="214" customWidth="1"/>
    <col min="12814" max="13056" width="10.42578125" style="214"/>
    <col min="13057" max="13069" width="11.5703125" style="214" customWidth="1"/>
    <col min="13070" max="13312" width="10.42578125" style="214"/>
    <col min="13313" max="13325" width="11.5703125" style="214" customWidth="1"/>
    <col min="13326" max="13568" width="10.42578125" style="214"/>
    <col min="13569" max="13581" width="11.5703125" style="214" customWidth="1"/>
    <col min="13582" max="13824" width="10.42578125" style="214"/>
    <col min="13825" max="13837" width="11.5703125" style="214" customWidth="1"/>
    <col min="13838" max="14080" width="10.42578125" style="214"/>
    <col min="14081" max="14093" width="11.5703125" style="214" customWidth="1"/>
    <col min="14094" max="14336" width="10.42578125" style="214"/>
    <col min="14337" max="14349" width="11.5703125" style="214" customWidth="1"/>
    <col min="14350" max="14592" width="10.42578125" style="214"/>
    <col min="14593" max="14605" width="11.5703125" style="214" customWidth="1"/>
    <col min="14606" max="14848" width="10.42578125" style="214"/>
    <col min="14849" max="14861" width="11.5703125" style="214" customWidth="1"/>
    <col min="14862" max="15104" width="10.42578125" style="214"/>
    <col min="15105" max="15117" width="11.5703125" style="214" customWidth="1"/>
    <col min="15118" max="15360" width="10.42578125" style="214"/>
    <col min="15361" max="15373" width="11.5703125" style="214" customWidth="1"/>
    <col min="15374" max="15616" width="10.42578125" style="214"/>
    <col min="15617" max="15629" width="11.5703125" style="214" customWidth="1"/>
    <col min="15630" max="15872" width="10.42578125" style="214"/>
    <col min="15873" max="15885" width="11.5703125" style="214" customWidth="1"/>
    <col min="15886" max="16128" width="10.42578125" style="214"/>
    <col min="16129" max="16141" width="11.5703125" style="214" customWidth="1"/>
    <col min="16142" max="16384" width="10.42578125" style="214"/>
  </cols>
  <sheetData>
    <row r="1" spans="1:14" x14ac:dyDescent="0.2">
      <c r="A1" s="216"/>
      <c r="B1" s="216"/>
      <c r="C1" s="216"/>
      <c r="D1" s="216"/>
      <c r="E1" s="216"/>
      <c r="F1" s="216"/>
      <c r="G1" s="216"/>
      <c r="H1" s="216"/>
      <c r="I1" s="216"/>
      <c r="J1" s="216"/>
      <c r="K1" s="216"/>
      <c r="L1" s="216"/>
      <c r="M1" s="216"/>
      <c r="N1" s="216"/>
    </row>
    <row r="2" spans="1:14" ht="18.75" customHeight="1" x14ac:dyDescent="0.2">
      <c r="A2" s="216"/>
      <c r="B2" s="216"/>
      <c r="C2" s="216"/>
      <c r="D2" s="216"/>
      <c r="E2" s="216"/>
      <c r="F2" s="368" t="s">
        <v>151</v>
      </c>
      <c r="G2" s="368"/>
      <c r="H2" s="368"/>
      <c r="I2" s="216"/>
      <c r="J2" s="216"/>
      <c r="K2" s="216"/>
      <c r="L2" s="216"/>
      <c r="M2" s="216"/>
      <c r="N2" s="216"/>
    </row>
    <row r="3" spans="1:14" ht="18.75" customHeight="1" x14ac:dyDescent="0.2">
      <c r="A3" s="216"/>
      <c r="B3" s="216"/>
      <c r="C3" s="369" t="s">
        <v>454</v>
      </c>
      <c r="D3" s="369"/>
      <c r="E3" s="369"/>
      <c r="F3" s="369"/>
      <c r="G3" s="369"/>
      <c r="H3" s="369"/>
      <c r="I3" s="369"/>
      <c r="J3" s="369"/>
      <c r="K3" s="369"/>
      <c r="L3" s="216"/>
      <c r="M3" s="216"/>
      <c r="N3" s="216"/>
    </row>
    <row r="4" spans="1:14" ht="18.75" customHeight="1" x14ac:dyDescent="0.2">
      <c r="A4" s="216"/>
      <c r="B4" s="216"/>
      <c r="C4" s="369" t="s">
        <v>455</v>
      </c>
      <c r="D4" s="369"/>
      <c r="E4" s="369"/>
      <c r="F4" s="369"/>
      <c r="G4" s="369"/>
      <c r="H4" s="369"/>
      <c r="I4" s="369"/>
      <c r="J4" s="369"/>
      <c r="K4" s="369"/>
      <c r="L4" s="216"/>
      <c r="M4" s="216"/>
      <c r="N4" s="216"/>
    </row>
    <row r="5" spans="1:14" ht="18.75" customHeight="1" x14ac:dyDescent="0.2">
      <c r="A5" s="216"/>
      <c r="B5" s="216"/>
      <c r="C5" s="216"/>
      <c r="D5" s="216"/>
      <c r="E5" s="216"/>
      <c r="F5" s="216"/>
      <c r="G5" s="356" t="s">
        <v>152</v>
      </c>
      <c r="H5" s="216"/>
      <c r="I5" s="216"/>
      <c r="J5" s="216"/>
      <c r="K5" s="216"/>
      <c r="L5" s="216"/>
      <c r="M5" s="216"/>
      <c r="N5" s="216"/>
    </row>
    <row r="6" spans="1:14" ht="12.75" customHeight="1" x14ac:dyDescent="0.2">
      <c r="A6" s="216"/>
      <c r="B6" s="216"/>
      <c r="C6" s="216"/>
      <c r="D6" s="216"/>
      <c r="E6" s="216"/>
      <c r="F6" s="216"/>
      <c r="G6" s="216"/>
      <c r="H6" s="216"/>
      <c r="I6" s="216"/>
      <c r="J6" s="216"/>
      <c r="K6" s="216"/>
      <c r="L6" s="216"/>
      <c r="M6" s="216"/>
      <c r="N6" s="216"/>
    </row>
    <row r="7" spans="1:14" ht="19.5" customHeight="1" x14ac:dyDescent="0.2">
      <c r="A7" s="216"/>
      <c r="B7" s="216"/>
      <c r="C7" s="370" t="s">
        <v>153</v>
      </c>
      <c r="D7" s="370"/>
      <c r="E7" s="370"/>
      <c r="F7" s="370"/>
      <c r="G7" s="370"/>
      <c r="H7" s="370"/>
      <c r="I7" s="370"/>
      <c r="J7" s="370"/>
      <c r="K7" s="370"/>
      <c r="L7" s="216"/>
      <c r="M7" s="216"/>
      <c r="N7" s="216"/>
    </row>
    <row r="8" spans="1:14" ht="18.75" customHeight="1" x14ac:dyDescent="0.2">
      <c r="A8" s="216"/>
      <c r="B8" s="216"/>
      <c r="C8" s="371" t="s">
        <v>154</v>
      </c>
      <c r="D8" s="371"/>
      <c r="E8" s="371"/>
      <c r="F8" s="371"/>
      <c r="G8" s="371"/>
      <c r="H8" s="371"/>
      <c r="I8" s="371"/>
      <c r="J8" s="371"/>
      <c r="K8" s="371"/>
      <c r="L8" s="216"/>
      <c r="M8" s="216"/>
      <c r="N8" s="216"/>
    </row>
    <row r="9" spans="1:14" ht="18.75" customHeight="1" x14ac:dyDescent="0.2">
      <c r="A9" s="216"/>
      <c r="B9" s="371" t="s">
        <v>155</v>
      </c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55"/>
      <c r="N9" s="216"/>
    </row>
    <row r="10" spans="1:14" ht="18.75" customHeight="1" x14ac:dyDescent="0.2">
      <c r="A10" s="216"/>
      <c r="B10" s="355"/>
      <c r="C10" s="355"/>
      <c r="D10" s="355"/>
      <c r="E10" s="355"/>
      <c r="F10" s="355"/>
      <c r="G10" s="355"/>
      <c r="H10" s="355"/>
      <c r="I10" s="355"/>
      <c r="J10" s="355"/>
      <c r="K10" s="355"/>
      <c r="L10" s="355"/>
      <c r="M10" s="355"/>
      <c r="N10" s="216"/>
    </row>
    <row r="11" spans="1:14" x14ac:dyDescent="0.2">
      <c r="A11" s="216"/>
      <c r="B11" s="216"/>
      <c r="C11" s="216"/>
      <c r="D11" s="216"/>
      <c r="E11" s="216"/>
      <c r="F11" s="216"/>
      <c r="G11" s="216"/>
      <c r="H11" s="216"/>
      <c r="I11" s="216"/>
      <c r="J11" s="216"/>
      <c r="K11" s="216"/>
      <c r="L11" s="216"/>
      <c r="M11" s="216"/>
      <c r="N11" s="216"/>
    </row>
    <row r="12" spans="1:14" ht="15.75" x14ac:dyDescent="0.2">
      <c r="A12" s="216"/>
      <c r="B12" s="216"/>
      <c r="C12" s="216"/>
      <c r="D12" s="216"/>
      <c r="E12" s="216"/>
      <c r="F12" s="216"/>
      <c r="G12" s="217" t="s">
        <v>508</v>
      </c>
      <c r="H12" s="216"/>
      <c r="I12" s="216"/>
      <c r="J12" s="216"/>
      <c r="K12" s="216"/>
      <c r="L12" s="216"/>
      <c r="M12" s="216"/>
      <c r="N12" s="216"/>
    </row>
    <row r="13" spans="1:14" x14ac:dyDescent="0.2">
      <c r="A13" s="216"/>
      <c r="B13" s="216"/>
      <c r="C13" s="216"/>
      <c r="D13" s="216"/>
      <c r="E13" s="216"/>
      <c r="F13" s="216"/>
      <c r="G13" s="216"/>
      <c r="H13" s="216"/>
      <c r="I13" s="216"/>
      <c r="J13" s="216"/>
      <c r="K13" s="216"/>
      <c r="L13" s="216"/>
      <c r="M13" s="216"/>
      <c r="N13" s="216"/>
    </row>
    <row r="14" spans="1:14" ht="13.5" thickBot="1" x14ac:dyDescent="0.25">
      <c r="A14" s="216"/>
      <c r="B14" s="216"/>
      <c r="C14" s="216"/>
      <c r="D14" s="216"/>
      <c r="E14" s="216"/>
      <c r="F14" s="216"/>
      <c r="G14" s="216"/>
      <c r="H14" s="216"/>
      <c r="I14" s="216"/>
      <c r="J14" s="216"/>
      <c r="K14" s="216"/>
      <c r="L14" s="216"/>
      <c r="M14" s="216"/>
      <c r="N14" s="216"/>
    </row>
    <row r="15" spans="1:14" ht="15.75" x14ac:dyDescent="0.2">
      <c r="A15" s="218"/>
      <c r="B15" s="219"/>
      <c r="C15" s="220"/>
      <c r="D15" s="220"/>
      <c r="E15" s="220"/>
      <c r="F15" s="220"/>
      <c r="G15" s="221" t="s">
        <v>156</v>
      </c>
      <c r="H15" s="220"/>
      <c r="I15" s="220"/>
      <c r="J15" s="220"/>
      <c r="K15" s="220"/>
      <c r="L15" s="222"/>
      <c r="M15" s="216"/>
      <c r="N15" s="216"/>
    </row>
    <row r="16" spans="1:14" ht="15" x14ac:dyDescent="0.2">
      <c r="A16" s="218"/>
      <c r="B16" s="223"/>
      <c r="C16" s="216"/>
      <c r="D16" s="216"/>
      <c r="E16" s="216"/>
      <c r="F16" s="216"/>
      <c r="G16" s="224" t="s">
        <v>157</v>
      </c>
      <c r="H16" s="216"/>
      <c r="I16" s="216"/>
      <c r="J16" s="216"/>
      <c r="K16" s="216"/>
      <c r="L16" s="225"/>
      <c r="M16" s="216"/>
      <c r="N16" s="216"/>
    </row>
    <row r="17" spans="1:14" ht="15" x14ac:dyDescent="0.2">
      <c r="A17" s="218"/>
      <c r="B17" s="223"/>
      <c r="C17" s="216"/>
      <c r="D17" s="216"/>
      <c r="E17" s="216"/>
      <c r="F17" s="216"/>
      <c r="G17" s="224" t="s">
        <v>158</v>
      </c>
      <c r="H17" s="216"/>
      <c r="I17" s="216"/>
      <c r="J17" s="216"/>
      <c r="K17" s="216"/>
      <c r="L17" s="225"/>
      <c r="M17" s="216"/>
      <c r="N17" s="216"/>
    </row>
    <row r="18" spans="1:14" ht="15" x14ac:dyDescent="0.2">
      <c r="A18" s="218"/>
      <c r="B18" s="223"/>
      <c r="C18" s="216"/>
      <c r="D18" s="216"/>
      <c r="E18" s="216"/>
      <c r="F18" s="216"/>
      <c r="G18" s="224" t="s">
        <v>511</v>
      </c>
      <c r="H18" s="216"/>
      <c r="I18" s="216"/>
      <c r="J18" s="216"/>
      <c r="K18" s="216"/>
      <c r="L18" s="225"/>
      <c r="M18" s="216"/>
      <c r="N18" s="216"/>
    </row>
    <row r="19" spans="1:14" ht="15" x14ac:dyDescent="0.2">
      <c r="A19" s="218"/>
      <c r="B19" s="223"/>
      <c r="C19" s="216"/>
      <c r="D19" s="216"/>
      <c r="E19" s="216"/>
      <c r="F19" s="216"/>
      <c r="G19" s="224"/>
      <c r="H19" s="216"/>
      <c r="I19" s="216"/>
      <c r="J19" s="216"/>
      <c r="K19" s="216"/>
      <c r="L19" s="225"/>
      <c r="M19" s="216"/>
      <c r="N19" s="216"/>
    </row>
    <row r="20" spans="1:14" ht="15" x14ac:dyDescent="0.2">
      <c r="A20" s="218"/>
      <c r="B20" s="223"/>
      <c r="C20" s="216"/>
      <c r="D20" s="216"/>
      <c r="E20" s="216"/>
      <c r="F20" s="216"/>
      <c r="G20" s="224" t="s">
        <v>512</v>
      </c>
      <c r="H20" s="216"/>
      <c r="I20" s="216"/>
      <c r="J20" s="216"/>
      <c r="K20" s="216"/>
      <c r="L20" s="225"/>
      <c r="M20" s="216"/>
      <c r="N20" s="216"/>
    </row>
    <row r="21" spans="1:14" ht="15" x14ac:dyDescent="0.2">
      <c r="A21" s="218"/>
      <c r="B21" s="223"/>
      <c r="C21" s="216"/>
      <c r="D21" s="216"/>
      <c r="E21" s="216"/>
      <c r="F21" s="216"/>
      <c r="G21" s="216"/>
      <c r="H21" s="216"/>
      <c r="I21" s="216"/>
      <c r="J21" s="216"/>
      <c r="K21" s="216"/>
      <c r="L21" s="225"/>
      <c r="M21" s="216"/>
      <c r="N21" s="216"/>
    </row>
    <row r="22" spans="1:14" ht="15" x14ac:dyDescent="0.2">
      <c r="A22" s="218"/>
      <c r="B22" s="223"/>
      <c r="C22" s="216"/>
      <c r="D22" s="216"/>
      <c r="E22" s="216"/>
      <c r="F22" s="216"/>
      <c r="G22" s="357" t="s">
        <v>513</v>
      </c>
      <c r="H22" s="216"/>
      <c r="I22" s="216"/>
      <c r="J22" s="216"/>
      <c r="K22" s="216"/>
      <c r="L22" s="225"/>
      <c r="M22" s="216"/>
      <c r="N22" s="216"/>
    </row>
    <row r="23" spans="1:14" ht="15" x14ac:dyDescent="0.2">
      <c r="A23" s="218"/>
      <c r="B23" s="223"/>
      <c r="C23" s="216"/>
      <c r="D23" s="216"/>
      <c r="E23" s="216"/>
      <c r="F23" s="216"/>
      <c r="G23" s="357" t="s">
        <v>456</v>
      </c>
      <c r="H23" s="216"/>
      <c r="I23" s="216"/>
      <c r="J23" s="216"/>
      <c r="K23" s="216"/>
      <c r="L23" s="225"/>
      <c r="M23" s="216"/>
      <c r="N23" s="216"/>
    </row>
    <row r="24" spans="1:14" ht="15" x14ac:dyDescent="0.2">
      <c r="A24" s="218"/>
      <c r="B24" s="223"/>
      <c r="C24" s="216"/>
      <c r="D24" s="216"/>
      <c r="E24" s="216"/>
      <c r="F24" s="216"/>
      <c r="G24" s="357" t="s">
        <v>457</v>
      </c>
      <c r="H24" s="216"/>
      <c r="I24" s="216"/>
      <c r="J24" s="216"/>
      <c r="K24" s="216"/>
      <c r="L24" s="225"/>
      <c r="M24" s="216"/>
      <c r="N24" s="216"/>
    </row>
    <row r="25" spans="1:14" ht="15" x14ac:dyDescent="0.2">
      <c r="A25" s="218"/>
      <c r="B25" s="223"/>
      <c r="C25" s="216"/>
      <c r="D25" s="216"/>
      <c r="E25" s="216"/>
      <c r="F25" s="216"/>
      <c r="G25" s="227"/>
      <c r="H25" s="216"/>
      <c r="I25" s="216"/>
      <c r="J25" s="216"/>
      <c r="K25" s="216"/>
      <c r="L25" s="225"/>
      <c r="M25" s="216"/>
      <c r="N25" s="216"/>
    </row>
    <row r="26" spans="1:14" ht="15" x14ac:dyDescent="0.2">
      <c r="A26" s="218"/>
      <c r="B26" s="223"/>
      <c r="C26" s="216"/>
      <c r="D26" s="216"/>
      <c r="E26" s="216"/>
      <c r="F26" s="216"/>
      <c r="G26" s="224" t="s">
        <v>161</v>
      </c>
      <c r="H26" s="216"/>
      <c r="I26" s="216"/>
      <c r="J26" s="216"/>
      <c r="K26" s="216"/>
      <c r="L26" s="225"/>
      <c r="M26" s="216"/>
      <c r="N26" s="216"/>
    </row>
    <row r="27" spans="1:14" ht="15" x14ac:dyDescent="0.2">
      <c r="A27" s="218"/>
      <c r="B27" s="223"/>
      <c r="C27" s="216"/>
      <c r="D27" s="216"/>
      <c r="E27" s="216"/>
      <c r="F27" s="216"/>
      <c r="G27" s="224" t="s">
        <v>458</v>
      </c>
      <c r="H27" s="216"/>
      <c r="I27" s="216"/>
      <c r="J27" s="216"/>
      <c r="K27" s="216"/>
      <c r="L27" s="225"/>
      <c r="M27" s="216"/>
      <c r="N27" s="216"/>
    </row>
    <row r="28" spans="1:14" ht="15" x14ac:dyDescent="0.2">
      <c r="A28" s="218"/>
      <c r="B28" s="223"/>
      <c r="C28" s="216"/>
      <c r="D28" s="216"/>
      <c r="E28" s="216"/>
      <c r="F28" s="216"/>
      <c r="G28" s="357" t="s">
        <v>459</v>
      </c>
      <c r="H28" s="216"/>
      <c r="I28" s="216"/>
      <c r="J28" s="216"/>
      <c r="K28" s="216"/>
      <c r="L28" s="225"/>
      <c r="M28" s="216"/>
      <c r="N28" s="216"/>
    </row>
    <row r="29" spans="1:14" ht="15" x14ac:dyDescent="0.2">
      <c r="A29" s="218"/>
      <c r="B29" s="223"/>
      <c r="C29" s="216"/>
      <c r="D29" s="216"/>
      <c r="E29" s="216"/>
      <c r="F29" s="216"/>
      <c r="G29" s="224" t="s">
        <v>162</v>
      </c>
      <c r="H29" s="216"/>
      <c r="I29" s="216"/>
      <c r="J29" s="216"/>
      <c r="K29" s="216"/>
      <c r="L29" s="225"/>
      <c r="M29" s="216"/>
      <c r="N29" s="216"/>
    </row>
    <row r="30" spans="1:14" ht="15" x14ac:dyDescent="0.2">
      <c r="A30" s="218"/>
      <c r="B30" s="223"/>
      <c r="C30" s="216"/>
      <c r="D30" s="216"/>
      <c r="E30" s="216"/>
      <c r="F30" s="216"/>
      <c r="G30" s="224" t="s">
        <v>163</v>
      </c>
      <c r="H30" s="216"/>
      <c r="I30" s="216"/>
      <c r="J30" s="216"/>
      <c r="K30" s="216"/>
      <c r="L30" s="225"/>
      <c r="M30" s="216"/>
      <c r="N30" s="216"/>
    </row>
    <row r="31" spans="1:14" ht="15" x14ac:dyDescent="0.2">
      <c r="A31" s="218"/>
      <c r="B31" s="223"/>
      <c r="C31" s="216"/>
      <c r="D31" s="216"/>
      <c r="E31" s="216"/>
      <c r="F31" s="216"/>
      <c r="G31" s="216"/>
      <c r="H31" s="216"/>
      <c r="I31" s="216"/>
      <c r="J31" s="216"/>
      <c r="K31" s="216"/>
      <c r="L31" s="225"/>
      <c r="M31" s="216"/>
      <c r="N31" s="216"/>
    </row>
    <row r="32" spans="1:14" ht="15" x14ac:dyDescent="0.2">
      <c r="A32" s="218"/>
      <c r="B32" s="223"/>
      <c r="C32" s="216"/>
      <c r="D32" s="216"/>
      <c r="E32" s="216"/>
      <c r="F32" s="216"/>
      <c r="G32" s="224" t="s">
        <v>159</v>
      </c>
      <c r="H32" s="216"/>
      <c r="I32" s="216"/>
      <c r="J32" s="216"/>
      <c r="K32" s="216"/>
      <c r="L32" s="225"/>
      <c r="M32" s="216"/>
      <c r="N32" s="216"/>
    </row>
    <row r="33" spans="1:14" ht="15" x14ac:dyDescent="0.2">
      <c r="A33" s="218"/>
      <c r="B33" s="223"/>
      <c r="C33" s="216"/>
      <c r="D33" s="216"/>
      <c r="E33" s="216"/>
      <c r="F33" s="216"/>
      <c r="G33" s="357" t="s">
        <v>460</v>
      </c>
      <c r="H33" s="216"/>
      <c r="I33" s="216"/>
      <c r="J33" s="216"/>
      <c r="K33" s="216"/>
      <c r="L33" s="225"/>
      <c r="M33" s="216"/>
      <c r="N33" s="216"/>
    </row>
    <row r="34" spans="1:14" ht="15" x14ac:dyDescent="0.2">
      <c r="A34" s="218"/>
      <c r="B34" s="223"/>
      <c r="C34" s="216"/>
      <c r="D34" s="216"/>
      <c r="E34" s="216"/>
      <c r="F34" s="216"/>
      <c r="G34" s="224" t="s">
        <v>160</v>
      </c>
      <c r="H34" s="216"/>
      <c r="I34" s="216"/>
      <c r="J34" s="216"/>
      <c r="K34" s="216"/>
      <c r="L34" s="225"/>
      <c r="M34" s="216"/>
      <c r="N34" s="216"/>
    </row>
    <row r="35" spans="1:14" ht="15" x14ac:dyDescent="0.2">
      <c r="A35" s="218"/>
      <c r="B35" s="223"/>
      <c r="C35" s="216"/>
      <c r="D35" s="216"/>
      <c r="E35" s="216"/>
      <c r="F35" s="216"/>
      <c r="G35" s="216"/>
      <c r="H35" s="216"/>
      <c r="I35" s="216"/>
      <c r="J35" s="216"/>
      <c r="K35" s="216"/>
      <c r="L35" s="225"/>
      <c r="M35" s="216"/>
      <c r="N35" s="216"/>
    </row>
    <row r="36" spans="1:14" ht="15.75" x14ac:dyDescent="0.2">
      <c r="A36" s="218"/>
      <c r="B36" s="226"/>
      <c r="C36" s="216"/>
      <c r="D36" s="216"/>
      <c r="E36" s="216"/>
      <c r="F36" s="216"/>
      <c r="G36" s="224" t="s">
        <v>514</v>
      </c>
      <c r="H36" s="216"/>
      <c r="I36" s="216"/>
      <c r="J36" s="216"/>
      <c r="K36" s="216"/>
      <c r="L36" s="225"/>
      <c r="M36" s="216"/>
      <c r="N36" s="216"/>
    </row>
    <row r="37" spans="1:14" ht="15.75" x14ac:dyDescent="0.2">
      <c r="A37" s="218"/>
      <c r="B37" s="226"/>
      <c r="C37" s="216"/>
      <c r="D37" s="216"/>
      <c r="E37" s="216"/>
      <c r="F37" s="216"/>
      <c r="G37" s="216"/>
      <c r="H37" s="216"/>
      <c r="I37" s="216"/>
      <c r="J37" s="216"/>
      <c r="K37" s="216"/>
      <c r="L37" s="225"/>
      <c r="M37" s="216"/>
      <c r="N37" s="216"/>
    </row>
    <row r="38" spans="1:14" ht="15" x14ac:dyDescent="0.2">
      <c r="A38" s="216"/>
      <c r="B38" s="359"/>
      <c r="C38" s="215"/>
      <c r="D38" s="215"/>
      <c r="E38" s="215"/>
      <c r="F38" s="215"/>
      <c r="G38" s="224" t="s">
        <v>164</v>
      </c>
      <c r="H38" s="215"/>
      <c r="I38" s="215"/>
      <c r="J38" s="215"/>
      <c r="K38" s="215"/>
      <c r="L38" s="225"/>
      <c r="M38" s="216"/>
      <c r="N38" s="216"/>
    </row>
    <row r="39" spans="1:14" ht="15" x14ac:dyDescent="0.2">
      <c r="A39" s="216"/>
      <c r="B39" s="360"/>
      <c r="C39" s="216"/>
      <c r="D39" s="216"/>
      <c r="E39" s="216"/>
      <c r="F39" s="216"/>
      <c r="G39" s="224" t="s">
        <v>165</v>
      </c>
      <c r="H39" s="216"/>
      <c r="I39" s="216"/>
      <c r="J39" s="216"/>
      <c r="K39" s="216"/>
      <c r="L39" s="218"/>
      <c r="M39" s="216"/>
      <c r="N39" s="216"/>
    </row>
    <row r="40" spans="1:14" ht="13.5" thickBot="1" x14ac:dyDescent="0.25">
      <c r="A40" s="216"/>
      <c r="B40" s="361"/>
      <c r="C40" s="362"/>
      <c r="D40" s="362"/>
      <c r="E40" s="362"/>
      <c r="F40" s="362"/>
      <c r="G40" s="362"/>
      <c r="H40" s="362"/>
      <c r="I40" s="362"/>
      <c r="J40" s="362"/>
      <c r="K40" s="362"/>
      <c r="L40" s="363"/>
      <c r="M40" s="216"/>
      <c r="N40" s="216"/>
    </row>
    <row r="41" spans="1:14" x14ac:dyDescent="0.2">
      <c r="A41" s="367"/>
      <c r="B41" s="367"/>
      <c r="C41" s="367"/>
      <c r="D41" s="367"/>
      <c r="E41" s="367"/>
      <c r="F41" s="367"/>
      <c r="G41" s="367"/>
      <c r="H41" s="366"/>
      <c r="I41" s="366"/>
      <c r="J41" s="366"/>
      <c r="K41" s="366"/>
      <c r="L41" s="366"/>
      <c r="M41" s="366"/>
      <c r="N41" s="366"/>
    </row>
    <row r="42" spans="1:14" x14ac:dyDescent="0.2">
      <c r="A42" s="367"/>
      <c r="B42" s="367"/>
      <c r="C42" s="367"/>
      <c r="D42" s="367"/>
      <c r="E42" s="367"/>
      <c r="F42" s="367"/>
      <c r="G42" s="367"/>
      <c r="H42" s="366"/>
      <c r="I42" s="366"/>
      <c r="J42" s="366"/>
      <c r="K42" s="366"/>
      <c r="L42" s="366"/>
      <c r="M42" s="366"/>
      <c r="N42" s="366"/>
    </row>
    <row r="43" spans="1:14" x14ac:dyDescent="0.2">
      <c r="A43" s="227"/>
      <c r="B43" s="227"/>
      <c r="C43" s="227"/>
      <c r="D43" s="227"/>
      <c r="E43" s="227"/>
      <c r="F43" s="227"/>
      <c r="G43" s="227"/>
      <c r="H43" s="366"/>
      <c r="I43" s="366"/>
      <c r="J43" s="366"/>
      <c r="K43" s="366"/>
      <c r="L43" s="366"/>
      <c r="M43" s="366"/>
      <c r="N43" s="366"/>
    </row>
    <row r="44" spans="1:14" x14ac:dyDescent="0.2">
      <c r="A44" s="227"/>
      <c r="B44" s="227"/>
      <c r="C44" s="227"/>
      <c r="D44" s="227"/>
      <c r="E44" s="227"/>
      <c r="F44" s="227"/>
      <c r="G44" s="227"/>
      <c r="H44" s="366"/>
      <c r="I44" s="366"/>
      <c r="J44" s="366"/>
      <c r="K44" s="366"/>
      <c r="L44" s="366"/>
      <c r="M44" s="366"/>
      <c r="N44" s="366"/>
    </row>
    <row r="45" spans="1:14" x14ac:dyDescent="0.2">
      <c r="A45" s="227"/>
      <c r="B45" s="227"/>
      <c r="C45" s="227"/>
      <c r="D45" s="227"/>
      <c r="E45" s="227"/>
      <c r="F45" s="227"/>
      <c r="G45" s="227"/>
      <c r="H45" s="366"/>
      <c r="I45" s="366"/>
      <c r="J45" s="366"/>
      <c r="K45" s="366"/>
      <c r="L45" s="366"/>
      <c r="M45" s="366"/>
      <c r="N45" s="366"/>
    </row>
    <row r="46" spans="1:14" x14ac:dyDescent="0.2">
      <c r="A46" s="227"/>
      <c r="B46" s="227"/>
      <c r="C46" s="227"/>
      <c r="D46" s="227"/>
      <c r="E46" s="227"/>
      <c r="F46" s="227"/>
      <c r="G46" s="227"/>
      <c r="H46" s="366"/>
      <c r="I46" s="366"/>
      <c r="J46" s="366"/>
      <c r="K46" s="366"/>
      <c r="L46" s="366"/>
      <c r="M46" s="366"/>
      <c r="N46" s="366"/>
    </row>
    <row r="47" spans="1:14" x14ac:dyDescent="0.2">
      <c r="A47" s="227"/>
      <c r="B47" s="227"/>
      <c r="C47" s="227"/>
      <c r="D47" s="227"/>
      <c r="E47" s="227"/>
      <c r="F47" s="227"/>
      <c r="G47" s="227"/>
      <c r="H47" s="366"/>
      <c r="I47" s="366"/>
      <c r="J47" s="366"/>
      <c r="K47" s="366"/>
      <c r="L47" s="366"/>
      <c r="M47" s="366"/>
      <c r="N47" s="366"/>
    </row>
    <row r="48" spans="1:14" x14ac:dyDescent="0.2">
      <c r="A48" s="227"/>
      <c r="B48" s="227"/>
      <c r="C48" s="227"/>
      <c r="D48" s="227"/>
      <c r="E48" s="227"/>
      <c r="F48" s="227"/>
      <c r="G48" s="227"/>
      <c r="H48" s="366"/>
      <c r="I48" s="366"/>
      <c r="J48" s="366"/>
      <c r="K48" s="366"/>
      <c r="L48" s="366"/>
      <c r="M48" s="366"/>
      <c r="N48" s="366"/>
    </row>
    <row r="49" spans="1:14" x14ac:dyDescent="0.2">
      <c r="A49" s="227"/>
      <c r="B49" s="227"/>
      <c r="C49" s="227"/>
      <c r="D49" s="227"/>
      <c r="E49" s="227"/>
      <c r="F49" s="227"/>
      <c r="G49" s="227"/>
      <c r="H49" s="366"/>
      <c r="I49" s="366"/>
      <c r="J49" s="366"/>
      <c r="K49" s="366"/>
      <c r="L49" s="366"/>
      <c r="M49" s="366"/>
      <c r="N49" s="366"/>
    </row>
    <row r="50" spans="1:14" x14ac:dyDescent="0.2">
      <c r="A50" s="227"/>
      <c r="B50" s="227"/>
      <c r="C50" s="227"/>
      <c r="D50" s="227"/>
      <c r="E50" s="227"/>
      <c r="F50" s="227"/>
      <c r="G50" s="227"/>
      <c r="H50" s="366"/>
      <c r="I50" s="366"/>
      <c r="J50" s="366"/>
      <c r="K50" s="366"/>
      <c r="L50" s="366"/>
      <c r="M50" s="366"/>
      <c r="N50" s="366"/>
    </row>
    <row r="51" spans="1:14" x14ac:dyDescent="0.2">
      <c r="A51" s="227"/>
      <c r="B51" s="227"/>
      <c r="C51" s="227"/>
      <c r="D51" s="227"/>
      <c r="E51" s="227"/>
      <c r="F51" s="227"/>
      <c r="G51" s="227"/>
      <c r="H51" s="366"/>
      <c r="I51" s="366"/>
      <c r="J51" s="366"/>
      <c r="K51" s="366"/>
      <c r="L51" s="366"/>
      <c r="M51" s="366"/>
      <c r="N51" s="366"/>
    </row>
    <row r="52" spans="1:14" x14ac:dyDescent="0.2">
      <c r="A52" s="227"/>
      <c r="B52" s="227"/>
      <c r="C52" s="227"/>
      <c r="D52" s="227"/>
      <c r="E52" s="227"/>
      <c r="F52" s="227"/>
      <c r="G52" s="227"/>
      <c r="H52" s="366"/>
      <c r="I52" s="366"/>
      <c r="J52" s="366"/>
      <c r="K52" s="366"/>
      <c r="L52" s="366"/>
      <c r="M52" s="366"/>
      <c r="N52" s="366"/>
    </row>
    <row r="53" spans="1:14" x14ac:dyDescent="0.2">
      <c r="A53" s="227"/>
      <c r="B53" s="227"/>
      <c r="C53" s="227"/>
      <c r="D53" s="227"/>
      <c r="E53" s="227"/>
      <c r="F53" s="227"/>
      <c r="G53" s="227"/>
      <c r="H53" s="366"/>
      <c r="I53" s="366"/>
      <c r="J53" s="366"/>
      <c r="K53" s="366"/>
      <c r="L53" s="366"/>
      <c r="M53" s="366"/>
      <c r="N53" s="366"/>
    </row>
    <row r="54" spans="1:14" x14ac:dyDescent="0.2">
      <c r="A54" s="227"/>
      <c r="B54" s="227"/>
      <c r="C54" s="227"/>
      <c r="D54" s="227"/>
      <c r="E54" s="227"/>
      <c r="F54" s="227"/>
      <c r="G54" s="227"/>
      <c r="H54" s="366"/>
      <c r="I54" s="366"/>
      <c r="J54" s="366"/>
      <c r="K54" s="366"/>
      <c r="L54" s="366"/>
      <c r="M54" s="366"/>
      <c r="N54" s="366"/>
    </row>
    <row r="55" spans="1:14" x14ac:dyDescent="0.2">
      <c r="A55" s="227"/>
      <c r="B55" s="227"/>
      <c r="C55" s="227"/>
      <c r="D55" s="227"/>
      <c r="E55" s="227"/>
      <c r="F55" s="227"/>
      <c r="G55" s="227"/>
      <c r="H55" s="366"/>
      <c r="I55" s="366"/>
      <c r="J55" s="366"/>
      <c r="K55" s="366"/>
      <c r="L55" s="366"/>
      <c r="M55" s="366"/>
      <c r="N55" s="366"/>
    </row>
    <row r="56" spans="1:14" x14ac:dyDescent="0.2">
      <c r="A56" s="227"/>
      <c r="B56" s="227"/>
      <c r="C56" s="227"/>
      <c r="D56" s="227"/>
      <c r="E56" s="227"/>
      <c r="F56" s="227"/>
      <c r="G56" s="227"/>
      <c r="H56" s="366"/>
      <c r="I56" s="366"/>
      <c r="J56" s="366"/>
      <c r="K56" s="366"/>
      <c r="L56" s="366"/>
      <c r="M56" s="366"/>
      <c r="N56" s="366"/>
    </row>
    <row r="57" spans="1:14" x14ac:dyDescent="0.2">
      <c r="A57" s="227"/>
      <c r="B57" s="227"/>
      <c r="C57" s="227"/>
      <c r="D57" s="227"/>
      <c r="E57" s="227"/>
      <c r="F57" s="227"/>
      <c r="G57" s="227"/>
      <c r="H57" s="366"/>
      <c r="I57" s="366"/>
      <c r="J57" s="366"/>
      <c r="K57" s="366"/>
      <c r="L57" s="366"/>
      <c r="M57" s="366"/>
      <c r="N57" s="366"/>
    </row>
    <row r="58" spans="1:14" x14ac:dyDescent="0.2">
      <c r="A58" s="227"/>
      <c r="B58" s="227"/>
      <c r="C58" s="227"/>
      <c r="D58" s="227"/>
      <c r="E58" s="227"/>
      <c r="F58" s="227"/>
      <c r="G58" s="227"/>
      <c r="H58" s="366"/>
      <c r="I58" s="366"/>
      <c r="J58" s="366"/>
      <c r="K58" s="366"/>
      <c r="L58" s="366"/>
      <c r="M58" s="366"/>
      <c r="N58" s="366"/>
    </row>
    <row r="59" spans="1:14" x14ac:dyDescent="0.2">
      <c r="A59" s="227"/>
      <c r="B59" s="227"/>
      <c r="C59" s="227"/>
      <c r="D59" s="227"/>
      <c r="E59" s="227"/>
      <c r="F59" s="227"/>
      <c r="G59" s="227"/>
      <c r="H59" s="366"/>
      <c r="I59" s="366"/>
      <c r="J59" s="366"/>
      <c r="K59" s="366"/>
      <c r="L59" s="366"/>
      <c r="M59" s="366"/>
      <c r="N59" s="366"/>
    </row>
    <row r="60" spans="1:14" x14ac:dyDescent="0.2">
      <c r="A60" s="227"/>
      <c r="B60" s="227"/>
      <c r="C60" s="227"/>
      <c r="D60" s="227"/>
      <c r="E60" s="227"/>
      <c r="F60" s="227"/>
      <c r="G60" s="227"/>
      <c r="H60" s="366"/>
      <c r="I60" s="366"/>
      <c r="J60" s="366"/>
      <c r="K60" s="366"/>
      <c r="L60" s="366"/>
      <c r="M60" s="366"/>
      <c r="N60" s="366"/>
    </row>
    <row r="61" spans="1:14" x14ac:dyDescent="0.2">
      <c r="A61" s="227"/>
      <c r="B61" s="227"/>
      <c r="C61" s="227"/>
      <c r="D61" s="227"/>
      <c r="E61" s="227"/>
      <c r="F61" s="227"/>
      <c r="G61" s="227"/>
      <c r="H61" s="366"/>
      <c r="I61" s="366"/>
      <c r="J61" s="366"/>
      <c r="K61" s="366"/>
      <c r="L61" s="366"/>
      <c r="M61" s="366"/>
      <c r="N61" s="366"/>
    </row>
    <row r="62" spans="1:14" x14ac:dyDescent="0.2">
      <c r="A62" s="227"/>
      <c r="B62" s="227"/>
      <c r="C62" s="227"/>
      <c r="D62" s="227"/>
      <c r="E62" s="227"/>
      <c r="F62" s="227"/>
      <c r="G62" s="227"/>
      <c r="H62" s="366"/>
      <c r="I62" s="366"/>
      <c r="J62" s="366"/>
      <c r="K62" s="366"/>
      <c r="L62" s="366"/>
      <c r="M62" s="366"/>
      <c r="N62" s="366"/>
    </row>
    <row r="63" spans="1:14" x14ac:dyDescent="0.2">
      <c r="A63" s="227"/>
      <c r="B63" s="227"/>
      <c r="C63" s="227"/>
      <c r="D63" s="227"/>
      <c r="E63" s="227"/>
      <c r="F63" s="227"/>
      <c r="G63" s="227"/>
      <c r="H63" s="366"/>
      <c r="I63" s="366"/>
      <c r="J63" s="366"/>
      <c r="K63" s="366"/>
      <c r="L63" s="366"/>
      <c r="M63" s="366"/>
      <c r="N63" s="366"/>
    </row>
    <row r="64" spans="1:14" x14ac:dyDescent="0.2">
      <c r="A64" s="227"/>
      <c r="B64" s="227"/>
      <c r="C64" s="227"/>
      <c r="D64" s="227"/>
      <c r="E64" s="227"/>
      <c r="F64" s="227"/>
      <c r="G64" s="227"/>
      <c r="H64" s="366"/>
      <c r="I64" s="366"/>
      <c r="J64" s="366"/>
      <c r="K64" s="366"/>
      <c r="L64" s="366"/>
      <c r="M64" s="366"/>
      <c r="N64" s="366"/>
    </row>
    <row r="65" spans="1:14" x14ac:dyDescent="0.2">
      <c r="A65" s="227"/>
      <c r="B65" s="227"/>
      <c r="C65" s="227"/>
      <c r="D65" s="227"/>
      <c r="E65" s="227"/>
      <c r="F65" s="227"/>
      <c r="G65" s="227"/>
      <c r="H65" s="366"/>
      <c r="I65" s="366"/>
      <c r="J65" s="366"/>
      <c r="K65" s="366"/>
      <c r="L65" s="366"/>
      <c r="M65" s="366"/>
      <c r="N65" s="366"/>
    </row>
    <row r="66" spans="1:14" x14ac:dyDescent="0.2">
      <c r="A66" s="227"/>
      <c r="B66" s="227"/>
      <c r="C66" s="227"/>
      <c r="D66" s="227"/>
      <c r="E66" s="227"/>
      <c r="F66" s="227"/>
      <c r="G66" s="227"/>
      <c r="H66" s="366"/>
      <c r="I66" s="366"/>
      <c r="J66" s="366"/>
      <c r="K66" s="366"/>
      <c r="L66" s="366"/>
      <c r="M66" s="366"/>
      <c r="N66" s="366"/>
    </row>
    <row r="67" spans="1:14" x14ac:dyDescent="0.2">
      <c r="A67" s="227"/>
      <c r="B67" s="227"/>
      <c r="C67" s="227"/>
      <c r="D67" s="227"/>
      <c r="E67" s="227"/>
      <c r="F67" s="227"/>
      <c r="G67" s="227"/>
      <c r="H67" s="366"/>
      <c r="I67" s="366"/>
      <c r="J67" s="366"/>
      <c r="K67" s="366"/>
      <c r="L67" s="366"/>
      <c r="M67" s="366"/>
      <c r="N67" s="366"/>
    </row>
    <row r="68" spans="1:14" x14ac:dyDescent="0.2">
      <c r="A68" s="227"/>
      <c r="B68" s="227"/>
      <c r="C68" s="227"/>
      <c r="D68" s="227"/>
      <c r="E68" s="227"/>
      <c r="F68" s="227"/>
      <c r="G68" s="227"/>
      <c r="H68" s="366"/>
      <c r="I68" s="366"/>
      <c r="J68" s="366"/>
      <c r="K68" s="366"/>
      <c r="L68" s="366"/>
      <c r="M68" s="366"/>
      <c r="N68" s="366"/>
    </row>
    <row r="69" spans="1:14" x14ac:dyDescent="0.2">
      <c r="A69" s="227"/>
      <c r="B69" s="227"/>
      <c r="C69" s="227"/>
      <c r="D69" s="227"/>
      <c r="E69" s="227"/>
      <c r="F69" s="227"/>
      <c r="G69" s="227"/>
      <c r="H69" s="366"/>
      <c r="I69" s="366"/>
      <c r="J69" s="366"/>
      <c r="K69" s="366"/>
      <c r="L69" s="366"/>
      <c r="M69" s="366"/>
      <c r="N69" s="366"/>
    </row>
    <row r="70" spans="1:14" x14ac:dyDescent="0.2">
      <c r="A70" s="227"/>
      <c r="B70" s="227"/>
      <c r="C70" s="227"/>
      <c r="D70" s="227"/>
      <c r="E70" s="227"/>
      <c r="F70" s="227"/>
      <c r="G70" s="227"/>
      <c r="H70" s="366"/>
      <c r="I70" s="366"/>
      <c r="J70" s="366"/>
      <c r="K70" s="366"/>
      <c r="L70" s="366"/>
      <c r="M70" s="366"/>
      <c r="N70" s="366"/>
    </row>
    <row r="71" spans="1:14" x14ac:dyDescent="0.2">
      <c r="A71" s="227"/>
      <c r="B71" s="227"/>
      <c r="C71" s="227"/>
      <c r="D71" s="227"/>
      <c r="E71" s="227"/>
      <c r="F71" s="227"/>
      <c r="G71" s="227"/>
      <c r="H71" s="366"/>
      <c r="I71" s="366"/>
      <c r="J71" s="366"/>
      <c r="K71" s="366"/>
      <c r="L71" s="366"/>
      <c r="M71" s="366"/>
      <c r="N71" s="366"/>
    </row>
    <row r="72" spans="1:14" x14ac:dyDescent="0.2">
      <c r="A72" s="227"/>
      <c r="B72" s="227"/>
      <c r="C72" s="227"/>
      <c r="D72" s="227"/>
      <c r="E72" s="227"/>
      <c r="F72" s="227"/>
      <c r="G72" s="227"/>
      <c r="H72" s="366"/>
      <c r="I72" s="366"/>
      <c r="J72" s="366"/>
      <c r="K72" s="366"/>
      <c r="L72" s="366"/>
      <c r="M72" s="366"/>
      <c r="N72" s="366"/>
    </row>
    <row r="73" spans="1:14" x14ac:dyDescent="0.2">
      <c r="A73" s="227"/>
      <c r="B73" s="227"/>
      <c r="C73" s="227"/>
      <c r="D73" s="227"/>
      <c r="E73" s="227"/>
      <c r="F73" s="227"/>
      <c r="G73" s="227"/>
      <c r="H73" s="366"/>
      <c r="I73" s="366"/>
      <c r="J73" s="366"/>
      <c r="K73" s="366"/>
      <c r="L73" s="366"/>
      <c r="M73" s="366"/>
      <c r="N73" s="366"/>
    </row>
    <row r="74" spans="1:14" x14ac:dyDescent="0.2">
      <c r="A74" s="227"/>
      <c r="B74" s="227"/>
      <c r="C74" s="227"/>
      <c r="D74" s="227"/>
      <c r="E74" s="227"/>
      <c r="F74" s="227"/>
      <c r="G74" s="227"/>
      <c r="H74" s="366"/>
      <c r="I74" s="366"/>
      <c r="J74" s="366"/>
      <c r="K74" s="366"/>
      <c r="L74" s="366"/>
      <c r="M74" s="366"/>
      <c r="N74" s="366"/>
    </row>
    <row r="75" spans="1:14" x14ac:dyDescent="0.2">
      <c r="A75" s="227"/>
      <c r="B75" s="227"/>
      <c r="C75" s="227"/>
      <c r="D75" s="227"/>
      <c r="E75" s="227"/>
      <c r="F75" s="227"/>
      <c r="G75" s="227"/>
      <c r="H75" s="366"/>
      <c r="I75" s="366"/>
      <c r="J75" s="366"/>
      <c r="K75" s="366"/>
      <c r="L75" s="366"/>
      <c r="M75" s="366"/>
      <c r="N75" s="366"/>
    </row>
    <row r="76" spans="1:14" x14ac:dyDescent="0.2">
      <c r="A76" s="227"/>
      <c r="B76" s="227"/>
      <c r="C76" s="227"/>
      <c r="D76" s="227"/>
      <c r="E76" s="227"/>
      <c r="F76" s="227"/>
      <c r="G76" s="227"/>
      <c r="H76" s="366"/>
      <c r="I76" s="366"/>
      <c r="J76" s="366"/>
      <c r="K76" s="366"/>
      <c r="L76" s="366"/>
      <c r="M76" s="366"/>
      <c r="N76" s="366"/>
    </row>
    <row r="77" spans="1:14" x14ac:dyDescent="0.2">
      <c r="A77" s="227"/>
      <c r="B77" s="227"/>
      <c r="C77" s="227"/>
      <c r="D77" s="227"/>
      <c r="E77" s="227"/>
      <c r="F77" s="227"/>
      <c r="G77" s="227"/>
      <c r="H77" s="366"/>
      <c r="I77" s="366"/>
      <c r="J77" s="366"/>
      <c r="K77" s="366"/>
      <c r="L77" s="366"/>
      <c r="M77" s="366"/>
      <c r="N77" s="366"/>
    </row>
    <row r="78" spans="1:14" x14ac:dyDescent="0.2">
      <c r="A78" s="227"/>
      <c r="B78" s="227"/>
      <c r="C78" s="227"/>
      <c r="D78" s="227"/>
      <c r="E78" s="227"/>
      <c r="F78" s="227"/>
      <c r="G78" s="227"/>
      <c r="H78" s="366"/>
      <c r="I78" s="366"/>
      <c r="J78" s="366"/>
      <c r="K78" s="366"/>
      <c r="L78" s="366"/>
      <c r="M78" s="366"/>
      <c r="N78" s="366"/>
    </row>
    <row r="79" spans="1:14" x14ac:dyDescent="0.2">
      <c r="A79" s="227"/>
      <c r="B79" s="227"/>
      <c r="C79" s="227"/>
      <c r="D79" s="227"/>
      <c r="E79" s="227"/>
      <c r="F79" s="227"/>
      <c r="G79" s="227"/>
      <c r="H79" s="366"/>
      <c r="I79" s="366"/>
      <c r="J79" s="366"/>
      <c r="K79" s="366"/>
      <c r="L79" s="366"/>
      <c r="M79" s="366"/>
      <c r="N79" s="366"/>
    </row>
    <row r="80" spans="1:14" x14ac:dyDescent="0.2">
      <c r="A80" s="227"/>
      <c r="B80" s="227"/>
      <c r="C80" s="227"/>
      <c r="D80" s="227"/>
      <c r="E80" s="227"/>
      <c r="F80" s="227"/>
      <c r="G80" s="227"/>
      <c r="H80" s="366"/>
      <c r="I80" s="366"/>
      <c r="J80" s="366"/>
      <c r="K80" s="366"/>
      <c r="L80" s="366"/>
      <c r="M80" s="366"/>
      <c r="N80" s="366"/>
    </row>
    <row r="81" spans="1:14" x14ac:dyDescent="0.2">
      <c r="A81" s="227"/>
      <c r="B81" s="227"/>
      <c r="C81" s="227"/>
      <c r="D81" s="227"/>
      <c r="E81" s="227"/>
      <c r="F81" s="227"/>
      <c r="G81" s="227"/>
      <c r="H81" s="366"/>
      <c r="I81" s="366"/>
      <c r="J81" s="366"/>
      <c r="K81" s="366"/>
      <c r="L81" s="366"/>
      <c r="M81" s="366"/>
      <c r="N81" s="366"/>
    </row>
    <row r="82" spans="1:14" x14ac:dyDescent="0.2">
      <c r="A82" s="227"/>
      <c r="B82" s="227"/>
      <c r="C82" s="227"/>
      <c r="D82" s="227"/>
      <c r="E82" s="227"/>
      <c r="F82" s="227"/>
      <c r="G82" s="227"/>
      <c r="H82" s="366"/>
      <c r="I82" s="366"/>
      <c r="J82" s="366"/>
      <c r="K82" s="366"/>
      <c r="L82" s="366"/>
      <c r="M82" s="366"/>
      <c r="N82" s="366"/>
    </row>
    <row r="83" spans="1:14" x14ac:dyDescent="0.2">
      <c r="A83" s="227"/>
      <c r="B83" s="227"/>
      <c r="C83" s="227"/>
      <c r="D83" s="227"/>
      <c r="E83" s="227"/>
      <c r="F83" s="227"/>
      <c r="G83" s="227"/>
      <c r="H83" s="366"/>
      <c r="I83" s="366"/>
      <c r="J83" s="366"/>
      <c r="K83" s="366"/>
      <c r="L83" s="366"/>
      <c r="M83" s="366"/>
      <c r="N83" s="366"/>
    </row>
    <row r="84" spans="1:14" x14ac:dyDescent="0.2">
      <c r="A84" s="227"/>
      <c r="B84" s="227"/>
      <c r="C84" s="227"/>
      <c r="D84" s="227"/>
      <c r="E84" s="227"/>
      <c r="F84" s="227"/>
      <c r="G84" s="227"/>
      <c r="H84" s="366"/>
      <c r="I84" s="366"/>
      <c r="J84" s="366"/>
      <c r="K84" s="366"/>
      <c r="L84" s="366"/>
      <c r="M84" s="366"/>
      <c r="N84" s="366"/>
    </row>
    <row r="85" spans="1:14" x14ac:dyDescent="0.2">
      <c r="A85" s="227"/>
      <c r="B85" s="227"/>
      <c r="C85" s="227"/>
      <c r="D85" s="227"/>
      <c r="E85" s="227"/>
      <c r="F85" s="227"/>
      <c r="G85" s="227"/>
      <c r="H85" s="366"/>
      <c r="I85" s="366"/>
      <c r="J85" s="366"/>
      <c r="K85" s="366"/>
      <c r="L85" s="366"/>
      <c r="M85" s="366"/>
      <c r="N85" s="366"/>
    </row>
    <row r="86" spans="1:14" x14ac:dyDescent="0.2">
      <c r="A86" s="227"/>
      <c r="B86" s="227"/>
      <c r="C86" s="227"/>
      <c r="D86" s="227"/>
      <c r="E86" s="227"/>
      <c r="F86" s="227"/>
      <c r="G86" s="227"/>
      <c r="H86" s="366"/>
      <c r="I86" s="366"/>
      <c r="J86" s="366"/>
      <c r="K86" s="366"/>
      <c r="L86" s="366"/>
      <c r="M86" s="366"/>
      <c r="N86" s="366"/>
    </row>
    <row r="87" spans="1:14" x14ac:dyDescent="0.2">
      <c r="A87" s="227"/>
      <c r="B87" s="227"/>
      <c r="C87" s="227"/>
      <c r="D87" s="227"/>
      <c r="E87" s="227"/>
      <c r="F87" s="227"/>
      <c r="G87" s="227"/>
      <c r="H87" s="366"/>
      <c r="I87" s="366"/>
      <c r="J87" s="366"/>
      <c r="K87" s="366"/>
      <c r="L87" s="366"/>
      <c r="M87" s="366"/>
      <c r="N87" s="366"/>
    </row>
    <row r="88" spans="1:14" x14ac:dyDescent="0.2">
      <c r="A88" s="227"/>
      <c r="B88" s="227"/>
      <c r="C88" s="227"/>
      <c r="D88" s="227"/>
      <c r="E88" s="227"/>
      <c r="F88" s="227"/>
      <c r="G88" s="227"/>
      <c r="H88" s="366"/>
      <c r="I88" s="366"/>
      <c r="J88" s="366"/>
      <c r="K88" s="366"/>
      <c r="L88" s="366"/>
      <c r="M88" s="366"/>
      <c r="N88" s="366"/>
    </row>
    <row r="89" spans="1:14" x14ac:dyDescent="0.2">
      <c r="A89" s="227"/>
      <c r="B89" s="227"/>
      <c r="C89" s="227"/>
      <c r="D89" s="227"/>
      <c r="E89" s="227"/>
      <c r="F89" s="227"/>
      <c r="G89" s="227"/>
      <c r="H89" s="366"/>
      <c r="I89" s="366"/>
      <c r="J89" s="366"/>
      <c r="K89" s="366"/>
      <c r="L89" s="366"/>
      <c r="M89" s="366"/>
      <c r="N89" s="366"/>
    </row>
    <row r="90" spans="1:14" x14ac:dyDescent="0.2">
      <c r="A90" s="227"/>
      <c r="B90" s="227"/>
      <c r="C90" s="227"/>
      <c r="D90" s="227"/>
      <c r="E90" s="227"/>
      <c r="F90" s="227"/>
      <c r="G90" s="227"/>
      <c r="H90" s="366"/>
      <c r="I90" s="366"/>
      <c r="J90" s="366"/>
      <c r="K90" s="366"/>
      <c r="L90" s="366"/>
      <c r="M90" s="366"/>
      <c r="N90" s="366"/>
    </row>
    <row r="91" spans="1:14" x14ac:dyDescent="0.2">
      <c r="A91" s="227"/>
      <c r="B91" s="227"/>
      <c r="C91" s="227"/>
      <c r="D91" s="227"/>
      <c r="E91" s="227"/>
      <c r="F91" s="227"/>
      <c r="G91" s="227"/>
      <c r="H91" s="366"/>
      <c r="I91" s="366"/>
      <c r="J91" s="366"/>
      <c r="K91" s="366"/>
      <c r="L91" s="366"/>
      <c r="M91" s="366"/>
      <c r="N91" s="366"/>
    </row>
    <row r="92" spans="1:14" x14ac:dyDescent="0.2">
      <c r="A92" s="227"/>
      <c r="B92" s="227"/>
      <c r="C92" s="227"/>
      <c r="D92" s="227"/>
      <c r="E92" s="227"/>
      <c r="F92" s="227"/>
      <c r="G92" s="227"/>
      <c r="H92" s="366"/>
      <c r="I92" s="366"/>
      <c r="J92" s="366"/>
      <c r="K92" s="366"/>
      <c r="L92" s="366"/>
      <c r="M92" s="366"/>
      <c r="N92" s="366"/>
    </row>
    <row r="93" spans="1:14" x14ac:dyDescent="0.2">
      <c r="A93" s="227"/>
      <c r="B93" s="227"/>
      <c r="C93" s="227"/>
      <c r="D93" s="227"/>
      <c r="E93" s="227"/>
      <c r="F93" s="227"/>
      <c r="G93" s="227"/>
      <c r="H93" s="366"/>
      <c r="I93" s="366"/>
      <c r="J93" s="366"/>
      <c r="K93" s="366"/>
      <c r="L93" s="366"/>
      <c r="M93" s="366"/>
      <c r="N93" s="366"/>
    </row>
  </sheetData>
  <mergeCells count="15">
    <mergeCell ref="M41:M93"/>
    <mergeCell ref="N41:N93"/>
    <mergeCell ref="A42:G42"/>
    <mergeCell ref="F2:H2"/>
    <mergeCell ref="C3:K3"/>
    <mergeCell ref="C4:K4"/>
    <mergeCell ref="C7:K7"/>
    <mergeCell ref="C8:K8"/>
    <mergeCell ref="B9:L9"/>
    <mergeCell ref="A41:G41"/>
    <mergeCell ref="H41:H93"/>
    <mergeCell ref="I41:I93"/>
    <mergeCell ref="J41:J93"/>
    <mergeCell ref="K41:K93"/>
    <mergeCell ref="L41:L93"/>
  </mergeCells>
  <hyperlinks>
    <hyperlink ref="G17" r:id="rId1" display="mailto:r.a.wilson@warwick.ac.uk" xr:uid="{7E8E5E92-E83A-47E2-B6DC-64D03DC62CD4}"/>
  </hyperlinks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3"/>
  <dimension ref="A1:G40"/>
  <sheetViews>
    <sheetView zoomScale="85" workbookViewId="0"/>
  </sheetViews>
  <sheetFormatPr defaultRowHeight="12.75" x14ac:dyDescent="0.2"/>
  <cols>
    <col min="1" max="1" width="18.140625" customWidth="1"/>
    <col min="2" max="2" width="25.7109375" customWidth="1"/>
  </cols>
  <sheetData>
    <row r="1" spans="1:2" x14ac:dyDescent="0.2">
      <c r="A1" t="s">
        <v>505</v>
      </c>
      <c r="B1" t="s">
        <v>527</v>
      </c>
    </row>
    <row r="2" spans="1:2" x14ac:dyDescent="0.2">
      <c r="A2" t="s">
        <v>430</v>
      </c>
      <c r="B2" t="s">
        <v>431</v>
      </c>
    </row>
    <row r="3" spans="1:2" x14ac:dyDescent="0.2">
      <c r="A3" t="s">
        <v>432</v>
      </c>
      <c r="B3" t="s">
        <v>506</v>
      </c>
    </row>
    <row r="4" spans="1:2" x14ac:dyDescent="0.2">
      <c r="A4" t="s">
        <v>507</v>
      </c>
      <c r="B4" t="s">
        <v>528</v>
      </c>
    </row>
    <row r="5" spans="1:2" x14ac:dyDescent="0.2">
      <c r="A5" t="s">
        <v>433</v>
      </c>
      <c r="B5" t="s">
        <v>529</v>
      </c>
    </row>
    <row r="6" spans="1:2" x14ac:dyDescent="0.2">
      <c r="A6" t="s">
        <v>127</v>
      </c>
      <c r="B6" t="s">
        <v>530</v>
      </c>
    </row>
    <row r="40" spans="7:7" x14ac:dyDescent="0.2">
      <c r="G40" s="336"/>
    </row>
  </sheetData>
  <phoneticPr fontId="4" type="noConversion"/>
  <pageMargins left="0.75" right="0.75" top="1" bottom="1" header="0.5" footer="0.5"/>
  <pageSetup paperSize="9" orientation="landscape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Manager"/>
  <dimension ref="A1:AZ18"/>
  <sheetViews>
    <sheetView showGridLines="0" zoomScale="85" zoomScaleNormal="85" workbookViewId="0"/>
  </sheetViews>
  <sheetFormatPr defaultRowHeight="12.75" x14ac:dyDescent="0.2"/>
  <cols>
    <col min="1" max="1" width="3.42578125" customWidth="1"/>
    <col min="2" max="2" width="18.28515625" customWidth="1"/>
    <col min="3" max="4" width="6.140625" customWidth="1"/>
    <col min="5" max="5" width="6.28515625" customWidth="1"/>
    <col min="6" max="6" width="9.28515625" customWidth="1"/>
    <col min="7" max="7" width="6.140625" customWidth="1"/>
    <col min="8" max="8" width="10.42578125" customWidth="1"/>
  </cols>
  <sheetData>
    <row r="1" spans="1:52" x14ac:dyDescent="0.2">
      <c r="A1" s="10"/>
      <c r="B1" s="10"/>
      <c r="C1" s="10"/>
      <c r="D1" s="10"/>
      <c r="E1" s="10"/>
      <c r="F1" s="10"/>
      <c r="G1" s="196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</row>
    <row r="2" spans="1:52" ht="20.25" x14ac:dyDescent="0.3">
      <c r="B2" s="175" t="s">
        <v>103</v>
      </c>
    </row>
    <row r="4" spans="1:52" x14ac:dyDescent="0.2">
      <c r="B4" s="83" t="s">
        <v>102</v>
      </c>
      <c r="C4" t="str">
        <f>Stored!B11</f>
        <v>M:/IE/Projects/Nuffield via NFER AI and automation/Data/Results/Workbooks/LEPs/M3_LEP/M3_LEP_Database.Main.xlsx</v>
      </c>
    </row>
    <row r="5" spans="1:52" x14ac:dyDescent="0.2">
      <c r="B5" s="83"/>
    </row>
    <row r="6" spans="1:52" ht="22.5" customHeight="1" x14ac:dyDescent="0.2">
      <c r="B6" s="176" t="s">
        <v>143</v>
      </c>
      <c r="C6" s="176"/>
      <c r="D6" s="199"/>
    </row>
    <row r="7" spans="1:52" ht="15.75" customHeight="1" x14ac:dyDescent="0.2">
      <c r="B7" s="53"/>
      <c r="C7" s="54"/>
      <c r="D7" s="55"/>
    </row>
    <row r="8" spans="1:52" ht="21" customHeight="1" x14ac:dyDescent="0.2">
      <c r="B8" s="56"/>
      <c r="C8" s="198"/>
      <c r="D8" s="57"/>
    </row>
    <row r="10" spans="1:52" ht="17.25" customHeight="1" x14ac:dyDescent="0.2">
      <c r="B10" s="177" t="s">
        <v>407</v>
      </c>
      <c r="C10" s="51"/>
      <c r="D10" s="51"/>
      <c r="E10" s="51"/>
      <c r="F10" s="51"/>
      <c r="G10" s="51"/>
      <c r="H10" s="52"/>
    </row>
    <row r="11" spans="1:52" x14ac:dyDescent="0.2">
      <c r="B11" s="53"/>
      <c r="C11" s="59" t="s">
        <v>23</v>
      </c>
      <c r="D11" s="59" t="s">
        <v>24</v>
      </c>
      <c r="E11" s="59" t="s">
        <v>25</v>
      </c>
      <c r="F11" s="59" t="s">
        <v>26</v>
      </c>
      <c r="G11" s="59" t="s">
        <v>27</v>
      </c>
      <c r="H11" s="55"/>
    </row>
    <row r="12" spans="1:52" ht="13.5" thickBot="1" x14ac:dyDescent="0.25">
      <c r="B12" s="174" t="s">
        <v>17</v>
      </c>
      <c r="C12" s="60">
        <f>'Ind T2'!B3</f>
        <v>2015</v>
      </c>
      <c r="D12" s="60">
        <f>'Ind T2'!C3</f>
        <v>2019</v>
      </c>
      <c r="E12" s="60">
        <f>'Ind T2'!D3</f>
        <v>2020</v>
      </c>
      <c r="F12" s="60">
        <f>'Ind T2'!E3</f>
        <v>2025</v>
      </c>
      <c r="G12" s="60">
        <f>'Ind T2'!F3</f>
        <v>2035</v>
      </c>
      <c r="H12" s="55"/>
    </row>
    <row r="13" spans="1:52" ht="13.5" thickBot="1" x14ac:dyDescent="0.25">
      <c r="B13" s="204" t="s">
        <v>12</v>
      </c>
      <c r="C13" s="127">
        <v>2015</v>
      </c>
      <c r="D13" s="61">
        <v>2019</v>
      </c>
      <c r="E13" s="61">
        <v>2020</v>
      </c>
      <c r="F13" s="61">
        <v>2025</v>
      </c>
      <c r="G13" s="62">
        <v>2035</v>
      </c>
      <c r="H13" s="58"/>
    </row>
    <row r="14" spans="1:52" x14ac:dyDescent="0.2">
      <c r="A14" s="83"/>
    </row>
    <row r="16" spans="1:52" ht="45.75" customHeight="1" x14ac:dyDescent="0.2"/>
    <row r="17" spans="5:5" ht="15.75" customHeight="1" x14ac:dyDescent="0.2">
      <c r="E17" s="54"/>
    </row>
    <row r="18" spans="5:5" ht="24" customHeight="1" x14ac:dyDescent="0.2">
      <c r="E18" s="54"/>
    </row>
  </sheetData>
  <phoneticPr fontId="4" type="noConversion"/>
  <pageMargins left="0.75" right="0.75" top="1" bottom="1" header="0.5" footer="0.5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SummaryTablesA">
          <controlPr autoLine="0" r:id="rId5">
            <anchor moveWithCells="1">
              <from>
                <xdr:col>7</xdr:col>
                <xdr:colOff>38100</xdr:colOff>
                <xdr:row>10</xdr:row>
                <xdr:rowOff>95250</xdr:rowOff>
              </from>
              <to>
                <xdr:col>7</xdr:col>
                <xdr:colOff>609600</xdr:colOff>
                <xdr:row>12</xdr:row>
                <xdr:rowOff>76200</xdr:rowOff>
              </to>
            </anchor>
          </controlPr>
        </control>
      </mc:Choice>
      <mc:Fallback>
        <control shapeId="1025" r:id="rId4" name="SummaryTablesA"/>
      </mc:Fallback>
    </mc:AlternateContent>
    <mc:AlternateContent xmlns:mc="http://schemas.openxmlformats.org/markup-compatibility/2006">
      <mc:Choice Requires="x14">
        <control shapeId="1029" r:id="rId6" name="installDataButton">
          <controlPr defaultSize="0" autoLine="0" r:id="rId7">
            <anchor moveWithCells="1">
              <from>
                <xdr:col>1</xdr:col>
                <xdr:colOff>85725</xdr:colOff>
                <xdr:row>6</xdr:row>
                <xdr:rowOff>85725</xdr:rowOff>
              </from>
              <to>
                <xdr:col>1</xdr:col>
                <xdr:colOff>657225</xdr:colOff>
                <xdr:row>7</xdr:row>
                <xdr:rowOff>190500</xdr:rowOff>
              </to>
            </anchor>
          </controlPr>
        </control>
      </mc:Choice>
      <mc:Fallback>
        <control shapeId="1029" r:id="rId6" name="installDataButt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7"/>
  <dimension ref="A1:B31"/>
  <sheetViews>
    <sheetView showGridLines="0" workbookViewId="0"/>
  </sheetViews>
  <sheetFormatPr defaultColWidth="9.140625" defaultRowHeight="12.75" x14ac:dyDescent="0.2"/>
  <cols>
    <col min="1" max="1" width="14.140625" customWidth="1"/>
    <col min="2" max="2" width="100.85546875" customWidth="1"/>
    <col min="3" max="3" width="9.140625" customWidth="1"/>
  </cols>
  <sheetData>
    <row r="1" spans="1:2" ht="15" x14ac:dyDescent="0.25">
      <c r="A1" s="213" t="s">
        <v>150</v>
      </c>
    </row>
    <row r="2" spans="1:2" x14ac:dyDescent="0.2">
      <c r="A2" s="83" t="s">
        <v>148</v>
      </c>
    </row>
    <row r="3" spans="1:2" s="1" customFormat="1" x14ac:dyDescent="0.2">
      <c r="A3" s="208"/>
      <c r="B3" s="208"/>
    </row>
    <row r="4" spans="1:2" s="83" customFormat="1" x14ac:dyDescent="0.2">
      <c r="A4" s="209" t="s">
        <v>149</v>
      </c>
      <c r="B4" s="209" t="s">
        <v>150</v>
      </c>
    </row>
    <row r="5" spans="1:2" x14ac:dyDescent="0.2">
      <c r="A5" s="210" t="s">
        <v>374</v>
      </c>
      <c r="B5" s="211" t="s">
        <v>377</v>
      </c>
    </row>
    <row r="6" spans="1:2" x14ac:dyDescent="0.2">
      <c r="A6" s="210" t="s">
        <v>375</v>
      </c>
      <c r="B6" s="211" t="s">
        <v>378</v>
      </c>
    </row>
    <row r="7" spans="1:2" x14ac:dyDescent="0.2">
      <c r="A7" s="210" t="s">
        <v>380</v>
      </c>
      <c r="B7" s="211" t="s">
        <v>384</v>
      </c>
    </row>
    <row r="8" spans="1:2" x14ac:dyDescent="0.2">
      <c r="A8" s="210" t="s">
        <v>383</v>
      </c>
      <c r="B8" s="212" t="s">
        <v>385</v>
      </c>
    </row>
    <row r="9" spans="1:2" x14ac:dyDescent="0.2">
      <c r="A9" s="210" t="s">
        <v>381</v>
      </c>
      <c r="B9" s="212" t="s">
        <v>434</v>
      </c>
    </row>
    <row r="10" spans="1:2" x14ac:dyDescent="0.2">
      <c r="A10" s="210" t="s">
        <v>386</v>
      </c>
      <c r="B10" s="211" t="s">
        <v>393</v>
      </c>
    </row>
    <row r="11" spans="1:2" x14ac:dyDescent="0.2">
      <c r="A11" s="210" t="s">
        <v>388</v>
      </c>
      <c r="B11" s="211" t="s">
        <v>391</v>
      </c>
    </row>
    <row r="12" spans="1:2" x14ac:dyDescent="0.2">
      <c r="A12" s="210" t="s">
        <v>390</v>
      </c>
      <c r="B12" s="211" t="s">
        <v>435</v>
      </c>
    </row>
    <row r="13" spans="1:2" x14ac:dyDescent="0.2">
      <c r="A13" s="210" t="s">
        <v>405</v>
      </c>
      <c r="B13" s="211" t="s">
        <v>436</v>
      </c>
    </row>
    <row r="14" spans="1:2" x14ac:dyDescent="0.2">
      <c r="A14" s="210" t="s">
        <v>392</v>
      </c>
      <c r="B14" s="211" t="s">
        <v>425</v>
      </c>
    </row>
    <row r="15" spans="1:2" x14ac:dyDescent="0.2">
      <c r="A15" s="210" t="s">
        <v>376</v>
      </c>
      <c r="B15" s="211" t="s">
        <v>461</v>
      </c>
    </row>
    <row r="16" spans="1:2" x14ac:dyDescent="0.2">
      <c r="A16" s="210" t="s">
        <v>379</v>
      </c>
      <c r="B16" s="211" t="s">
        <v>462</v>
      </c>
    </row>
    <row r="17" spans="1:2" x14ac:dyDescent="0.2">
      <c r="A17" s="210" t="s">
        <v>382</v>
      </c>
      <c r="B17" s="211" t="s">
        <v>463</v>
      </c>
    </row>
    <row r="18" spans="1:2" x14ac:dyDescent="0.2">
      <c r="A18" s="210" t="s">
        <v>426</v>
      </c>
      <c r="B18" s="211" t="s">
        <v>427</v>
      </c>
    </row>
    <row r="19" spans="1:2" x14ac:dyDescent="0.2">
      <c r="A19" s="210" t="s">
        <v>387</v>
      </c>
      <c r="B19" s="211" t="s">
        <v>464</v>
      </c>
    </row>
    <row r="20" spans="1:2" x14ac:dyDescent="0.2">
      <c r="A20" s="210" t="s">
        <v>389</v>
      </c>
      <c r="B20" s="211" t="s">
        <v>465</v>
      </c>
    </row>
    <row r="21" spans="1:2" x14ac:dyDescent="0.2">
      <c r="A21" s="210" t="s">
        <v>417</v>
      </c>
      <c r="B21" s="211" t="s">
        <v>419</v>
      </c>
    </row>
    <row r="22" spans="1:2" x14ac:dyDescent="0.2">
      <c r="A22" s="210" t="s">
        <v>418</v>
      </c>
      <c r="B22" s="211" t="s">
        <v>420</v>
      </c>
    </row>
    <row r="23" spans="1:2" x14ac:dyDescent="0.2">
      <c r="A23" s="210" t="s">
        <v>423</v>
      </c>
      <c r="B23" s="211" t="s">
        <v>424</v>
      </c>
    </row>
    <row r="24" spans="1:2" x14ac:dyDescent="0.2">
      <c r="A24" s="210" t="s">
        <v>394</v>
      </c>
      <c r="B24" s="211" t="s">
        <v>395</v>
      </c>
    </row>
    <row r="25" spans="1:2" x14ac:dyDescent="0.2">
      <c r="A25" s="210" t="s">
        <v>396</v>
      </c>
      <c r="B25" s="211" t="s">
        <v>397</v>
      </c>
    </row>
    <row r="26" spans="1:2" x14ac:dyDescent="0.2">
      <c r="A26" s="210" t="s">
        <v>398</v>
      </c>
      <c r="B26" s="211" t="s">
        <v>466</v>
      </c>
    </row>
    <row r="27" spans="1:2" x14ac:dyDescent="0.2">
      <c r="A27" s="210" t="s">
        <v>400</v>
      </c>
      <c r="B27" s="211" t="s">
        <v>467</v>
      </c>
    </row>
    <row r="28" spans="1:2" x14ac:dyDescent="0.2">
      <c r="A28" s="210" t="s">
        <v>399</v>
      </c>
      <c r="B28" s="211" t="s">
        <v>468</v>
      </c>
    </row>
    <row r="29" spans="1:2" x14ac:dyDescent="0.2">
      <c r="A29" s="210" t="s">
        <v>401</v>
      </c>
      <c r="B29" s="211" t="s">
        <v>404</v>
      </c>
    </row>
    <row r="30" spans="1:2" x14ac:dyDescent="0.2">
      <c r="A30" s="210" t="s">
        <v>402</v>
      </c>
      <c r="B30" s="211" t="s">
        <v>469</v>
      </c>
    </row>
    <row r="31" spans="1:2" x14ac:dyDescent="0.2">
      <c r="A31" s="210" t="s">
        <v>403</v>
      </c>
      <c r="B31" s="211" t="s">
        <v>470</v>
      </c>
    </row>
  </sheetData>
  <hyperlinks>
    <hyperlink ref="A5" location="'Ind T1'!A1" display="Ind T1" xr:uid="{00000000-0004-0000-0400-000000000000}"/>
    <hyperlink ref="A6" location="'Ind T2'!A1" display="Ind T2" xr:uid="{00000000-0004-0000-0400-000001000000}"/>
    <hyperlink ref="A7" location="'Ind T4'!A1" display="Ind T4" xr:uid="{00000000-0004-0000-0400-000002000000}"/>
    <hyperlink ref="A8" location="'Ind T5'!A1" display="Ind T5" xr:uid="{00000000-0004-0000-0400-000003000000}"/>
    <hyperlink ref="A9" location="'Ind T6'!A1" display="Ind T6" xr:uid="{00000000-0004-0000-0400-000004000000}"/>
    <hyperlink ref="A10" location="'Ind F1'!A1" display="Ind F1" xr:uid="{00000000-0004-0000-0400-000005000000}"/>
    <hyperlink ref="A11" location="'Ind F2'!A1" display="Ind F2" xr:uid="{00000000-0004-0000-0400-000006000000}"/>
    <hyperlink ref="A12" location="'Ind Occ T1'!A1" display="IndOcc T1" xr:uid="{00000000-0004-0000-0400-000007000000}"/>
    <hyperlink ref="A13" location="'Ind Occ T2'!A1" display="IndOcc T2" xr:uid="{00000000-0004-0000-0400-000008000000}"/>
    <hyperlink ref="A14" location="'Occ T1'!A1" display="Occ T1" xr:uid="{00000000-0004-0000-0400-000009000000}"/>
    <hyperlink ref="A15" location="'Occ T2'!A1" display="Occ T2" xr:uid="{00000000-0004-0000-0400-00000A000000}"/>
    <hyperlink ref="A16" location="'Occ T3'!A1" display="Occ T3" xr:uid="{00000000-0004-0000-0400-00000B000000}"/>
    <hyperlink ref="A17" location="'Occ T4'!A1" display="Occ T4" xr:uid="{00000000-0004-0000-0400-00000C000000}"/>
    <hyperlink ref="A19" location="'Occ F1'!A1" display="Occ F1" xr:uid="{00000000-0004-0000-0400-00000D000000}"/>
    <hyperlink ref="A20" location="'Occ F2'!A1" display="Occ F2" xr:uid="{00000000-0004-0000-0400-00000E000000}"/>
    <hyperlink ref="A24" location="'Qual T1'!A1" display="Qual T1" xr:uid="{00000000-0004-0000-0400-00000F000000}"/>
    <hyperlink ref="A25" location="'Qual F1'!A1" display="Qual F1" xr:uid="{00000000-0004-0000-0400-000010000000}"/>
    <hyperlink ref="A26" location="'ShiftShare T1'!A1" display="ShiftShare T1" xr:uid="{00000000-0004-0000-0400-000011000000}"/>
    <hyperlink ref="A27" location="'RD T1'!A1" display="RD T1" xr:uid="{00000000-0004-0000-0400-000012000000}"/>
    <hyperlink ref="A28" location="'RD F1'!A1" display="RD F1" xr:uid="{00000000-0004-0000-0400-000013000000}"/>
    <hyperlink ref="A29" location="'Basic T1'!A1" display="Basic T1" xr:uid="{00000000-0004-0000-0400-000014000000}"/>
    <hyperlink ref="A30" location="'Basic T2'!A1" display="Basic T2" xr:uid="{00000000-0004-0000-0400-000015000000}"/>
    <hyperlink ref="A31" location="'Basic T3'!A1" display="Basic T3" xr:uid="{00000000-0004-0000-0400-000016000000}"/>
    <hyperlink ref="A21" location="'Occ F3'!A1" display="Occ F3" xr:uid="{00000000-0004-0000-0400-000017000000}"/>
    <hyperlink ref="A22" location="'Occ F4'!A1" display="Occ F3" xr:uid="{00000000-0004-0000-0400-000018000000}"/>
    <hyperlink ref="A23" location="'Occ F5'!A1" display="Occ F5" xr:uid="{00000000-0004-0000-0400-000019000000}"/>
    <hyperlink ref="A18" location="'Occ T5'!A1" display="Occ T5" xr:uid="{00000000-0004-0000-0400-00001A000000}"/>
  </hyperlink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S5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4.85546875" customWidth="1"/>
    <col min="8" max="10" width="11.7109375" customWidth="1"/>
    <col min="11" max="11" width="4.85546875" customWidth="1"/>
    <col min="12" max="12" width="26.7109375" customWidth="1"/>
    <col min="13" max="17" width="11.7109375" customWidth="1"/>
    <col min="18" max="19" width="10.7109375" customWidth="1"/>
  </cols>
  <sheetData>
    <row r="1" spans="1:19" ht="15.75" x14ac:dyDescent="0.25">
      <c r="A1" s="19" t="str">
        <f>CONCATENATE("Industry Table 1  Employment by Industry Sector (SIC 2007), ",B$5,"-",F$5,", ",Info!B5)</f>
        <v>Industry Table 1  Employment by Industry Sector (SIC 2007), 2015-2035, Enterprise M3</v>
      </c>
      <c r="L1" s="19" t="str">
        <f>CONCATENATE("Industry Table 1.1  Employment by Industry Sector (SIC 2007), ",B$5,"-",F$5,", ",Info!B5)</f>
        <v>Industry Table 1.1  Employment by Industry Sector (SIC 2007), 2015-2035, Enterprise M3</v>
      </c>
    </row>
    <row r="2" spans="1:19" x14ac:dyDescent="0.2">
      <c r="A2" s="1" t="s">
        <v>515</v>
      </c>
      <c r="J2" s="16" t="s">
        <v>36</v>
      </c>
    </row>
    <row r="3" spans="1:19" ht="15.75" x14ac:dyDescent="0.25">
      <c r="A3" s="353"/>
      <c r="B3" s="36"/>
      <c r="C3" s="36"/>
      <c r="D3" s="36"/>
      <c r="E3" s="36"/>
      <c r="F3" s="36"/>
      <c r="G3" s="17"/>
      <c r="H3" s="28" t="str">
        <f>CONCATENATE(D5,"-",F5)</f>
        <v>2020-2035</v>
      </c>
      <c r="I3" s="36"/>
      <c r="J3" s="36"/>
      <c r="K3" s="17"/>
      <c r="O3" s="1" t="s">
        <v>13</v>
      </c>
      <c r="R3" s="76" t="s">
        <v>44</v>
      </c>
    </row>
    <row r="4" spans="1:19" x14ac:dyDescent="0.2">
      <c r="G4" s="10"/>
      <c r="H4" s="16" t="s">
        <v>30</v>
      </c>
      <c r="I4" s="16" t="s">
        <v>31</v>
      </c>
      <c r="J4" s="16" t="s">
        <v>33</v>
      </c>
      <c r="K4" s="10"/>
      <c r="L4" s="22"/>
      <c r="M4" s="23">
        <f>B5</f>
        <v>2015</v>
      </c>
      <c r="N4" s="23">
        <f>C5</f>
        <v>2019</v>
      </c>
      <c r="O4" s="23">
        <f>D5</f>
        <v>2020</v>
      </c>
      <c r="P4" s="23">
        <f>E5</f>
        <v>2025</v>
      </c>
      <c r="Q4" s="23">
        <f>F5</f>
        <v>2035</v>
      </c>
      <c r="R4" s="75" t="str">
        <f>CONCATENATE(B$5,"-",D$5)</f>
        <v>2015-2020</v>
      </c>
      <c r="S4" s="75" t="str">
        <f t="shared" ref="S4:S10" si="0">F33</f>
        <v>2020-2035</v>
      </c>
    </row>
    <row r="5" spans="1:19" x14ac:dyDescent="0.2">
      <c r="A5" s="24"/>
      <c r="B5" s="35">
        <f>'Ind T2'!B3</f>
        <v>2015</v>
      </c>
      <c r="C5" s="35">
        <f>'Ind T2'!C3</f>
        <v>2019</v>
      </c>
      <c r="D5" s="35">
        <f>'Ind T2'!D3</f>
        <v>2020</v>
      </c>
      <c r="E5" s="35">
        <f>'Ind T2'!E3</f>
        <v>2025</v>
      </c>
      <c r="F5" s="35">
        <f>'Ind T2'!F3</f>
        <v>2035</v>
      </c>
      <c r="G5" s="11"/>
      <c r="H5" s="63" t="s">
        <v>19</v>
      </c>
      <c r="I5" s="63" t="s">
        <v>32</v>
      </c>
      <c r="J5" s="63" t="s">
        <v>34</v>
      </c>
      <c r="K5" s="11"/>
      <c r="L5" t="str">
        <f t="shared" ref="L5:Q10" si="1">A7</f>
        <v>Primary sector and utilities</v>
      </c>
      <c r="M5" s="11">
        <f t="shared" si="1"/>
        <v>16.005999999999986</v>
      </c>
      <c r="N5" s="11">
        <f t="shared" si="1"/>
        <v>15.752000000000006</v>
      </c>
      <c r="O5" s="11">
        <f t="shared" si="1"/>
        <v>14.369000000000012</v>
      </c>
      <c r="P5" s="11">
        <f t="shared" si="1"/>
        <v>14.727000000000004</v>
      </c>
      <c r="Q5" s="11">
        <f t="shared" si="1"/>
        <v>15.406999999999982</v>
      </c>
      <c r="R5" s="40">
        <f t="shared" ref="R5:R10" si="2">IF(D$5-B$5 &lt;&gt; 0,(EXP(LN(D7/B7)/(D$5-B$5))-1)*100,0)</f>
        <v>-2.1346966871180095</v>
      </c>
      <c r="S5" s="40">
        <f t="shared" si="0"/>
        <v>0.46607505577145325</v>
      </c>
    </row>
    <row r="6" spans="1:19" x14ac:dyDescent="0.2">
      <c r="A6" s="1" t="s">
        <v>13</v>
      </c>
      <c r="C6" s="10"/>
      <c r="D6" s="10"/>
      <c r="E6" s="10"/>
      <c r="F6" s="10"/>
      <c r="G6" s="11"/>
      <c r="H6" s="11"/>
      <c r="I6" s="11"/>
      <c r="J6" s="11"/>
      <c r="K6" s="11"/>
      <c r="L6" t="str">
        <f t="shared" si="1"/>
        <v>Manufacturing</v>
      </c>
      <c r="M6" s="11">
        <f t="shared" si="1"/>
        <v>46.496000000000038</v>
      </c>
      <c r="N6" s="11">
        <f t="shared" si="1"/>
        <v>49.746000000000002</v>
      </c>
      <c r="O6" s="11">
        <f t="shared" si="1"/>
        <v>49.208000000000013</v>
      </c>
      <c r="P6" s="11">
        <f t="shared" si="1"/>
        <v>46.91599999999994</v>
      </c>
      <c r="Q6" s="11">
        <f t="shared" si="1"/>
        <v>42.040000000000084</v>
      </c>
      <c r="R6" s="40">
        <f t="shared" si="2"/>
        <v>1.1402503460726354</v>
      </c>
      <c r="S6" s="40">
        <f t="shared" si="0"/>
        <v>-1.0440757310475779</v>
      </c>
    </row>
    <row r="7" spans="1:19" x14ac:dyDescent="0.2">
      <c r="A7" t="str">
        <f>name!C4</f>
        <v>Primary sector and utilities</v>
      </c>
      <c r="B7" s="11">
        <f t="array" ref="B7:B12">MMULT(aggregation!$B$3:$W$8,'Ind T2'!B5:B26)</f>
        <v>16.005999999999986</v>
      </c>
      <c r="C7" s="11">
        <f t="array" ref="C7:C12">MMULT(aggregation!$B$3:$W$8,'Ind T2'!C5:C26)</f>
        <v>15.752000000000006</v>
      </c>
      <c r="D7" s="11">
        <f t="array" ref="D7:D12">MMULT(aggregation!$B$3:$W$8,'Ind T2'!D5:D26)</f>
        <v>14.369000000000012</v>
      </c>
      <c r="E7" s="11">
        <f t="array" ref="E7:E12">MMULT(aggregation!$B$3:$W$8,'Ind T2'!E5:E26)</f>
        <v>14.727000000000004</v>
      </c>
      <c r="F7" s="11">
        <f t="array" ref="F7:F12">MMULT(aggregation!$B$3:$W$8,'Ind T2'!F5:F26)</f>
        <v>15.406999999999982</v>
      </c>
      <c r="G7" s="11"/>
      <c r="H7" s="11">
        <f>F7-D7</f>
        <v>1.0379999999999701</v>
      </c>
      <c r="I7" s="11">
        <f t="array" ref="I7:I12">MMULT(aggregation!$B$3:$W$8,'RD T1'!AB7:AB28)</f>
        <v>6.9040680729769033</v>
      </c>
      <c r="J7" s="11">
        <f>SUM(H7:I7)</f>
        <v>7.9420680729768733</v>
      </c>
      <c r="K7" s="11"/>
      <c r="L7" t="str">
        <f t="shared" si="1"/>
        <v>Construction</v>
      </c>
      <c r="M7" s="11">
        <f t="shared" si="1"/>
        <v>54.764000000000159</v>
      </c>
      <c r="N7" s="11">
        <f t="shared" si="1"/>
        <v>60.325000000000038</v>
      </c>
      <c r="O7" s="11">
        <f t="shared" si="1"/>
        <v>62.178999999999839</v>
      </c>
      <c r="P7" s="11">
        <f t="shared" si="1"/>
        <v>66.668000000000376</v>
      </c>
      <c r="Q7" s="11">
        <f t="shared" si="1"/>
        <v>72.454999999999885</v>
      </c>
      <c r="R7" s="40">
        <f>IF(D$5-B$5 &lt;&gt; 0,(EXP(LN(D9/B9)/(D$5-B$5))-1)*100,0)</f>
        <v>2.5722103402766816</v>
      </c>
      <c r="S7" s="40">
        <f t="shared" si="0"/>
        <v>1.0248719185084632</v>
      </c>
    </row>
    <row r="8" spans="1:19" x14ac:dyDescent="0.2">
      <c r="A8" t="str">
        <f>name!C5</f>
        <v>Manufacturing</v>
      </c>
      <c r="B8" s="11">
        <v>46.496000000000038</v>
      </c>
      <c r="C8" s="11">
        <v>49.746000000000002</v>
      </c>
      <c r="D8" s="11">
        <v>49.208000000000013</v>
      </c>
      <c r="E8" s="11">
        <v>46.91599999999994</v>
      </c>
      <c r="F8" s="11">
        <v>42.040000000000084</v>
      </c>
      <c r="G8" s="11"/>
      <c r="H8" s="11">
        <f t="shared" ref="H8:H12" si="3">F8-D8</f>
        <v>-7.1679999999999282</v>
      </c>
      <c r="I8" s="11">
        <v>19.480412716177629</v>
      </c>
      <c r="J8" s="11">
        <f t="shared" ref="J8:J12" si="4">SUM(H8:I8)</f>
        <v>12.3124127161777</v>
      </c>
      <c r="K8" s="11"/>
      <c r="L8" t="str">
        <f t="shared" si="1"/>
        <v>Trade, accomod. and transport</v>
      </c>
      <c r="M8" s="11">
        <f t="shared" si="1"/>
        <v>214.28399999999982</v>
      </c>
      <c r="N8" s="11">
        <f t="shared" si="1"/>
        <v>227.62700000000007</v>
      </c>
      <c r="O8" s="11">
        <f t="shared" si="1"/>
        <v>223.49699999999999</v>
      </c>
      <c r="P8" s="11">
        <f t="shared" si="1"/>
        <v>229.71599999999995</v>
      </c>
      <c r="Q8" s="11">
        <f t="shared" si="1"/>
        <v>241.38099999999969</v>
      </c>
      <c r="R8" s="40">
        <f t="shared" si="2"/>
        <v>0.8454691347876242</v>
      </c>
      <c r="S8" s="40">
        <f t="shared" si="0"/>
        <v>0.51450979158045307</v>
      </c>
    </row>
    <row r="9" spans="1:19" x14ac:dyDescent="0.2">
      <c r="A9" t="str">
        <f>name!C6</f>
        <v>Construction</v>
      </c>
      <c r="B9" s="11">
        <v>54.764000000000159</v>
      </c>
      <c r="C9" s="11">
        <v>60.325000000000038</v>
      </c>
      <c r="D9" s="11">
        <v>62.178999999999839</v>
      </c>
      <c r="E9" s="11">
        <v>66.668000000000376</v>
      </c>
      <c r="F9" s="11">
        <v>72.454999999999885</v>
      </c>
      <c r="G9" s="11"/>
      <c r="H9" s="11">
        <f t="shared" si="3"/>
        <v>10.276000000000046</v>
      </c>
      <c r="I9" s="11">
        <v>28.311614029504085</v>
      </c>
      <c r="J9" s="11">
        <f t="shared" si="4"/>
        <v>38.587614029504131</v>
      </c>
      <c r="K9" s="11"/>
      <c r="L9" t="str">
        <f t="shared" si="1"/>
        <v>Business and other services</v>
      </c>
      <c r="M9" s="11">
        <f t="shared" si="1"/>
        <v>333.41999999999996</v>
      </c>
      <c r="N9" s="11">
        <f t="shared" si="1"/>
        <v>328.33300000000008</v>
      </c>
      <c r="O9" s="11">
        <f t="shared" si="1"/>
        <v>317.27099999999996</v>
      </c>
      <c r="P9" s="11">
        <f t="shared" si="1"/>
        <v>328.89399999999972</v>
      </c>
      <c r="Q9" s="11">
        <f t="shared" si="1"/>
        <v>348.23600000000027</v>
      </c>
      <c r="R9" s="40">
        <f t="shared" si="2"/>
        <v>-0.98801985929528602</v>
      </c>
      <c r="S9" s="40">
        <f t="shared" si="0"/>
        <v>0.62275854492910288</v>
      </c>
    </row>
    <row r="10" spans="1:19" x14ac:dyDescent="0.2">
      <c r="A10" t="str">
        <f>name!C7</f>
        <v>Trade, accomod. and transport</v>
      </c>
      <c r="B10" s="11">
        <v>214.28399999999982</v>
      </c>
      <c r="C10" s="11">
        <v>227.62700000000007</v>
      </c>
      <c r="D10" s="11">
        <v>223.49699999999999</v>
      </c>
      <c r="E10" s="11">
        <v>229.71599999999995</v>
      </c>
      <c r="F10" s="11">
        <v>241.38099999999969</v>
      </c>
      <c r="G10" s="11"/>
      <c r="H10" s="11">
        <f t="shared" si="3"/>
        <v>17.883999999999702</v>
      </c>
      <c r="I10" s="11">
        <v>108.81333093684606</v>
      </c>
      <c r="J10" s="11">
        <f t="shared" si="4"/>
        <v>126.69733093684576</v>
      </c>
      <c r="K10" s="11"/>
      <c r="L10" t="str">
        <f t="shared" si="1"/>
        <v>Non-marketed services</v>
      </c>
      <c r="M10" s="11">
        <f t="shared" si="1"/>
        <v>200.03500000000005</v>
      </c>
      <c r="N10" s="11">
        <f t="shared" si="1"/>
        <v>200.666</v>
      </c>
      <c r="O10" s="11">
        <f t="shared" si="1"/>
        <v>198.11600000000001</v>
      </c>
      <c r="P10" s="11">
        <f t="shared" si="1"/>
        <v>203.05900000000003</v>
      </c>
      <c r="Q10" s="11">
        <f t="shared" si="1"/>
        <v>205.95899999999992</v>
      </c>
      <c r="R10" s="40">
        <f t="shared" si="2"/>
        <v>-0.19260694440755843</v>
      </c>
      <c r="S10" s="40">
        <f t="shared" si="0"/>
        <v>0.25916459981827344</v>
      </c>
    </row>
    <row r="11" spans="1:19" x14ac:dyDescent="0.2">
      <c r="A11" t="str">
        <f>name!C8</f>
        <v>Business and other services</v>
      </c>
      <c r="B11" s="11">
        <v>333.41999999999996</v>
      </c>
      <c r="C11" s="11">
        <v>328.33300000000008</v>
      </c>
      <c r="D11" s="11">
        <v>317.27099999999996</v>
      </c>
      <c r="E11" s="11">
        <v>328.89399999999972</v>
      </c>
      <c r="F11" s="11">
        <v>348.23600000000027</v>
      </c>
      <c r="G11" s="11"/>
      <c r="H11" s="11">
        <f t="shared" si="3"/>
        <v>30.965000000000316</v>
      </c>
      <c r="I11" s="11">
        <v>158.53647960136988</v>
      </c>
      <c r="J11" s="11">
        <f t="shared" si="4"/>
        <v>189.50147960137019</v>
      </c>
      <c r="K11" s="11"/>
      <c r="M11" s="11"/>
      <c r="N11" s="11"/>
      <c r="O11" s="11"/>
      <c r="P11" s="11"/>
      <c r="Q11" s="11"/>
      <c r="R11" s="40"/>
      <c r="S11" s="40"/>
    </row>
    <row r="12" spans="1:19" x14ac:dyDescent="0.2">
      <c r="A12" t="str">
        <f>name!C9</f>
        <v>Non-marketed services</v>
      </c>
      <c r="B12" s="11">
        <v>200.03500000000005</v>
      </c>
      <c r="C12" s="11">
        <v>200.666</v>
      </c>
      <c r="D12" s="11">
        <v>198.11600000000001</v>
      </c>
      <c r="E12" s="11">
        <v>203.05900000000003</v>
      </c>
      <c r="F12" s="11">
        <v>205.95899999999992</v>
      </c>
      <c r="G12" s="11"/>
      <c r="H12" s="11">
        <f t="shared" si="3"/>
        <v>7.842999999999904</v>
      </c>
      <c r="I12" s="11">
        <v>107.85991356498502</v>
      </c>
      <c r="J12" s="11">
        <f t="shared" si="4"/>
        <v>115.70291356498493</v>
      </c>
      <c r="K12" s="11"/>
      <c r="L12" s="24" t="str">
        <f t="shared" ref="L12:Q12" si="5">A14</f>
        <v>All industries</v>
      </c>
      <c r="M12" s="34">
        <f t="shared" si="5"/>
        <v>865.00500000000011</v>
      </c>
      <c r="N12" s="34">
        <f t="shared" si="5"/>
        <v>882.44900000000007</v>
      </c>
      <c r="O12" s="34">
        <f t="shared" si="5"/>
        <v>864.63999999999976</v>
      </c>
      <c r="P12" s="34">
        <f t="shared" si="5"/>
        <v>889.98</v>
      </c>
      <c r="Q12" s="34">
        <f t="shared" si="5"/>
        <v>925.47799999999995</v>
      </c>
      <c r="R12" s="43">
        <f>IF(D$5-B$5 &lt;&gt; 0,(EXP(LN(D14/B14)/(D$5-B$5))-1)*100,0)</f>
        <v>-8.4406823586569146E-3</v>
      </c>
      <c r="S12" s="43">
        <f>F41</f>
        <v>0.45434319276140833</v>
      </c>
    </row>
    <row r="13" spans="1:19" x14ac:dyDescent="0.2"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</row>
    <row r="14" spans="1:19" x14ac:dyDescent="0.2">
      <c r="A14" s="24" t="str">
        <f>name!C3</f>
        <v>All industries</v>
      </c>
      <c r="B14" s="34">
        <f>SUM(B7:B12)</f>
        <v>865.00500000000011</v>
      </c>
      <c r="C14" s="34">
        <f t="shared" ref="C14:F14" si="6">SUM(C7:C12)</f>
        <v>882.44900000000007</v>
      </c>
      <c r="D14" s="34">
        <f t="shared" si="6"/>
        <v>864.63999999999976</v>
      </c>
      <c r="E14" s="34">
        <f t="shared" si="6"/>
        <v>889.98</v>
      </c>
      <c r="F14" s="34">
        <f t="shared" si="6"/>
        <v>925.47799999999995</v>
      </c>
      <c r="G14" s="34"/>
      <c r="H14" s="34">
        <f>SUM(H7:H12)</f>
        <v>60.838000000000008</v>
      </c>
      <c r="I14" s="34">
        <f>SUM(I7:I12)</f>
        <v>429.90581892185958</v>
      </c>
      <c r="J14" s="34">
        <f t="shared" ref="J14" si="7">SUM(J7:J12)</f>
        <v>490.74381892185954</v>
      </c>
      <c r="K14" s="11"/>
      <c r="L14" s="11"/>
    </row>
    <row r="15" spans="1:19" x14ac:dyDescent="0.2">
      <c r="B15" s="11"/>
      <c r="C15" s="11"/>
      <c r="D15" s="11"/>
      <c r="E15" s="11"/>
      <c r="F15" s="11"/>
      <c r="G15" s="17"/>
      <c r="H15" s="11"/>
      <c r="I15" s="11"/>
      <c r="J15" s="11"/>
      <c r="K15" s="17"/>
      <c r="L15" s="11"/>
    </row>
    <row r="16" spans="1:19" x14ac:dyDescent="0.2">
      <c r="B16" s="11"/>
      <c r="C16" s="11"/>
      <c r="D16" s="11"/>
      <c r="E16" s="11"/>
      <c r="F16" s="11"/>
      <c r="G16" s="351"/>
      <c r="H16" s="17"/>
      <c r="I16" s="17"/>
      <c r="J16" s="352" t="s">
        <v>35</v>
      </c>
      <c r="K16" s="351"/>
      <c r="L16" s="11"/>
    </row>
    <row r="17" spans="1:12" x14ac:dyDescent="0.2">
      <c r="A17" s="36"/>
      <c r="B17" s="65"/>
      <c r="C17" s="65"/>
      <c r="D17" s="65"/>
      <c r="E17" s="65"/>
      <c r="F17" s="65"/>
      <c r="G17" s="351"/>
      <c r="H17" s="28" t="str">
        <f>CONCATENATE(D19,"-",F19)</f>
        <v>2020-2035</v>
      </c>
      <c r="I17" s="36"/>
      <c r="J17" s="36"/>
      <c r="K17" s="351"/>
      <c r="L17" s="11"/>
    </row>
    <row r="18" spans="1:12" x14ac:dyDescent="0.2">
      <c r="B18" s="11"/>
      <c r="C18" s="11"/>
      <c r="D18" s="11"/>
      <c r="E18" s="11"/>
      <c r="F18" s="11"/>
      <c r="G18" s="351"/>
      <c r="H18" s="16" t="s">
        <v>30</v>
      </c>
      <c r="I18" s="16" t="s">
        <v>31</v>
      </c>
      <c r="J18" s="16" t="s">
        <v>33</v>
      </c>
      <c r="K18" s="351"/>
      <c r="L18" s="11"/>
    </row>
    <row r="19" spans="1:12" x14ac:dyDescent="0.2">
      <c r="A19" s="41" t="s">
        <v>14</v>
      </c>
      <c r="B19" s="35">
        <f>B$5</f>
        <v>2015</v>
      </c>
      <c r="C19" s="35">
        <f>C$5</f>
        <v>2019</v>
      </c>
      <c r="D19" s="35">
        <f>D$5</f>
        <v>2020</v>
      </c>
      <c r="E19" s="35">
        <f>E$5</f>
        <v>2025</v>
      </c>
      <c r="F19" s="35">
        <f>F$5</f>
        <v>2035</v>
      </c>
      <c r="G19" s="351"/>
      <c r="H19" s="63" t="s">
        <v>19</v>
      </c>
      <c r="I19" s="63" t="s">
        <v>32</v>
      </c>
      <c r="J19" s="63" t="s">
        <v>34</v>
      </c>
      <c r="K19" s="351"/>
      <c r="L19" s="11"/>
    </row>
    <row r="20" spans="1:12" x14ac:dyDescent="0.2">
      <c r="A20" t="str">
        <f>$A$7</f>
        <v>Primary sector and utilities</v>
      </c>
      <c r="B20" s="18">
        <f t="shared" ref="B20:F25" si="8">B7/B$14*100</f>
        <v>1.8503939283587938</v>
      </c>
      <c r="C20" s="18">
        <f t="shared" si="8"/>
        <v>1.7850323361463389</v>
      </c>
      <c r="D20" s="18">
        <f t="shared" si="8"/>
        <v>1.6618477054034069</v>
      </c>
      <c r="E20" s="18">
        <f t="shared" si="8"/>
        <v>1.6547562866581274</v>
      </c>
      <c r="F20" s="18">
        <f t="shared" si="8"/>
        <v>1.6647613449482304</v>
      </c>
      <c r="G20" s="351"/>
      <c r="H20" s="40">
        <f>IF(D7&gt;0,(H7/D7)*100,0)</f>
        <v>7.2238847518962297</v>
      </c>
      <c r="I20" s="40">
        <f>IF(D7&gt;0,(I7/D7)*100,0)</f>
        <v>48.048354603499874</v>
      </c>
      <c r="J20" s="40">
        <f>IF(D7&gt;0,(J7/D7)*100,0)</f>
        <v>55.272239355396103</v>
      </c>
      <c r="K20" s="351"/>
      <c r="L20" s="11"/>
    </row>
    <row r="21" spans="1:12" x14ac:dyDescent="0.2">
      <c r="A21" t="str">
        <f>$A$8</f>
        <v>Manufacturing</v>
      </c>
      <c r="B21" s="18">
        <f t="shared" si="8"/>
        <v>5.3752290449188198</v>
      </c>
      <c r="C21" s="18">
        <f t="shared" si="8"/>
        <v>5.6372662896099381</v>
      </c>
      <c r="D21" s="18">
        <f t="shared" si="8"/>
        <v>5.6911547002220608</v>
      </c>
      <c r="E21" s="18">
        <f t="shared" si="8"/>
        <v>5.2715791366098044</v>
      </c>
      <c r="F21" s="18">
        <f t="shared" si="8"/>
        <v>4.5425174882601302</v>
      </c>
      <c r="G21" s="351"/>
      <c r="H21" s="40">
        <f t="shared" ref="H21:H25" si="9">IF(D8&gt;0,(H8/D8)*100,0)</f>
        <v>-14.566737115915963</v>
      </c>
      <c r="I21" s="40">
        <f t="shared" ref="I21:I25" si="10">IF(D8&gt;0,(I8/D8)*100,0)</f>
        <v>39.58789773243705</v>
      </c>
      <c r="J21" s="40">
        <f t="shared" ref="J21:J27" si="11">IF(D8&gt;0,(J8/D8)*100,0)</f>
        <v>25.021160616521087</v>
      </c>
      <c r="K21" s="351"/>
      <c r="L21" s="11"/>
    </row>
    <row r="22" spans="1:12" x14ac:dyDescent="0.2">
      <c r="A22" t="str">
        <f>$A$9</f>
        <v>Construction</v>
      </c>
      <c r="B22" s="18">
        <f t="shared" si="8"/>
        <v>6.3310616701637734</v>
      </c>
      <c r="C22" s="18">
        <f t="shared" si="8"/>
        <v>6.8360891110987758</v>
      </c>
      <c r="D22" s="18">
        <f t="shared" si="8"/>
        <v>7.1913166173204868</v>
      </c>
      <c r="E22" s="18">
        <f t="shared" si="8"/>
        <v>7.4909548529180858</v>
      </c>
      <c r="F22" s="18">
        <f t="shared" si="8"/>
        <v>7.8289273218812214</v>
      </c>
      <c r="G22" s="351"/>
      <c r="H22" s="40">
        <f t="shared" si="9"/>
        <v>16.526480001286725</v>
      </c>
      <c r="I22" s="40">
        <f t="shared" si="10"/>
        <v>45.532437043863936</v>
      </c>
      <c r="J22" s="40">
        <f t="shared" si="11"/>
        <v>62.058917045150665</v>
      </c>
      <c r="K22" s="351"/>
    </row>
    <row r="23" spans="1:12" x14ac:dyDescent="0.2">
      <c r="A23" t="str">
        <f>$A$10</f>
        <v>Trade, accomod. and transport</v>
      </c>
      <c r="B23" s="18">
        <f t="shared" si="8"/>
        <v>24.772573568938885</v>
      </c>
      <c r="C23" s="18">
        <f t="shared" si="8"/>
        <v>25.79491845987701</v>
      </c>
      <c r="D23" s="18">
        <f t="shared" si="8"/>
        <v>25.848561250925243</v>
      </c>
      <c r="E23" s="18">
        <f t="shared" si="8"/>
        <v>25.811366547562859</v>
      </c>
      <c r="F23" s="18">
        <f t="shared" si="8"/>
        <v>26.081765314788651</v>
      </c>
      <c r="G23" s="351"/>
      <c r="H23" s="40">
        <f t="shared" si="9"/>
        <v>8.0018971171871218</v>
      </c>
      <c r="I23" s="40">
        <f t="shared" si="10"/>
        <v>48.686707623299668</v>
      </c>
      <c r="J23" s="40">
        <f t="shared" si="11"/>
        <v>56.688604740486795</v>
      </c>
      <c r="K23" s="351"/>
      <c r="L23" s="11"/>
    </row>
    <row r="24" spans="1:12" x14ac:dyDescent="0.2">
      <c r="A24" t="str">
        <f>$A$11</f>
        <v>Business and other services</v>
      </c>
      <c r="B24" s="18">
        <f t="shared" si="8"/>
        <v>38.545441933861646</v>
      </c>
      <c r="C24" s="18">
        <f t="shared" si="8"/>
        <v>37.207022728792268</v>
      </c>
      <c r="D24" s="18">
        <f t="shared" si="8"/>
        <v>36.693999814951894</v>
      </c>
      <c r="E24" s="18">
        <f t="shared" si="8"/>
        <v>36.955212476684842</v>
      </c>
      <c r="F24" s="18">
        <f t="shared" si="8"/>
        <v>37.627690771687746</v>
      </c>
      <c r="G24" s="351"/>
      <c r="H24" s="40">
        <f t="shared" si="9"/>
        <v>9.7597952538997639</v>
      </c>
      <c r="I24" s="40">
        <f t="shared" si="10"/>
        <v>49.968789962325552</v>
      </c>
      <c r="J24" s="40">
        <f t="shared" si="11"/>
        <v>59.728585216225319</v>
      </c>
      <c r="K24" s="351"/>
      <c r="L24" s="11"/>
    </row>
    <row r="25" spans="1:12" x14ac:dyDescent="0.2">
      <c r="A25" t="str">
        <f>$A$12</f>
        <v>Non-marketed services</v>
      </c>
      <c r="B25" s="18">
        <f t="shared" si="8"/>
        <v>23.125299853758076</v>
      </c>
      <c r="C25" s="18">
        <f t="shared" si="8"/>
        <v>22.739671074475691</v>
      </c>
      <c r="D25" s="18">
        <f t="shared" si="8"/>
        <v>22.913119911176913</v>
      </c>
      <c r="E25" s="18">
        <f t="shared" si="8"/>
        <v>22.816130699566283</v>
      </c>
      <c r="F25" s="18">
        <f t="shared" si="8"/>
        <v>22.254337758434012</v>
      </c>
      <c r="G25" s="351"/>
      <c r="H25" s="40">
        <f t="shared" si="9"/>
        <v>3.958791818934313</v>
      </c>
      <c r="I25" s="40">
        <f t="shared" si="10"/>
        <v>54.442808034174426</v>
      </c>
      <c r="J25" s="40">
        <f t="shared" si="11"/>
        <v>58.401599853108742</v>
      </c>
      <c r="K25" s="351"/>
      <c r="L25" s="11"/>
    </row>
    <row r="26" spans="1:12" x14ac:dyDescent="0.2">
      <c r="B26" s="18"/>
      <c r="C26" s="18"/>
      <c r="D26" s="18"/>
      <c r="E26" s="18"/>
      <c r="F26" s="18"/>
      <c r="G26" s="351"/>
      <c r="H26" s="40"/>
      <c r="I26" s="40"/>
      <c r="J26" s="40"/>
      <c r="K26" s="351"/>
      <c r="L26" s="11"/>
    </row>
    <row r="27" spans="1:12" x14ac:dyDescent="0.2">
      <c r="A27" s="24" t="str">
        <f>$A$14</f>
        <v>All industries</v>
      </c>
      <c r="B27" s="26">
        <f>B14/B$14*100</f>
        <v>100</v>
      </c>
      <c r="C27" s="26">
        <f>C14/C$14*100</f>
        <v>100</v>
      </c>
      <c r="D27" s="26">
        <f>D14/D$14*100</f>
        <v>100</v>
      </c>
      <c r="E27" s="26">
        <f>E14/E$14*100</f>
        <v>100</v>
      </c>
      <c r="F27" s="26">
        <f>F14/F$14*100</f>
        <v>100</v>
      </c>
      <c r="G27" s="351"/>
      <c r="H27" s="43">
        <f>IF(D14&gt;0,(H14/D14)*100,0)</f>
        <v>7.0362231680236889</v>
      </c>
      <c r="I27" s="43">
        <f>IF(D14&gt;0,(I14/D14)*100,0)</f>
        <v>49.720787717646616</v>
      </c>
      <c r="J27" s="43">
        <f t="shared" si="11"/>
        <v>56.757010885670297</v>
      </c>
      <c r="K27" s="351"/>
      <c r="L27" s="11"/>
    </row>
    <row r="28" spans="1:12" x14ac:dyDescent="0.2">
      <c r="B28" s="18"/>
      <c r="C28" s="18"/>
      <c r="D28" s="18"/>
      <c r="E28" s="18"/>
      <c r="F28" s="18"/>
    </row>
    <row r="29" spans="1:12" x14ac:dyDescent="0.2">
      <c r="B29" s="18"/>
      <c r="C29" s="18"/>
      <c r="D29" s="18"/>
      <c r="E29" s="18"/>
      <c r="F29" s="18"/>
      <c r="G29" s="20"/>
      <c r="H29" s="20"/>
      <c r="I29" s="20"/>
      <c r="J29" s="20"/>
      <c r="K29" s="20"/>
    </row>
    <row r="30" spans="1:12" x14ac:dyDescent="0.2">
      <c r="B30" s="18"/>
      <c r="C30" s="18"/>
      <c r="D30" s="18"/>
      <c r="E30" s="18"/>
      <c r="F30" s="18"/>
      <c r="G30" s="18"/>
      <c r="H30" s="18"/>
      <c r="I30" s="18"/>
      <c r="J30" s="18"/>
      <c r="K30" s="18"/>
    </row>
    <row r="31" spans="1:12" ht="15.75" x14ac:dyDescent="0.25">
      <c r="A31" s="194" t="str">
        <f>CONCATENATE(A1," (Continued)")</f>
        <v>Industry Table 1  Employment by Industry Sector (SIC 2007), 2015-2035, Enterprise M3 (Continued)</v>
      </c>
      <c r="B31" s="18"/>
      <c r="C31" s="18"/>
      <c r="D31" s="18"/>
      <c r="E31" s="18"/>
      <c r="F31" s="18"/>
      <c r="G31" s="18"/>
      <c r="H31" s="18"/>
      <c r="I31" s="18"/>
      <c r="J31" s="18"/>
      <c r="K31" s="18"/>
    </row>
    <row r="32" spans="1:12" x14ac:dyDescent="0.2">
      <c r="G32" s="18"/>
      <c r="H32" s="18"/>
      <c r="I32" s="18"/>
      <c r="J32" s="18"/>
      <c r="K32" s="18"/>
    </row>
    <row r="33" spans="1:11" x14ac:dyDescent="0.2">
      <c r="A33" s="195" t="s">
        <v>15</v>
      </c>
      <c r="B33" s="25" t="str">
        <f>CONCATENATE(B$5,"-",C$5)</f>
        <v>2015-2019</v>
      </c>
      <c r="C33" s="25" t="str">
        <f>CONCATENATE(C$5,"-",D$5)</f>
        <v>2019-2020</v>
      </c>
      <c r="D33" s="25" t="str">
        <f>CONCATENATE(D$5,"-",E$5)</f>
        <v>2020-2025</v>
      </c>
      <c r="E33" s="25" t="str">
        <f>CONCATENATE(E$5,"-",F$5)</f>
        <v>2025-2035</v>
      </c>
      <c r="F33" s="25" t="str">
        <f>CONCATENATE(D$5,"-",F$5)</f>
        <v>2020-2035</v>
      </c>
      <c r="G33" s="18"/>
      <c r="H33" s="18"/>
      <c r="I33" s="18"/>
      <c r="J33" s="18"/>
      <c r="K33" s="18"/>
    </row>
    <row r="34" spans="1:11" x14ac:dyDescent="0.2">
      <c r="A34" t="str">
        <f>$A$7</f>
        <v>Primary sector and utilities</v>
      </c>
      <c r="B34" s="18">
        <f t="shared" ref="B34:E39" si="12">IF(C$5-B$5 &lt;&gt; 0,(EXP(LN(C7/B7)/(C$5-B$5))-1)*100,0)</f>
        <v>-0.39910919896151142</v>
      </c>
      <c r="C34" s="18">
        <f t="shared" si="12"/>
        <v>-8.7798374809547557</v>
      </c>
      <c r="D34" s="18">
        <f t="shared" si="12"/>
        <v>0.49340194822733441</v>
      </c>
      <c r="E34" s="18">
        <f t="shared" si="12"/>
        <v>0.4524143962671312</v>
      </c>
      <c r="F34" s="18">
        <f t="shared" ref="F34:F39" si="13">IF(F$5-D$5 &lt;&gt; 0,(EXP(LN(F7/D7)/(F$5-D$5))-1)*100,0)</f>
        <v>0.46607505577145325</v>
      </c>
      <c r="G34" s="18"/>
      <c r="H34" s="18"/>
      <c r="I34" s="18"/>
      <c r="J34" s="18"/>
      <c r="K34" s="18"/>
    </row>
    <row r="35" spans="1:11" x14ac:dyDescent="0.2">
      <c r="A35" t="str">
        <f>$A$8</f>
        <v>Manufacturing</v>
      </c>
      <c r="B35" s="18">
        <f t="shared" si="12"/>
        <v>1.7034401295474622</v>
      </c>
      <c r="C35" s="18">
        <f t="shared" si="12"/>
        <v>-1.0814939894664644</v>
      </c>
      <c r="D35" s="18">
        <f t="shared" si="12"/>
        <v>-0.9494132068293859</v>
      </c>
      <c r="E35" s="18">
        <f t="shared" si="12"/>
        <v>-1.0913730619290907</v>
      </c>
      <c r="F35" s="18">
        <f t="shared" si="13"/>
        <v>-1.0440757310475779</v>
      </c>
      <c r="G35" s="18"/>
      <c r="H35" s="18"/>
      <c r="I35" s="18"/>
      <c r="J35" s="18"/>
      <c r="K35" s="18"/>
    </row>
    <row r="36" spans="1:11" x14ac:dyDescent="0.2">
      <c r="A36" t="str">
        <f>$A$9</f>
        <v>Construction</v>
      </c>
      <c r="B36" s="18">
        <f t="shared" si="12"/>
        <v>2.4473059321639345</v>
      </c>
      <c r="C36" s="18">
        <f t="shared" si="12"/>
        <v>3.0733526730208016</v>
      </c>
      <c r="D36" s="18">
        <f t="shared" si="12"/>
        <v>1.4039187735366054</v>
      </c>
      <c r="E36" s="18">
        <f t="shared" si="12"/>
        <v>0.83588015001205829</v>
      </c>
      <c r="F36" s="18">
        <f t="shared" si="13"/>
        <v>1.0248719185084632</v>
      </c>
      <c r="G36" s="18"/>
      <c r="H36" s="18"/>
      <c r="I36" s="18"/>
      <c r="J36" s="18"/>
      <c r="K36" s="18"/>
    </row>
    <row r="37" spans="1:11" x14ac:dyDescent="0.2">
      <c r="A37" t="str">
        <f>$A$10</f>
        <v>Trade, accomod. and transport</v>
      </c>
      <c r="B37" s="18">
        <f t="shared" si="12"/>
        <v>1.52161257463721</v>
      </c>
      <c r="C37" s="18">
        <f t="shared" si="12"/>
        <v>-1.8143717573047446</v>
      </c>
      <c r="D37" s="18">
        <f>IF(E$5-D$5 &lt;&gt; 0,(EXP(LN(E10/D10)/(E$5-D$5))-1)*100,0)</f>
        <v>0.55042474510655914</v>
      </c>
      <c r="E37" s="18">
        <f t="shared" si="12"/>
        <v>0.49655712568974497</v>
      </c>
      <c r="F37" s="18">
        <f t="shared" si="13"/>
        <v>0.51450979158045307</v>
      </c>
      <c r="G37" s="18"/>
      <c r="H37" s="18"/>
      <c r="I37" s="18"/>
      <c r="J37" s="18"/>
      <c r="K37" s="18"/>
    </row>
    <row r="38" spans="1:11" x14ac:dyDescent="0.2">
      <c r="A38" t="str">
        <f>$A$11</f>
        <v>Business and other services</v>
      </c>
      <c r="B38" s="18">
        <f t="shared" si="12"/>
        <v>-0.38362774251264886</v>
      </c>
      <c r="C38" s="18">
        <f t="shared" si="12"/>
        <v>-3.3691404762847821</v>
      </c>
      <c r="D38" s="18">
        <f t="shared" si="12"/>
        <v>0.72217947151986817</v>
      </c>
      <c r="E38" s="18">
        <f t="shared" si="12"/>
        <v>0.57308488887206632</v>
      </c>
      <c r="F38" s="18">
        <f t="shared" si="13"/>
        <v>0.62275854492910288</v>
      </c>
      <c r="G38" s="18"/>
      <c r="H38" s="18"/>
      <c r="I38" s="18"/>
      <c r="J38" s="18"/>
      <c r="K38" s="18"/>
    </row>
    <row r="39" spans="1:11" x14ac:dyDescent="0.2">
      <c r="A39" t="str">
        <f>$A$12</f>
        <v>Non-marketed services</v>
      </c>
      <c r="B39" s="18">
        <f t="shared" si="12"/>
        <v>7.8768084243097114E-2</v>
      </c>
      <c r="C39" s="18">
        <f t="shared" si="12"/>
        <v>-1.2707683414230564</v>
      </c>
      <c r="D39" s="18">
        <f t="shared" si="12"/>
        <v>0.49409382715936978</v>
      </c>
      <c r="E39" s="18">
        <f t="shared" si="12"/>
        <v>0.14190601790031732</v>
      </c>
      <c r="F39" s="18">
        <f t="shared" si="13"/>
        <v>0.25916459981827344</v>
      </c>
    </row>
    <row r="40" spans="1:11" x14ac:dyDescent="0.2">
      <c r="B40" s="18"/>
      <c r="C40" s="18"/>
      <c r="D40" s="18"/>
      <c r="E40" s="18"/>
      <c r="F40" s="18"/>
      <c r="G40" s="20"/>
      <c r="H40" s="20"/>
      <c r="I40" s="20"/>
      <c r="J40" s="20"/>
      <c r="K40" s="20"/>
    </row>
    <row r="41" spans="1:11" x14ac:dyDescent="0.2">
      <c r="A41" t="str">
        <f>$A$14</f>
        <v>All industries</v>
      </c>
      <c r="B41" s="18">
        <f>IF(C$5-B$5 &lt;&gt; 0,(EXP(LN(C14/B14)/(C$5-B$5))-1)*100,0)</f>
        <v>0.50039053026920133</v>
      </c>
      <c r="C41" s="18">
        <f>IF(D$5-C$5 &lt;&gt; 0,(EXP(LN(D14/C14)/(D$5-C$5))-1)*100,0)</f>
        <v>-2.0181336258526361</v>
      </c>
      <c r="D41" s="18">
        <f>IF(E$5-D$5 &lt;&gt; 0,(EXP(LN(E14/D14)/(E$5-D$5))-1)*100,0)</f>
        <v>0.57938709657920917</v>
      </c>
      <c r="E41" s="18">
        <f>IF(F$5-E$5 &lt;&gt; 0,(EXP(LN(F14/E14)/(F$5-E$5))-1)*100,0)</f>
        <v>0.39187955008854747</v>
      </c>
      <c r="F41" s="18">
        <f>IF(F$5-D$5 &lt;&gt; 0,(EXP(LN(F14/D14)/(F$5-D$5))-1)*100,0)</f>
        <v>0.45434319276140833</v>
      </c>
      <c r="G41" s="27"/>
      <c r="H41" s="27"/>
      <c r="I41" s="27"/>
      <c r="J41" s="27"/>
      <c r="K41" s="27"/>
    </row>
    <row r="42" spans="1:11" x14ac:dyDescent="0.2">
      <c r="B42" s="18"/>
      <c r="C42" s="18"/>
      <c r="D42" s="18"/>
      <c r="E42" s="18"/>
      <c r="F42" s="18"/>
      <c r="G42" s="27"/>
      <c r="H42" s="27"/>
      <c r="I42" s="27"/>
      <c r="J42" s="27"/>
      <c r="K42" s="27"/>
    </row>
    <row r="43" spans="1:11" x14ac:dyDescent="0.2">
      <c r="G43" s="27"/>
      <c r="H43" s="27"/>
      <c r="I43" s="27"/>
      <c r="J43" s="27"/>
      <c r="K43" s="27"/>
    </row>
    <row r="44" spans="1:11" x14ac:dyDescent="0.2">
      <c r="A44" s="1" t="s">
        <v>16</v>
      </c>
      <c r="B44" s="20" t="str">
        <f>CONCATENATE(B$5,"-",C$5)</f>
        <v>2015-2019</v>
      </c>
      <c r="C44" s="20" t="str">
        <f>CONCATENATE(C$5,"-",D$5)</f>
        <v>2019-2020</v>
      </c>
      <c r="D44" s="20" t="str">
        <f>CONCATENATE(D$5,"-",E$5)</f>
        <v>2020-2025</v>
      </c>
      <c r="E44" s="20" t="str">
        <f>CONCATENATE(E$5,"-",F$5)</f>
        <v>2025-2035</v>
      </c>
      <c r="F44" s="20" t="str">
        <f>CONCATENATE(D$5,"-",F$5)</f>
        <v>2020-2035</v>
      </c>
      <c r="G44" s="27"/>
      <c r="H44" s="27"/>
      <c r="I44" s="27"/>
      <c r="J44" s="27"/>
      <c r="K44" s="27"/>
    </row>
    <row r="45" spans="1:11" x14ac:dyDescent="0.2">
      <c r="A45" t="str">
        <f>$A$7</f>
        <v>Primary sector and utilities</v>
      </c>
      <c r="B45" s="27">
        <f>C7-B7</f>
        <v>-0.25399999999998002</v>
      </c>
      <c r="C45" s="27">
        <f>D7-C7</f>
        <v>-1.3829999999999938</v>
      </c>
      <c r="D45" s="27">
        <f>E7-D7</f>
        <v>0.35799999999999166</v>
      </c>
      <c r="E45" s="27">
        <f>F7-E7</f>
        <v>0.6799999999999784</v>
      </c>
      <c r="F45" s="27">
        <f>F7-D7</f>
        <v>1.0379999999999701</v>
      </c>
      <c r="G45" s="27"/>
      <c r="H45" s="27"/>
      <c r="I45" s="27"/>
      <c r="J45" s="27"/>
      <c r="K45" s="27"/>
    </row>
    <row r="46" spans="1:11" x14ac:dyDescent="0.2">
      <c r="A46" t="str">
        <f>$A$8</f>
        <v>Manufacturing</v>
      </c>
      <c r="B46" s="27">
        <f t="shared" ref="B46:E52" si="14">C8-B8</f>
        <v>3.2499999999999645</v>
      </c>
      <c r="C46" s="27">
        <f>D8-C8</f>
        <v>-0.5379999999999896</v>
      </c>
      <c r="D46" s="27">
        <f t="shared" si="14"/>
        <v>-2.2920000000000726</v>
      </c>
      <c r="E46" s="27">
        <f t="shared" si="14"/>
        <v>-4.8759999999998556</v>
      </c>
      <c r="F46" s="27">
        <f t="shared" ref="F46:F52" si="15">F8-D8</f>
        <v>-7.1679999999999282</v>
      </c>
      <c r="G46" s="27"/>
      <c r="H46" s="27"/>
      <c r="I46" s="27"/>
      <c r="J46" s="27"/>
      <c r="K46" s="27"/>
    </row>
    <row r="47" spans="1:11" x14ac:dyDescent="0.2">
      <c r="A47" t="str">
        <f>$A$9</f>
        <v>Construction</v>
      </c>
      <c r="B47" s="27">
        <f t="shared" si="14"/>
        <v>5.5609999999998792</v>
      </c>
      <c r="C47" s="27">
        <f t="shared" ref="C47:C50" si="16">D9-C9</f>
        <v>1.8539999999998003</v>
      </c>
      <c r="D47" s="27">
        <f t="shared" si="14"/>
        <v>4.4890000000005372</v>
      </c>
      <c r="E47" s="27">
        <f t="shared" si="14"/>
        <v>5.7869999999995088</v>
      </c>
      <c r="F47" s="27">
        <f t="shared" si="15"/>
        <v>10.276000000000046</v>
      </c>
      <c r="G47" s="27"/>
      <c r="H47" s="27"/>
      <c r="I47" s="27"/>
      <c r="J47" s="27"/>
      <c r="K47" s="27"/>
    </row>
    <row r="48" spans="1:11" x14ac:dyDescent="0.2">
      <c r="A48" t="str">
        <f>$A$10</f>
        <v>Trade, accomod. and transport</v>
      </c>
      <c r="B48" s="27">
        <f t="shared" si="14"/>
        <v>13.343000000000245</v>
      </c>
      <c r="C48" s="27">
        <f t="shared" si="16"/>
        <v>-4.1300000000000807</v>
      </c>
      <c r="D48" s="27">
        <f t="shared" si="14"/>
        <v>6.2189999999999657</v>
      </c>
      <c r="E48" s="27">
        <f t="shared" si="14"/>
        <v>11.664999999999736</v>
      </c>
      <c r="F48" s="27">
        <f t="shared" si="15"/>
        <v>17.883999999999702</v>
      </c>
      <c r="G48" s="27"/>
      <c r="H48" s="27"/>
      <c r="I48" s="27"/>
      <c r="J48" s="27"/>
      <c r="K48" s="27"/>
    </row>
    <row r="49" spans="1:6" x14ac:dyDescent="0.2">
      <c r="A49" t="str">
        <f>$A$11</f>
        <v>Business and other services</v>
      </c>
      <c r="B49" s="27">
        <f t="shared" si="14"/>
        <v>-5.0869999999998754</v>
      </c>
      <c r="C49" s="27">
        <f t="shared" si="16"/>
        <v>-11.062000000000126</v>
      </c>
      <c r="D49" s="27">
        <f t="shared" si="14"/>
        <v>11.622999999999763</v>
      </c>
      <c r="E49" s="27">
        <f t="shared" si="14"/>
        <v>19.342000000000553</v>
      </c>
      <c r="F49" s="27">
        <f t="shared" si="15"/>
        <v>30.965000000000316</v>
      </c>
    </row>
    <row r="50" spans="1:6" x14ac:dyDescent="0.2">
      <c r="A50" t="str">
        <f>$A$12</f>
        <v>Non-marketed services</v>
      </c>
      <c r="B50" s="27">
        <f t="shared" si="14"/>
        <v>0.63099999999994338</v>
      </c>
      <c r="C50" s="27">
        <f t="shared" si="16"/>
        <v>-2.5499999999999829</v>
      </c>
      <c r="D50" s="27">
        <f t="shared" si="14"/>
        <v>4.9430000000000121</v>
      </c>
      <c r="E50" s="27">
        <f t="shared" si="14"/>
        <v>2.899999999999892</v>
      </c>
      <c r="F50" s="27">
        <f t="shared" si="15"/>
        <v>7.842999999999904</v>
      </c>
    </row>
    <row r="51" spans="1:6" x14ac:dyDescent="0.2">
      <c r="B51" s="27"/>
      <c r="C51" s="27"/>
      <c r="D51" s="27"/>
      <c r="E51" s="27"/>
      <c r="F51" s="27"/>
    </row>
    <row r="52" spans="1:6" x14ac:dyDescent="0.2">
      <c r="A52" s="24" t="str">
        <f>$A$14</f>
        <v>All industries</v>
      </c>
      <c r="B52" s="29">
        <f>C14-B14</f>
        <v>17.44399999999996</v>
      </c>
      <c r="C52" s="29">
        <f>D14-C14</f>
        <v>-17.80900000000031</v>
      </c>
      <c r="D52" s="29">
        <f t="shared" si="14"/>
        <v>25.340000000000259</v>
      </c>
      <c r="E52" s="29">
        <f t="shared" si="14"/>
        <v>35.497999999999934</v>
      </c>
      <c r="F52" s="29">
        <f t="shared" si="15"/>
        <v>60.838000000000193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69" orientation="portrait" r:id="rId1"/>
  <headerFooter alignWithMargins="0"/>
  <colBreaks count="1" manualBreakCount="1">
    <brk id="10" max="51" man="1"/>
  </colBreaks>
  <ignoredErrors>
    <ignoredError sqref="C32 C42:C43 C51" formula="1"/>
  </ignoredError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I113"/>
  <sheetViews>
    <sheetView showGridLines="0" zoomScale="85" zoomScaleNormal="85" workbookViewId="0"/>
  </sheetViews>
  <sheetFormatPr defaultRowHeight="12.75" x14ac:dyDescent="0.2"/>
  <cols>
    <col min="1" max="1" width="25.140625" customWidth="1"/>
    <col min="2" max="6" width="11.7109375" customWidth="1"/>
  </cols>
  <sheetData>
    <row r="1" spans="1:7" ht="15.75" x14ac:dyDescent="0.25">
      <c r="A1" s="19" t="str">
        <f>CONCATENATE("Industry Table 2  Employment by Industry Group (SIC 2007), ",B$3,"-",F$3,", ",Info!B5)</f>
        <v>Industry Table 2  Employment by Industry Group (SIC 2007), 2015-2035, Enterprise M3</v>
      </c>
    </row>
    <row r="2" spans="1:7" x14ac:dyDescent="0.2">
      <c r="A2" s="1" t="s">
        <v>516</v>
      </c>
    </row>
    <row r="3" spans="1:7" x14ac:dyDescent="0.2">
      <c r="A3" s="22"/>
      <c r="B3" s="23">
        <v>2015</v>
      </c>
      <c r="C3" s="23">
        <v>2019</v>
      </c>
      <c r="D3" s="23">
        <v>2020</v>
      </c>
      <c r="E3" s="23">
        <v>2025</v>
      </c>
      <c r="F3" s="23">
        <v>2035</v>
      </c>
    </row>
    <row r="4" spans="1:7" x14ac:dyDescent="0.2">
      <c r="A4" s="1" t="s">
        <v>13</v>
      </c>
    </row>
    <row r="5" spans="1:7" x14ac:dyDescent="0.2">
      <c r="A5" s="10" t="str">
        <f>name!B4</f>
        <v>Agriculture</v>
      </c>
      <c r="B5" s="11">
        <v>6.7529999999999895</v>
      </c>
      <c r="C5" s="11">
        <v>7.5080000000000124</v>
      </c>
      <c r="D5" s="11">
        <v>5.9030000000000209</v>
      </c>
      <c r="E5" s="11">
        <v>6.1159999999999926</v>
      </c>
      <c r="F5" s="11">
        <v>6.2839999999999883</v>
      </c>
      <c r="G5" s="10"/>
    </row>
    <row r="6" spans="1:7" x14ac:dyDescent="0.2">
      <c r="A6" s="10" t="str">
        <f>name!B5</f>
        <v>Mining and quarrying</v>
      </c>
      <c r="B6" s="11">
        <v>0.2629999999999999</v>
      </c>
      <c r="C6" s="11">
        <v>0.6469999999999988</v>
      </c>
      <c r="D6" s="11">
        <v>0.4609999999999998</v>
      </c>
      <c r="E6" s="11">
        <v>0.41099999999999881</v>
      </c>
      <c r="F6" s="11">
        <v>0.36599999999999983</v>
      </c>
    </row>
    <row r="7" spans="1:7" x14ac:dyDescent="0.2">
      <c r="A7" s="10" t="str">
        <f>name!B6</f>
        <v>Food drink and tobacco</v>
      </c>
      <c r="B7" s="11">
        <v>3.6470000000000011</v>
      </c>
      <c r="C7" s="11">
        <v>4.4449999999999941</v>
      </c>
      <c r="D7" s="11">
        <v>4.4270000000000014</v>
      </c>
      <c r="E7" s="11">
        <v>4.8669999999999938</v>
      </c>
      <c r="F7" s="11">
        <v>5.397000000000002</v>
      </c>
      <c r="G7" s="11"/>
    </row>
    <row r="8" spans="1:7" x14ac:dyDescent="0.2">
      <c r="A8" s="10" t="str">
        <f>name!B7</f>
        <v>Engineering</v>
      </c>
      <c r="B8" s="11">
        <v>11.546999999999993</v>
      </c>
      <c r="C8" s="11">
        <v>12.817000000000007</v>
      </c>
      <c r="D8" s="11">
        <v>12.446</v>
      </c>
      <c r="E8" s="11">
        <v>12.002999999999998</v>
      </c>
      <c r="F8" s="11">
        <v>9.664000000000021</v>
      </c>
      <c r="G8" s="11"/>
    </row>
    <row r="9" spans="1:7" x14ac:dyDescent="0.2">
      <c r="A9" s="10" t="str">
        <f>name!B8</f>
        <v>Rest of manufacturing</v>
      </c>
      <c r="B9" s="11">
        <v>31.302000000000042</v>
      </c>
      <c r="C9" s="11">
        <v>32.484000000000002</v>
      </c>
      <c r="D9" s="11">
        <v>32.335000000000015</v>
      </c>
      <c r="E9" s="11">
        <v>30.045999999999946</v>
      </c>
      <c r="F9" s="11">
        <v>26.97900000000006</v>
      </c>
      <c r="G9" s="11"/>
    </row>
    <row r="10" spans="1:7" x14ac:dyDescent="0.2">
      <c r="A10" s="10" t="str">
        <f>name!B9</f>
        <v>Electricity and gas</v>
      </c>
      <c r="B10" s="11">
        <v>5.6449999999999934</v>
      </c>
      <c r="C10" s="11">
        <v>3.0239999999999925</v>
      </c>
      <c r="D10" s="11">
        <v>3.7940000000000009</v>
      </c>
      <c r="E10" s="11">
        <v>3.6770000000000018</v>
      </c>
      <c r="F10" s="11">
        <v>3.7060000000000053</v>
      </c>
      <c r="G10" s="11"/>
    </row>
    <row r="11" spans="1:7" x14ac:dyDescent="0.2">
      <c r="A11" s="10" t="str">
        <f>name!B10</f>
        <v>Water and sewerage</v>
      </c>
      <c r="B11" s="11">
        <v>3.345000000000002</v>
      </c>
      <c r="C11" s="11">
        <v>4.5730000000000022</v>
      </c>
      <c r="D11" s="11">
        <v>4.2109999999999914</v>
      </c>
      <c r="E11" s="11">
        <v>4.5230000000000103</v>
      </c>
      <c r="F11" s="11">
        <v>5.0509999999999904</v>
      </c>
      <c r="G11" s="11"/>
    </row>
    <row r="12" spans="1:7" x14ac:dyDescent="0.2">
      <c r="A12" s="10" t="str">
        <f>name!B11</f>
        <v>Construction</v>
      </c>
      <c r="B12" s="11">
        <v>54.764000000000159</v>
      </c>
      <c r="C12" s="11">
        <v>60.325000000000038</v>
      </c>
      <c r="D12" s="11">
        <v>62.178999999999839</v>
      </c>
      <c r="E12" s="11">
        <v>66.668000000000376</v>
      </c>
      <c r="F12" s="11">
        <v>72.454999999999885</v>
      </c>
      <c r="G12" s="11"/>
    </row>
    <row r="13" spans="1:7" x14ac:dyDescent="0.2">
      <c r="A13" s="10" t="str">
        <f>name!B12</f>
        <v>Wholesale and retail trade</v>
      </c>
      <c r="B13" s="11">
        <v>127.53499999999985</v>
      </c>
      <c r="C13" s="11">
        <v>134.59400000000011</v>
      </c>
      <c r="D13" s="11">
        <v>137.79900000000006</v>
      </c>
      <c r="E13" s="11">
        <v>139.28799999999998</v>
      </c>
      <c r="F13" s="11">
        <v>141.42999999999981</v>
      </c>
      <c r="G13" s="11"/>
    </row>
    <row r="14" spans="1:7" x14ac:dyDescent="0.2">
      <c r="A14" s="10" t="str">
        <f>name!B13</f>
        <v>Transport and storage</v>
      </c>
      <c r="B14" s="11">
        <v>30.096000000000046</v>
      </c>
      <c r="C14" s="11">
        <v>31.988999999999841</v>
      </c>
      <c r="D14" s="11">
        <v>29.342999999999986</v>
      </c>
      <c r="E14" s="11">
        <v>30.84999999999993</v>
      </c>
      <c r="F14" s="11">
        <v>31.292999999999928</v>
      </c>
      <c r="G14" s="11"/>
    </row>
    <row r="15" spans="1:7" x14ac:dyDescent="0.2">
      <c r="A15" s="10" t="str">
        <f>name!B14</f>
        <v>Accommodation and food</v>
      </c>
      <c r="B15" s="11">
        <v>56.652999999999892</v>
      </c>
      <c r="C15" s="11">
        <v>61.044000000000139</v>
      </c>
      <c r="D15" s="11">
        <v>56.35499999999994</v>
      </c>
      <c r="E15" s="11">
        <v>59.578000000000024</v>
      </c>
      <c r="F15" s="11">
        <v>68.657999999999973</v>
      </c>
      <c r="G15" s="11"/>
    </row>
    <row r="16" spans="1:7" x14ac:dyDescent="0.2">
      <c r="A16" s="10" t="str">
        <f>name!B15</f>
        <v>Media</v>
      </c>
      <c r="B16" s="11">
        <v>8.0879999999999921</v>
      </c>
      <c r="C16" s="11">
        <v>5.2880000000000056</v>
      </c>
      <c r="D16" s="11">
        <v>5.8570000000000055</v>
      </c>
      <c r="E16" s="11">
        <v>5.6490000000000027</v>
      </c>
      <c r="F16" s="11">
        <v>5.5190000000000046</v>
      </c>
      <c r="G16" s="11"/>
    </row>
    <row r="17" spans="1:7" x14ac:dyDescent="0.2">
      <c r="A17" s="10" t="str">
        <f>name!B16</f>
        <v>Information technology</v>
      </c>
      <c r="B17" s="11">
        <v>56.414999999999921</v>
      </c>
      <c r="C17" s="11">
        <v>55.774999999999906</v>
      </c>
      <c r="D17" s="11">
        <v>56.659000000000013</v>
      </c>
      <c r="E17" s="11">
        <v>60.912999999999911</v>
      </c>
      <c r="F17" s="11">
        <v>65.957000000000022</v>
      </c>
      <c r="G17" s="11"/>
    </row>
    <row r="18" spans="1:7" x14ac:dyDescent="0.2">
      <c r="A18" s="10" t="str">
        <f>name!B17</f>
        <v>Finance and insurance</v>
      </c>
      <c r="B18" s="11">
        <v>23.736999999999977</v>
      </c>
      <c r="C18" s="11">
        <v>23.366999999999976</v>
      </c>
      <c r="D18" s="11">
        <v>23.575000000000031</v>
      </c>
      <c r="E18" s="11">
        <v>23.076000000000001</v>
      </c>
      <c r="F18" s="11">
        <v>21.528000000000002</v>
      </c>
      <c r="G18" s="11"/>
    </row>
    <row r="19" spans="1:7" x14ac:dyDescent="0.2">
      <c r="A19" s="10" t="str">
        <f>name!B18</f>
        <v>Real estate</v>
      </c>
      <c r="B19" s="11">
        <v>15.012000000000006</v>
      </c>
      <c r="C19" s="11">
        <v>12.711000000000009</v>
      </c>
      <c r="D19" s="11">
        <v>15.229999999999997</v>
      </c>
      <c r="E19" s="11">
        <v>15.21399999999999</v>
      </c>
      <c r="F19" s="11">
        <v>16.954000000000004</v>
      </c>
      <c r="G19" s="11"/>
    </row>
    <row r="20" spans="1:7" x14ac:dyDescent="0.2">
      <c r="A20" s="10" t="str">
        <f>name!B19</f>
        <v>Professional services</v>
      </c>
      <c r="B20" s="11">
        <v>95.521000000000072</v>
      </c>
      <c r="C20" s="11">
        <v>100.13499999999985</v>
      </c>
      <c r="D20" s="11">
        <v>93.151999999999987</v>
      </c>
      <c r="E20" s="11">
        <v>97.504999999999754</v>
      </c>
      <c r="F20" s="11">
        <v>103.96000000000025</v>
      </c>
      <c r="G20" s="11"/>
    </row>
    <row r="21" spans="1:7" x14ac:dyDescent="0.2">
      <c r="A21" s="10" t="str">
        <f>name!B20</f>
        <v>Support services</v>
      </c>
      <c r="B21" s="11">
        <v>70.014999999999958</v>
      </c>
      <c r="C21" s="11">
        <v>71.672000000000267</v>
      </c>
      <c r="D21" s="11">
        <v>65.049999999999855</v>
      </c>
      <c r="E21" s="11">
        <v>67.835000000000065</v>
      </c>
      <c r="F21" s="11">
        <v>72.852000000000018</v>
      </c>
      <c r="G21" s="11"/>
    </row>
    <row r="22" spans="1:7" x14ac:dyDescent="0.2">
      <c r="A22" s="10" t="str">
        <f>name!B21</f>
        <v>Public admin. and defence</v>
      </c>
      <c r="B22" s="11">
        <v>27.583999999999975</v>
      </c>
      <c r="C22" s="11">
        <v>25.923000000000066</v>
      </c>
      <c r="D22" s="11">
        <v>26.430999999999951</v>
      </c>
      <c r="E22" s="11">
        <v>27.373999999999942</v>
      </c>
      <c r="F22" s="11">
        <v>26.992999999999988</v>
      </c>
      <c r="G22" s="11"/>
    </row>
    <row r="23" spans="1:7" x14ac:dyDescent="0.2">
      <c r="A23" s="10" t="str">
        <f>name!B22</f>
        <v>Education</v>
      </c>
      <c r="B23" s="11">
        <v>80.112000000000052</v>
      </c>
      <c r="C23" s="11">
        <v>77.031999999999826</v>
      </c>
      <c r="D23" s="11">
        <v>75.115999999999929</v>
      </c>
      <c r="E23" s="11">
        <v>74.879000000000048</v>
      </c>
      <c r="F23" s="11">
        <v>76.568999999999875</v>
      </c>
      <c r="G23" s="11"/>
    </row>
    <row r="24" spans="1:7" x14ac:dyDescent="0.2">
      <c r="A24" s="10" t="str">
        <f>name!B23</f>
        <v>Health and social work</v>
      </c>
      <c r="B24" s="11">
        <v>92.339000000000027</v>
      </c>
      <c r="C24" s="11">
        <v>97.711000000000098</v>
      </c>
      <c r="D24" s="11">
        <v>96.569000000000131</v>
      </c>
      <c r="E24" s="11">
        <v>100.80600000000005</v>
      </c>
      <c r="F24" s="11">
        <v>102.39700000000005</v>
      </c>
      <c r="G24" s="11"/>
    </row>
    <row r="25" spans="1:7" x14ac:dyDescent="0.2">
      <c r="A25" s="10" t="str">
        <f>name!B24</f>
        <v>Arts and entertainment</v>
      </c>
      <c r="B25" s="11">
        <v>31.62300000000009</v>
      </c>
      <c r="C25" s="11">
        <v>26.668999999999969</v>
      </c>
      <c r="D25" s="11">
        <v>26.262000000000008</v>
      </c>
      <c r="E25" s="11">
        <v>28.734999999999982</v>
      </c>
      <c r="F25" s="11">
        <v>31.827999999999964</v>
      </c>
      <c r="G25" s="11"/>
    </row>
    <row r="26" spans="1:7" x14ac:dyDescent="0.2">
      <c r="A26" s="10" t="str">
        <f>name!B25</f>
        <v>Other services</v>
      </c>
      <c r="B26" s="11">
        <v>33.008999999999943</v>
      </c>
      <c r="C26" s="11">
        <v>32.716000000000093</v>
      </c>
      <c r="D26" s="11">
        <v>31.486000000000036</v>
      </c>
      <c r="E26" s="11">
        <v>29.967000000000031</v>
      </c>
      <c r="F26" s="11">
        <v>29.637999999999955</v>
      </c>
      <c r="G26" s="11"/>
    </row>
    <row r="27" spans="1:7" x14ac:dyDescent="0.2">
      <c r="B27" s="11"/>
      <c r="C27" s="11"/>
      <c r="D27" s="11"/>
      <c r="E27" s="11"/>
      <c r="F27" s="11"/>
      <c r="G27" s="11"/>
    </row>
    <row r="28" spans="1:7" x14ac:dyDescent="0.2">
      <c r="A28" s="10" t="str">
        <f>name!B3</f>
        <v>All industries</v>
      </c>
      <c r="B28" s="11">
        <f>SUM(B5:B26)</f>
        <v>865.00499999999988</v>
      </c>
      <c r="C28" s="11">
        <f t="shared" ref="C28:F28" si="0">SUM(C5:C26)</f>
        <v>882.4490000000003</v>
      </c>
      <c r="D28" s="11">
        <f t="shared" si="0"/>
        <v>864.63999999999987</v>
      </c>
      <c r="E28" s="11">
        <f t="shared" si="0"/>
        <v>889.9799999999999</v>
      </c>
      <c r="F28" s="11">
        <f t="shared" si="0"/>
        <v>925.47799999999961</v>
      </c>
      <c r="G28" s="11"/>
    </row>
    <row r="29" spans="1:7" x14ac:dyDescent="0.2">
      <c r="B29" s="11"/>
      <c r="C29" s="11"/>
      <c r="D29" s="11"/>
      <c r="E29" s="11"/>
      <c r="F29" s="11"/>
      <c r="G29" s="11"/>
    </row>
    <row r="31" spans="1:7" x14ac:dyDescent="0.2">
      <c r="A31" s="1" t="s">
        <v>14</v>
      </c>
      <c r="B31" s="17">
        <f>B$3</f>
        <v>2015</v>
      </c>
      <c r="C31" s="17">
        <f>C$3</f>
        <v>2019</v>
      </c>
      <c r="D31" s="17">
        <f>D$3</f>
        <v>2020</v>
      </c>
      <c r="E31" s="17">
        <f>E$3</f>
        <v>2025</v>
      </c>
      <c r="F31" s="17">
        <f>F$3</f>
        <v>2035</v>
      </c>
      <c r="G31" s="11"/>
    </row>
    <row r="32" spans="1:7" x14ac:dyDescent="0.2">
      <c r="A32" t="str">
        <f>$A$5</f>
        <v>Agriculture</v>
      </c>
      <c r="B32" s="18">
        <f>B5/B$28*100</f>
        <v>0.78068912896457132</v>
      </c>
      <c r="C32" s="18">
        <f t="shared" ref="C32:E32" si="1">C5/C$28*100</f>
        <v>0.85081404137802974</v>
      </c>
      <c r="D32" s="18">
        <f t="shared" si="1"/>
        <v>0.68271188008882555</v>
      </c>
      <c r="E32" s="18">
        <f t="shared" si="1"/>
        <v>0.68720645407761893</v>
      </c>
      <c r="F32" s="18">
        <f>F5/F$28*100</f>
        <v>0.67900047326894764</v>
      </c>
    </row>
    <row r="33" spans="1:6" x14ac:dyDescent="0.2">
      <c r="A33" t="str">
        <f>$A$6</f>
        <v>Mining and quarrying</v>
      </c>
      <c r="B33" s="18">
        <f t="shared" ref="B33:F53" si="2">B6/B$28*100</f>
        <v>3.0404448529199248E-2</v>
      </c>
      <c r="C33" s="18">
        <f t="shared" si="2"/>
        <v>7.33186847058582E-2</v>
      </c>
      <c r="D33" s="18">
        <f t="shared" si="2"/>
        <v>5.3316987416728336E-2</v>
      </c>
      <c r="E33" s="18">
        <f t="shared" si="2"/>
        <v>4.6180813051978568E-2</v>
      </c>
      <c r="F33" s="18">
        <f t="shared" si="2"/>
        <v>3.9547131320247481E-2</v>
      </c>
    </row>
    <row r="34" spans="1:6" x14ac:dyDescent="0.2">
      <c r="A34" t="str">
        <f>$A$7</f>
        <v>Food drink and tobacco</v>
      </c>
      <c r="B34" s="18">
        <f t="shared" si="2"/>
        <v>0.42161606002277463</v>
      </c>
      <c r="C34" s="18">
        <f t="shared" si="2"/>
        <v>0.50371182923885605</v>
      </c>
      <c r="D34" s="18">
        <f t="shared" si="2"/>
        <v>0.51200499629903795</v>
      </c>
      <c r="E34" s="18">
        <f t="shared" si="2"/>
        <v>0.54686622171284682</v>
      </c>
      <c r="F34" s="18">
        <f t="shared" si="2"/>
        <v>0.58315810856660066</v>
      </c>
    </row>
    <row r="35" spans="1:6" x14ac:dyDescent="0.2">
      <c r="A35" t="str">
        <f>$A$8</f>
        <v>Engineering</v>
      </c>
      <c r="B35" s="18">
        <f t="shared" si="2"/>
        <v>1.3349055785804702</v>
      </c>
      <c r="C35" s="18">
        <f t="shared" si="2"/>
        <v>1.4524352115533026</v>
      </c>
      <c r="D35" s="18">
        <f t="shared" si="2"/>
        <v>1.4394430051813474</v>
      </c>
      <c r="E35" s="18">
        <f t="shared" si="2"/>
        <v>1.3486819928537719</v>
      </c>
      <c r="F35" s="18">
        <f t="shared" si="2"/>
        <v>1.0442171504887232</v>
      </c>
    </row>
    <row r="36" spans="1:6" x14ac:dyDescent="0.2">
      <c r="A36" t="str">
        <f>$A$9</f>
        <v>Rest of manufacturing</v>
      </c>
      <c r="B36" s="18">
        <f t="shared" si="2"/>
        <v>3.618707406315576</v>
      </c>
      <c r="C36" s="18">
        <f t="shared" si="2"/>
        <v>3.6811192488177777</v>
      </c>
      <c r="D36" s="18">
        <f t="shared" si="2"/>
        <v>3.7397066987416752</v>
      </c>
      <c r="E36" s="18">
        <f t="shared" si="2"/>
        <v>3.3760309220431863</v>
      </c>
      <c r="F36" s="18">
        <f t="shared" si="2"/>
        <v>2.9151422292048075</v>
      </c>
    </row>
    <row r="37" spans="1:6" x14ac:dyDescent="0.2">
      <c r="A37" t="str">
        <f>$A$10</f>
        <v>Electricity and gas</v>
      </c>
      <c r="B37" s="18">
        <f t="shared" si="2"/>
        <v>0.65259738383015053</v>
      </c>
      <c r="C37" s="18">
        <f t="shared" si="2"/>
        <v>0.34268269327745754</v>
      </c>
      <c r="D37" s="18">
        <f t="shared" si="2"/>
        <v>0.43879533678756494</v>
      </c>
      <c r="E37" s="18">
        <f t="shared" si="2"/>
        <v>0.41315535180565877</v>
      </c>
      <c r="F37" s="18">
        <f t="shared" si="2"/>
        <v>0.4004417176853482</v>
      </c>
    </row>
    <row r="38" spans="1:6" x14ac:dyDescent="0.2">
      <c r="A38" t="str">
        <f>$A$11</f>
        <v>Water and sewerage</v>
      </c>
      <c r="B38" s="18">
        <f t="shared" si="2"/>
        <v>0.38670296703487289</v>
      </c>
      <c r="C38" s="18">
        <f t="shared" si="2"/>
        <v>0.51821691678499282</v>
      </c>
      <c r="D38" s="18">
        <f t="shared" si="2"/>
        <v>0.4870235011102878</v>
      </c>
      <c r="E38" s="18">
        <f t="shared" si="2"/>
        <v>0.50821366772287146</v>
      </c>
      <c r="F38" s="18">
        <f t="shared" si="2"/>
        <v>0.54577202267368785</v>
      </c>
    </row>
    <row r="39" spans="1:6" x14ac:dyDescent="0.2">
      <c r="A39" t="str">
        <f>$A$12</f>
        <v>Construction</v>
      </c>
      <c r="B39" s="18">
        <f t="shared" si="2"/>
        <v>6.3310616701637761</v>
      </c>
      <c r="C39" s="18">
        <f t="shared" si="2"/>
        <v>6.836089111098774</v>
      </c>
      <c r="D39" s="18">
        <f t="shared" si="2"/>
        <v>7.191316617320485</v>
      </c>
      <c r="E39" s="18">
        <f t="shared" si="2"/>
        <v>7.4909548529180858</v>
      </c>
      <c r="F39" s="18">
        <f t="shared" si="2"/>
        <v>7.8289273218812241</v>
      </c>
    </row>
    <row r="40" spans="1:6" x14ac:dyDescent="0.2">
      <c r="A40" t="str">
        <f>$A$13</f>
        <v>Wholesale and retail trade</v>
      </c>
      <c r="B40" s="18">
        <f t="shared" si="2"/>
        <v>14.743845411298187</v>
      </c>
      <c r="C40" s="18">
        <f t="shared" si="2"/>
        <v>15.252326196754721</v>
      </c>
      <c r="D40" s="18">
        <f t="shared" si="2"/>
        <v>15.937153034789056</v>
      </c>
      <c r="E40" s="18">
        <f t="shared" si="2"/>
        <v>15.650688779523136</v>
      </c>
      <c r="F40" s="18">
        <f t="shared" si="2"/>
        <v>15.281832739406001</v>
      </c>
    </row>
    <row r="41" spans="1:6" x14ac:dyDescent="0.2">
      <c r="A41" t="str">
        <f>$A$14</f>
        <v>Transport and storage</v>
      </c>
      <c r="B41" s="18">
        <f t="shared" si="2"/>
        <v>3.4792862469003127</v>
      </c>
      <c r="C41" s="18">
        <f t="shared" si="2"/>
        <v>3.6250253555729377</v>
      </c>
      <c r="D41" s="18">
        <f t="shared" si="2"/>
        <v>3.3936667283493698</v>
      </c>
      <c r="E41" s="18">
        <f t="shared" si="2"/>
        <v>3.4663700307872012</v>
      </c>
      <c r="F41" s="18">
        <f t="shared" si="2"/>
        <v>3.3812797278811537</v>
      </c>
    </row>
    <row r="42" spans="1:6" x14ac:dyDescent="0.2">
      <c r="A42" t="str">
        <f>$A$15</f>
        <v>Accommodation and food</v>
      </c>
      <c r="B42" s="18">
        <f t="shared" si="2"/>
        <v>6.5494419107403887</v>
      </c>
      <c r="C42" s="18">
        <f t="shared" si="2"/>
        <v>6.9175669075493458</v>
      </c>
      <c r="D42" s="18">
        <f t="shared" si="2"/>
        <v>6.5177414877868181</v>
      </c>
      <c r="E42" s="18">
        <f t="shared" si="2"/>
        <v>6.6943077372525268</v>
      </c>
      <c r="F42" s="18">
        <f t="shared" si="2"/>
        <v>7.418652847501507</v>
      </c>
    </row>
    <row r="43" spans="1:6" x14ac:dyDescent="0.2">
      <c r="A43" t="str">
        <f>$A$16</f>
        <v>Media</v>
      </c>
      <c r="B43" s="18">
        <f t="shared" si="2"/>
        <v>0.93502349697400511</v>
      </c>
      <c r="C43" s="18">
        <f t="shared" si="2"/>
        <v>0.59924142924973611</v>
      </c>
      <c r="D43" s="18">
        <f t="shared" si="2"/>
        <v>0.67739174685418291</v>
      </c>
      <c r="E43" s="18">
        <f t="shared" si="2"/>
        <v>0.63473336479471487</v>
      </c>
      <c r="F43" s="18">
        <f t="shared" si="2"/>
        <v>0.59634048567335007</v>
      </c>
    </row>
    <row r="44" spans="1:6" x14ac:dyDescent="0.2">
      <c r="A44" t="str">
        <f>$A$17</f>
        <v>Information technology</v>
      </c>
      <c r="B44" s="18">
        <f t="shared" si="2"/>
        <v>6.5219276189154893</v>
      </c>
      <c r="C44" s="18">
        <f t="shared" si="2"/>
        <v>6.3204785772322118</v>
      </c>
      <c r="D44" s="18">
        <f t="shared" si="2"/>
        <v>6.5529006291635854</v>
      </c>
      <c r="E44" s="18">
        <f t="shared" si="2"/>
        <v>6.8443111081147796</v>
      </c>
      <c r="F44" s="18">
        <f t="shared" si="2"/>
        <v>7.1268036625397961</v>
      </c>
    </row>
    <row r="45" spans="1:6" x14ac:dyDescent="0.2">
      <c r="A45" t="str">
        <f>$A$18</f>
        <v>Finance and insurance</v>
      </c>
      <c r="B45" s="18">
        <f t="shared" si="2"/>
        <v>2.7441459875954455</v>
      </c>
      <c r="C45" s="18">
        <f t="shared" si="2"/>
        <v>2.647971724144961</v>
      </c>
      <c r="D45" s="18">
        <f t="shared" si="2"/>
        <v>2.72656828275352</v>
      </c>
      <c r="E45" s="18">
        <f t="shared" si="2"/>
        <v>2.5928672554439429</v>
      </c>
      <c r="F45" s="18">
        <f t="shared" si="2"/>
        <v>2.3261492979843941</v>
      </c>
    </row>
    <row r="46" spans="1:6" x14ac:dyDescent="0.2">
      <c r="A46" t="str">
        <f>$A$19</f>
        <v>Real estate</v>
      </c>
      <c r="B46" s="18">
        <f t="shared" si="2"/>
        <v>1.7354812977959675</v>
      </c>
      <c r="C46" s="18">
        <f t="shared" si="2"/>
        <v>1.4404231859291592</v>
      </c>
      <c r="D46" s="18">
        <f t="shared" si="2"/>
        <v>1.7614267209474461</v>
      </c>
      <c r="E46" s="18">
        <f t="shared" si="2"/>
        <v>1.7094766174520766</v>
      </c>
      <c r="F46" s="18">
        <f t="shared" si="2"/>
        <v>1.8319182087526673</v>
      </c>
    </row>
    <row r="47" spans="1:6" x14ac:dyDescent="0.2">
      <c r="A47" s="10" t="str">
        <f>$A$20</f>
        <v>Professional services</v>
      </c>
      <c r="B47" s="18">
        <f t="shared" si="2"/>
        <v>11.042826342044275</v>
      </c>
      <c r="C47" s="18">
        <f t="shared" si="2"/>
        <v>11.347397979939897</v>
      </c>
      <c r="D47" s="18">
        <f t="shared" si="2"/>
        <v>10.773501110288674</v>
      </c>
      <c r="E47" s="18">
        <f t="shared" si="2"/>
        <v>10.955864176723045</v>
      </c>
      <c r="F47" s="18">
        <f t="shared" si="2"/>
        <v>11.233114131292185</v>
      </c>
    </row>
    <row r="48" spans="1:6" x14ac:dyDescent="0.2">
      <c r="A48" s="10" t="str">
        <f>$A$21</f>
        <v>Support services</v>
      </c>
      <c r="B48" s="18">
        <f t="shared" si="2"/>
        <v>8.0941728660527943</v>
      </c>
      <c r="C48" s="18">
        <f t="shared" si="2"/>
        <v>8.1219424578644475</v>
      </c>
      <c r="D48" s="18">
        <f t="shared" si="2"/>
        <v>7.5233623242042773</v>
      </c>
      <c r="E48" s="18">
        <f t="shared" si="2"/>
        <v>7.6220813950875375</v>
      </c>
      <c r="F48" s="18">
        <f t="shared" si="2"/>
        <v>7.8718240736138565</v>
      </c>
    </row>
    <row r="49" spans="1:9" x14ac:dyDescent="0.2">
      <c r="A49" s="10" t="str">
        <f>$A$22</f>
        <v>Public admin. and defence</v>
      </c>
      <c r="B49" s="18">
        <f t="shared" si="2"/>
        <v>3.1888833012525915</v>
      </c>
      <c r="C49" s="18">
        <f t="shared" si="2"/>
        <v>2.9376201910818707</v>
      </c>
      <c r="D49" s="18">
        <f t="shared" si="2"/>
        <v>3.0568791635825261</v>
      </c>
      <c r="E49" s="18">
        <f t="shared" si="2"/>
        <v>3.0757994561675481</v>
      </c>
      <c r="F49" s="18">
        <f t="shared" si="2"/>
        <v>2.9166549610039354</v>
      </c>
    </row>
    <row r="50" spans="1:9" x14ac:dyDescent="0.2">
      <c r="A50" s="10" t="str">
        <f>$A$23</f>
        <v>Education</v>
      </c>
      <c r="B50" s="18">
        <f t="shared" si="2"/>
        <v>9.2614493557840785</v>
      </c>
      <c r="C50" s="18">
        <f t="shared" si="2"/>
        <v>8.7293429988588365</v>
      </c>
      <c r="D50" s="18">
        <f t="shared" si="2"/>
        <v>8.6875462620281194</v>
      </c>
      <c r="E50" s="18">
        <f t="shared" si="2"/>
        <v>8.4135598552776525</v>
      </c>
      <c r="F50" s="18">
        <f t="shared" si="2"/>
        <v>8.2734543662842235</v>
      </c>
    </row>
    <row r="51" spans="1:9" x14ac:dyDescent="0.2">
      <c r="A51" s="10" t="str">
        <f>$A$24</f>
        <v>Health and social work</v>
      </c>
      <c r="B51" s="18">
        <f t="shared" si="2"/>
        <v>10.674967196721411</v>
      </c>
      <c r="C51" s="18">
        <f t="shared" si="2"/>
        <v>11.072707884534978</v>
      </c>
      <c r="D51" s="18">
        <f t="shared" si="2"/>
        <v>11.168694485566263</v>
      </c>
      <c r="E51" s="18">
        <f t="shared" si="2"/>
        <v>11.326771388121088</v>
      </c>
      <c r="F51" s="18">
        <f t="shared" si="2"/>
        <v>11.064228431145862</v>
      </c>
    </row>
    <row r="52" spans="1:9" x14ac:dyDescent="0.2">
      <c r="A52" s="10" t="str">
        <f>$A$25</f>
        <v>Arts and entertainment</v>
      </c>
      <c r="B52" s="18">
        <f t="shared" si="2"/>
        <v>3.6558170183987486</v>
      </c>
      <c r="C52" s="18">
        <f t="shared" si="2"/>
        <v>3.0221576544366822</v>
      </c>
      <c r="D52" s="18">
        <f t="shared" si="2"/>
        <v>3.0373334566987431</v>
      </c>
      <c r="E52" s="18">
        <f t="shared" si="2"/>
        <v>3.2287242409941781</v>
      </c>
      <c r="F52" s="18">
        <f t="shared" si="2"/>
        <v>3.4390876930623935</v>
      </c>
    </row>
    <row r="53" spans="1:9" x14ac:dyDescent="0.2">
      <c r="A53" s="10" t="str">
        <f>$A$26</f>
        <v>Other services</v>
      </c>
      <c r="B53" s="18">
        <f t="shared" si="2"/>
        <v>3.81604730608493</v>
      </c>
      <c r="C53" s="18">
        <f t="shared" si="2"/>
        <v>3.7074097199951592</v>
      </c>
      <c r="D53" s="18">
        <f t="shared" si="2"/>
        <v>3.6415155440414555</v>
      </c>
      <c r="E53" s="18">
        <f t="shared" si="2"/>
        <v>3.3671543180745673</v>
      </c>
      <c r="F53" s="18">
        <f t="shared" si="2"/>
        <v>3.2024532187691088</v>
      </c>
    </row>
    <row r="54" spans="1:9" x14ac:dyDescent="0.2">
      <c r="B54" s="18"/>
      <c r="C54" s="18"/>
      <c r="D54" s="18"/>
      <c r="E54" s="18"/>
      <c r="F54" s="18"/>
    </row>
    <row r="55" spans="1:9" x14ac:dyDescent="0.2">
      <c r="A55" s="24" t="str">
        <f>$A$28</f>
        <v>All industries</v>
      </c>
      <c r="B55" s="26">
        <f>B28/B$28*100</f>
        <v>100</v>
      </c>
      <c r="C55" s="26">
        <f>C28/C$28*100</f>
        <v>100</v>
      </c>
      <c r="D55" s="26">
        <f>D28/D$28*100</f>
        <v>100</v>
      </c>
      <c r="E55" s="26">
        <f>E28/E$28*100</f>
        <v>100</v>
      </c>
      <c r="F55" s="26">
        <f>F28/F$28*100</f>
        <v>100</v>
      </c>
    </row>
    <row r="56" spans="1:9" x14ac:dyDescent="0.2">
      <c r="B56" s="18"/>
      <c r="C56" s="18"/>
      <c r="D56" s="18"/>
      <c r="E56" s="18"/>
      <c r="F56" s="18"/>
    </row>
    <row r="57" spans="1:9" x14ac:dyDescent="0.2">
      <c r="B57" s="18"/>
      <c r="C57" s="18"/>
      <c r="D57" s="18"/>
      <c r="E57" s="18"/>
      <c r="F57" s="18"/>
    </row>
    <row r="58" spans="1:9" x14ac:dyDescent="0.2">
      <c r="B58" s="18"/>
      <c r="C58" s="18"/>
      <c r="D58" s="18"/>
      <c r="E58" s="18"/>
      <c r="F58" s="18"/>
    </row>
    <row r="59" spans="1:9" ht="15.75" x14ac:dyDescent="0.25">
      <c r="A59" s="19" t="str">
        <f>CONCATENATE(A1," (Continued)")</f>
        <v>Industry Table 2  Employment by Industry Group (SIC 2007), 2015-2035, Enterprise M3 (Continued)</v>
      </c>
      <c r="B59" s="18"/>
      <c r="C59" s="18"/>
      <c r="D59" s="18"/>
      <c r="E59" s="18"/>
      <c r="F59" s="18"/>
    </row>
    <row r="61" spans="1:9" x14ac:dyDescent="0.2">
      <c r="A61" s="22"/>
      <c r="B61" s="25" t="str">
        <f>CONCATENATE(B$3,"-",C$3)</f>
        <v>2015-2019</v>
      </c>
      <c r="C61" s="25" t="str">
        <f>CONCATENATE(C$3,"-",D$3)</f>
        <v>2019-2020</v>
      </c>
      <c r="D61" s="25" t="str">
        <f>CONCATENATE(D$3,"-",E$3)</f>
        <v>2020-2025</v>
      </c>
      <c r="E61" s="25" t="str">
        <f>CONCATENATE(E$3,"-",F$3)</f>
        <v>2025-2035</v>
      </c>
      <c r="F61" s="25" t="str">
        <f>CONCATENATE(D$3,"-",F$3)</f>
        <v>2020-2035</v>
      </c>
      <c r="G61" s="20"/>
      <c r="H61" s="20"/>
      <c r="I61" s="20"/>
    </row>
    <row r="62" spans="1:9" x14ac:dyDescent="0.2">
      <c r="A62" s="28" t="s">
        <v>15</v>
      </c>
    </row>
    <row r="63" spans="1:9" x14ac:dyDescent="0.2">
      <c r="A63" t="str">
        <f>$A$5</f>
        <v>Agriculture</v>
      </c>
      <c r="B63" s="18">
        <f>IF(AND(C$3-B$3 &lt;&gt; 0,B5&lt;&gt;0,C5&lt;&gt;0),(EXP(LN(C5/B5)/(C$3-B$3))-1)*100,0)</f>
        <v>2.6849695260666939</v>
      </c>
      <c r="C63" s="18">
        <f>IF(AND(D$3-C$3 &lt;&gt; 0,C5&lt;&gt;0,D5&lt;&gt;0),(EXP(LN(D5/C5)/(D$3-C$3))-1)*100,0)</f>
        <v>-21.377197655833623</v>
      </c>
      <c r="D63" s="18">
        <f t="shared" ref="B63:E78" si="3">IF(AND(E$3-D$3 &lt;&gt; 0,D5&lt;&gt;0,E5&lt;&gt;0),(EXP(LN(E5/D5)/(E$3-D$3))-1)*100,0)</f>
        <v>0.71147084903928626</v>
      </c>
      <c r="E63" s="18">
        <f t="shared" si="3"/>
        <v>0.27135181765862715</v>
      </c>
      <c r="F63" s="18">
        <f>IF(AND(F$3-D$3 &lt;&gt; 0,D5&lt;&gt;0,F5&lt;&gt;0),(EXP(LN(F5/D5)/(F$3-D$3))-1)*100,0)</f>
        <v>0.41784403826530259</v>
      </c>
      <c r="G63" s="18"/>
      <c r="H63" s="18"/>
      <c r="I63" s="18"/>
    </row>
    <row r="64" spans="1:9" x14ac:dyDescent="0.2">
      <c r="A64" t="str">
        <f>$A$6</f>
        <v>Mining and quarrying</v>
      </c>
      <c r="B64" s="18">
        <f t="shared" si="3"/>
        <v>25.238291125719048</v>
      </c>
      <c r="C64" s="18">
        <f t="shared" ref="C64:C78" si="4">IF(AND(D$3-C$3 &lt;&gt; 0,C6&lt;&gt;0,D6&lt;&gt;0),(EXP(LN(D6/C6)/(D$3-C$3))-1)*100,0)</f>
        <v>-28.74806800618228</v>
      </c>
      <c r="D64" s="18">
        <f t="shared" si="3"/>
        <v>-2.2699368725308311</v>
      </c>
      <c r="E64" s="18">
        <f t="shared" si="3"/>
        <v>-1.152901376722959</v>
      </c>
      <c r="F64" s="18">
        <f t="shared" ref="F64:F84" si="5">IF(AND(F$3-D$3 &lt;&gt; 0,D6&lt;&gt;0,F6&lt;&gt;0),(EXP(LN(F6/D6)/(F$3-D$3))-1)*100,0)</f>
        <v>-1.5266579940480751</v>
      </c>
    </row>
    <row r="65" spans="1:6" x14ac:dyDescent="0.2">
      <c r="A65" t="str">
        <f>$A$7</f>
        <v>Food drink and tobacco</v>
      </c>
      <c r="B65" s="18">
        <f t="shared" si="3"/>
        <v>5.0712745669556636</v>
      </c>
      <c r="C65" s="18">
        <f t="shared" si="4"/>
        <v>-0.40494938132716873</v>
      </c>
      <c r="D65" s="18">
        <f t="shared" si="3"/>
        <v>1.9131827568589443</v>
      </c>
      <c r="E65" s="18">
        <f t="shared" si="3"/>
        <v>1.039015796824283</v>
      </c>
      <c r="F65" s="18">
        <f t="shared" si="5"/>
        <v>1.3295684553941367</v>
      </c>
    </row>
    <row r="66" spans="1:6" x14ac:dyDescent="0.2">
      <c r="A66" t="str">
        <f>$A$8</f>
        <v>Engineering</v>
      </c>
      <c r="B66" s="18">
        <f t="shared" si="3"/>
        <v>2.6429923717098402</v>
      </c>
      <c r="C66" s="18">
        <f t="shared" si="4"/>
        <v>-2.8945931185145324</v>
      </c>
      <c r="D66" s="18">
        <f t="shared" si="3"/>
        <v>-0.72223262612929329</v>
      </c>
      <c r="E66" s="18">
        <f t="shared" si="3"/>
        <v>-2.1441685131300625</v>
      </c>
      <c r="F66" s="18">
        <f t="shared" si="5"/>
        <v>-1.6724673113846067</v>
      </c>
    </row>
    <row r="67" spans="1:6" x14ac:dyDescent="0.2">
      <c r="A67" t="str">
        <f>$A$9</f>
        <v>Rest of manufacturing</v>
      </c>
      <c r="B67" s="18">
        <f t="shared" si="3"/>
        <v>0.93094829482200936</v>
      </c>
      <c r="C67" s="18">
        <f t="shared" si="4"/>
        <v>-0.45868735377412317</v>
      </c>
      <c r="D67" s="18">
        <f t="shared" si="3"/>
        <v>-1.4576852661827178</v>
      </c>
      <c r="E67" s="18">
        <f t="shared" si="3"/>
        <v>-1.0709318025425407</v>
      </c>
      <c r="F67" s="18">
        <f t="shared" si="5"/>
        <v>-1.2000179867624916</v>
      </c>
    </row>
    <row r="68" spans="1:6" x14ac:dyDescent="0.2">
      <c r="A68" t="str">
        <f>$A$10</f>
        <v>Electricity and gas</v>
      </c>
      <c r="B68" s="18">
        <f t="shared" si="3"/>
        <v>-14.448139196358889</v>
      </c>
      <c r="C68" s="18">
        <f t="shared" si="4"/>
        <v>25.46296296296331</v>
      </c>
      <c r="D68" s="18">
        <f t="shared" si="3"/>
        <v>-0.62451513081560606</v>
      </c>
      <c r="E68" s="18">
        <f t="shared" si="3"/>
        <v>7.8590121305555094E-2</v>
      </c>
      <c r="F68" s="18">
        <f t="shared" si="5"/>
        <v>-0.15632930257701849</v>
      </c>
    </row>
    <row r="69" spans="1:6" x14ac:dyDescent="0.2">
      <c r="A69" t="str">
        <f>$A$11</f>
        <v>Water and sewerage</v>
      </c>
      <c r="B69" s="18">
        <f t="shared" si="3"/>
        <v>8.1312615389379737</v>
      </c>
      <c r="C69" s="18">
        <f t="shared" si="4"/>
        <v>-7.9160288650778625</v>
      </c>
      <c r="D69" s="18">
        <f t="shared" si="3"/>
        <v>1.4397731360194399</v>
      </c>
      <c r="E69" s="18">
        <f t="shared" si="3"/>
        <v>1.1102252919154454</v>
      </c>
      <c r="F69" s="18">
        <f t="shared" si="5"/>
        <v>1.2199554452501093</v>
      </c>
    </row>
    <row r="70" spans="1:6" x14ac:dyDescent="0.2">
      <c r="A70" t="str">
        <f>$A$12</f>
        <v>Construction</v>
      </c>
      <c r="B70" s="18">
        <f t="shared" si="3"/>
        <v>2.4473059321639345</v>
      </c>
      <c r="C70" s="18">
        <f t="shared" si="4"/>
        <v>3.0733526730208016</v>
      </c>
      <c r="D70" s="18">
        <f t="shared" si="3"/>
        <v>1.4039187735366054</v>
      </c>
      <c r="E70" s="18">
        <f t="shared" si="3"/>
        <v>0.83588015001205829</v>
      </c>
      <c r="F70" s="18">
        <f t="shared" si="5"/>
        <v>1.0248719185084632</v>
      </c>
    </row>
    <row r="71" spans="1:6" x14ac:dyDescent="0.2">
      <c r="A71" t="str">
        <f>$A$13</f>
        <v>Wholesale and retail trade</v>
      </c>
      <c r="B71" s="18">
        <f t="shared" si="3"/>
        <v>1.3559102790674293</v>
      </c>
      <c r="C71" s="18">
        <f t="shared" si="4"/>
        <v>2.3812354191122598</v>
      </c>
      <c r="D71" s="18">
        <f t="shared" si="3"/>
        <v>0.21518379684009048</v>
      </c>
      <c r="E71" s="18">
        <f t="shared" si="3"/>
        <v>0.15272814049080985</v>
      </c>
      <c r="F71" s="18">
        <f t="shared" si="5"/>
        <v>0.17354236659408162</v>
      </c>
    </row>
    <row r="72" spans="1:6" x14ac:dyDescent="0.2">
      <c r="A72" t="str">
        <f>$A$14</f>
        <v>Transport and storage</v>
      </c>
      <c r="B72" s="18">
        <f t="shared" ref="B72:B78" si="6">IF(AND(C$3-B$3 &lt;&gt; 0,B14&lt;&gt;0,C14&lt;&gt;0),(EXP(LN(C14/B14)/(C$3-B$3))-1)*100,0)</f>
        <v>1.5366829206059807</v>
      </c>
      <c r="C72" s="18">
        <f t="shared" si="4"/>
        <v>-8.2715933602171674</v>
      </c>
      <c r="D72" s="18">
        <f t="shared" si="3"/>
        <v>1.0066880194275152</v>
      </c>
      <c r="E72" s="18">
        <f t="shared" si="3"/>
        <v>0.14267848914768511</v>
      </c>
      <c r="F72" s="18">
        <f t="shared" si="5"/>
        <v>0.42985733679654636</v>
      </c>
    </row>
    <row r="73" spans="1:6" x14ac:dyDescent="0.2">
      <c r="A73" t="str">
        <f>$A$15</f>
        <v>Accommodation and food</v>
      </c>
      <c r="B73" s="18">
        <f t="shared" si="6"/>
        <v>1.8837725923173565</v>
      </c>
      <c r="C73" s="18">
        <f>IF(AND(D$3-C$3 &lt;&gt; 0,C15&lt;&gt;0,D15&lt;&gt;0),(EXP(LN(D15/C15)/(D$3-C$3))-1)*100,0)</f>
        <v>-7.6813446038925814</v>
      </c>
      <c r="D73" s="18">
        <f t="shared" si="3"/>
        <v>1.1185173624076228</v>
      </c>
      <c r="E73" s="18">
        <f t="shared" si="3"/>
        <v>1.4286214352416282</v>
      </c>
      <c r="F73" s="18">
        <f t="shared" si="5"/>
        <v>1.325147887156608</v>
      </c>
    </row>
    <row r="74" spans="1:6" x14ac:dyDescent="0.2">
      <c r="A74" t="str">
        <f>$A$16</f>
        <v>Media</v>
      </c>
      <c r="B74" s="18">
        <f t="shared" si="6"/>
        <v>-10.078700192463351</v>
      </c>
      <c r="C74" s="18">
        <f>IF(AND(D$3-C$3 &lt;&gt; 0,C16&lt;&gt;0,D16&lt;&gt;0),(EXP(LN(D16/C16)/(D$3-C$3))-1)*100,0)</f>
        <v>10.760211800302555</v>
      </c>
      <c r="D74" s="18">
        <f t="shared" si="3"/>
        <v>-0.7205711225576783</v>
      </c>
      <c r="E74" s="18">
        <f t="shared" si="3"/>
        <v>-0.23254772670515678</v>
      </c>
      <c r="F74" s="18">
        <f t="shared" si="5"/>
        <v>-0.39548816181389501</v>
      </c>
    </row>
    <row r="75" spans="1:6" x14ac:dyDescent="0.2">
      <c r="A75" t="str">
        <f>$A$17</f>
        <v>Information technology</v>
      </c>
      <c r="B75" s="18">
        <f t="shared" si="6"/>
        <v>-0.28482710252055732</v>
      </c>
      <c r="C75" s="18">
        <f t="shared" si="4"/>
        <v>1.5849394890185664</v>
      </c>
      <c r="D75" s="18">
        <f t="shared" si="3"/>
        <v>1.4584485011275961</v>
      </c>
      <c r="E75" s="18">
        <f t="shared" si="3"/>
        <v>0.79873699825838695</v>
      </c>
      <c r="F75" s="18">
        <f t="shared" si="5"/>
        <v>1.0181628242748042</v>
      </c>
    </row>
    <row r="76" spans="1:6" x14ac:dyDescent="0.2">
      <c r="A76" t="str">
        <f>$A$18</f>
        <v>Finance and insurance</v>
      </c>
      <c r="B76" s="18">
        <f t="shared" si="6"/>
        <v>-0.39198576205571323</v>
      </c>
      <c r="C76" s="18">
        <f t="shared" si="4"/>
        <v>0.89014422048210307</v>
      </c>
      <c r="D76" s="18">
        <f t="shared" si="3"/>
        <v>-0.42696016482631771</v>
      </c>
      <c r="E76" s="18">
        <f t="shared" si="3"/>
        <v>-0.69198173354024783</v>
      </c>
      <c r="F76" s="18">
        <f t="shared" si="5"/>
        <v>-0.60371967860198827</v>
      </c>
    </row>
    <row r="77" spans="1:6" x14ac:dyDescent="0.2">
      <c r="A77" t="str">
        <f>$A$19</f>
        <v>Real estate</v>
      </c>
      <c r="B77" s="18">
        <f t="shared" si="6"/>
        <v>-4.0742307153450286</v>
      </c>
      <c r="C77" s="18">
        <f t="shared" si="4"/>
        <v>19.817480922035923</v>
      </c>
      <c r="D77" s="18">
        <f t="shared" si="3"/>
        <v>-2.1019997128202128E-2</v>
      </c>
      <c r="E77" s="18">
        <f t="shared" si="3"/>
        <v>1.0887617140434402</v>
      </c>
      <c r="F77" s="18">
        <f t="shared" si="5"/>
        <v>0.7174724368534946</v>
      </c>
    </row>
    <row r="78" spans="1:6" x14ac:dyDescent="0.2">
      <c r="A78" t="str">
        <f>$A$20</f>
        <v>Professional services</v>
      </c>
      <c r="B78" s="18">
        <f t="shared" si="6"/>
        <v>1.1863104254201451</v>
      </c>
      <c r="C78" s="18">
        <f t="shared" si="4"/>
        <v>-6.9735856593597383</v>
      </c>
      <c r="D78" s="18">
        <f t="shared" si="3"/>
        <v>0.91760625146724006</v>
      </c>
      <c r="E78" s="18">
        <f t="shared" si="3"/>
        <v>0.64308447600260887</v>
      </c>
      <c r="F78" s="18">
        <f t="shared" si="5"/>
        <v>0.7345086596098227</v>
      </c>
    </row>
    <row r="79" spans="1:6" x14ac:dyDescent="0.2">
      <c r="A79" s="10" t="str">
        <f>$A$21</f>
        <v>Support services</v>
      </c>
      <c r="B79" s="18">
        <f t="shared" ref="B79:B84" si="7">IF(AND(C$3-B$3 &lt;&gt; 0,B21&lt;&gt;0,C21&lt;&gt;0),(EXP(LN(C21/B21)/(C$3-B$3))-1)*100,0)</f>
        <v>0.58647935766913406</v>
      </c>
      <c r="C79" s="18">
        <f t="shared" ref="C79:C84" si="8">IF(AND(D$3-C$3 &lt;&gt; 0,C21&lt;&gt;0,D21&lt;&gt;0),(EXP(LN(D21/C21)/(D$3-C$3))-1)*100,0)</f>
        <v>-9.2393124232620689</v>
      </c>
      <c r="D79" s="18">
        <f t="shared" ref="D79:D84" si="9">IF(AND(E$3-D$3 &lt;&gt; 0,D21&lt;&gt;0,E21&lt;&gt;0),(EXP(LN(E21/D21)/(E$3-D$3))-1)*100,0)</f>
        <v>0.84196638547038294</v>
      </c>
      <c r="E79" s="18">
        <f t="shared" ref="E79:E84" si="10">IF(AND(F$3-E$3 &lt;&gt; 0,E21&lt;&gt;0,F21&lt;&gt;0),(EXP(LN(F21/E21)/(F$3-E$3))-1)*100,0)</f>
        <v>0.71606859762076702</v>
      </c>
      <c r="F79" s="18">
        <f t="shared" si="5"/>
        <v>0.75801705285813981</v>
      </c>
    </row>
    <row r="80" spans="1:6" x14ac:dyDescent="0.2">
      <c r="A80" s="10" t="str">
        <f>$A$22</f>
        <v>Public admin. and defence</v>
      </c>
      <c r="B80" s="18">
        <f t="shared" si="7"/>
        <v>-1.540641029663381</v>
      </c>
      <c r="C80" s="18">
        <f t="shared" si="8"/>
        <v>1.9596497318978612</v>
      </c>
      <c r="D80" s="18">
        <f t="shared" si="9"/>
        <v>0.70358549566540418</v>
      </c>
      <c r="E80" s="18">
        <f t="shared" si="10"/>
        <v>-0.14006266713545434</v>
      </c>
      <c r="F80" s="18">
        <f t="shared" si="5"/>
        <v>0.14036514937836309</v>
      </c>
    </row>
    <row r="81" spans="1:6" x14ac:dyDescent="0.2">
      <c r="A81" s="10" t="str">
        <f>$A$23</f>
        <v>Education</v>
      </c>
      <c r="B81" s="18">
        <f t="shared" si="7"/>
        <v>-0.97533088477982366</v>
      </c>
      <c r="C81" s="18">
        <f t="shared" si="8"/>
        <v>-2.4872780143315731</v>
      </c>
      <c r="D81" s="18">
        <f t="shared" si="9"/>
        <v>-6.318219097533051E-2</v>
      </c>
      <c r="E81" s="18">
        <f t="shared" si="10"/>
        <v>0.22343742736286032</v>
      </c>
      <c r="F81" s="18">
        <f t="shared" si="5"/>
        <v>0.12780633443161271</v>
      </c>
    </row>
    <row r="82" spans="1:6" x14ac:dyDescent="0.2">
      <c r="A82" s="10" t="str">
        <f>$A$24</f>
        <v>Health and social work</v>
      </c>
      <c r="B82" s="18">
        <f t="shared" si="7"/>
        <v>1.4237287058388892</v>
      </c>
      <c r="C82" s="18">
        <f t="shared" si="8"/>
        <v>-1.1687527504579465</v>
      </c>
      <c r="D82" s="18">
        <f t="shared" si="9"/>
        <v>0.86250026224672371</v>
      </c>
      <c r="E82" s="18">
        <f t="shared" si="10"/>
        <v>0.15671805084447321</v>
      </c>
      <c r="F82" s="18">
        <f t="shared" si="5"/>
        <v>0.39142833116343478</v>
      </c>
    </row>
    <row r="83" spans="1:6" x14ac:dyDescent="0.2">
      <c r="A83" s="10" t="str">
        <f>$A$25</f>
        <v>Arts and entertainment</v>
      </c>
      <c r="B83" s="18">
        <f>IF(AND(C$3-B$3 &lt;&gt; 0,B25&lt;&gt;0,C25&lt;&gt;0),(EXP(LN(C25/B25)/(C$3-B$3))-1)*100,0)</f>
        <v>-4.1701262854960897</v>
      </c>
      <c r="C83" s="18">
        <f t="shared" si="8"/>
        <v>-1.5261164648091796</v>
      </c>
      <c r="D83" s="18">
        <f t="shared" si="9"/>
        <v>1.8161523375108235</v>
      </c>
      <c r="E83" s="18">
        <f t="shared" si="10"/>
        <v>1.027548527094746</v>
      </c>
      <c r="F83" s="18">
        <f t="shared" si="5"/>
        <v>1.2897354472019229</v>
      </c>
    </row>
    <row r="84" spans="1:6" x14ac:dyDescent="0.2">
      <c r="A84" s="10" t="str">
        <f>$A$26</f>
        <v>Other services</v>
      </c>
      <c r="B84" s="18">
        <f t="shared" si="7"/>
        <v>-0.22265167968822386</v>
      </c>
      <c r="C84" s="18">
        <f t="shared" si="8"/>
        <v>-3.7596283164202604</v>
      </c>
      <c r="D84" s="18">
        <f t="shared" si="9"/>
        <v>-0.98405074811217519</v>
      </c>
      <c r="E84" s="18">
        <f t="shared" si="10"/>
        <v>-0.11033363214080216</v>
      </c>
      <c r="F84" s="18">
        <f t="shared" si="5"/>
        <v>-0.40242595993443819</v>
      </c>
    </row>
    <row r="85" spans="1:6" x14ac:dyDescent="0.2">
      <c r="B85" s="18"/>
      <c r="C85" s="18"/>
      <c r="D85" s="18"/>
      <c r="E85" s="18"/>
      <c r="F85" s="18"/>
    </row>
    <row r="86" spans="1:6" x14ac:dyDescent="0.2">
      <c r="A86" t="str">
        <f>$A$28</f>
        <v>All industries</v>
      </c>
      <c r="B86" s="18">
        <f>IF(AND(C$3-B$3 &lt;&gt; 0,B28&lt;&gt;0,C28&lt;&gt;0),(EXP(LN(C28/B28)/(C$3-B$3))-1)*100,0)</f>
        <v>0.50039053026922353</v>
      </c>
      <c r="C86" s="18">
        <f>IF(AND(D$3-C$3 &lt;&gt; 0,C28&lt;&gt;0,D28&lt;&gt;0),(EXP(LN(D28/C28)/(D$3-C$3))-1)*100,0)</f>
        <v>-2.0181336258526472</v>
      </c>
      <c r="D86" s="18">
        <f>IF(AND(E$3-D$3 &lt;&gt; 0,D28&lt;&gt;0,E28&lt;&gt;0),(EXP(LN(E28/D28)/(E$3-D$3))-1)*100,0)</f>
        <v>0.57938709657918697</v>
      </c>
      <c r="E86" s="18">
        <f>IF(AND(F$3-E$3 &lt;&gt; 0,E28&lt;&gt;0,F28&lt;&gt;0),(EXP(LN(F28/E28)/(F$3-E$3))-1)*100,0)</f>
        <v>0.39187955008854747</v>
      </c>
      <c r="F86" s="18">
        <f>IF(AND(F$3-D$3 &lt;&gt; 0,D28&lt;&gt;0,F28&lt;&gt;0),(EXP(LN(F28/D28)/(F$3-D$3))-1)*100,0)</f>
        <v>0.45434319276140833</v>
      </c>
    </row>
    <row r="89" spans="1:6" x14ac:dyDescent="0.2">
      <c r="A89" s="1" t="s">
        <v>16</v>
      </c>
      <c r="B89" s="20" t="str">
        <f>CONCATENATE(B$3,"-",C$3)</f>
        <v>2015-2019</v>
      </c>
      <c r="C89" s="20" t="str">
        <f>CONCATENATE(C$3,"-",D$3)</f>
        <v>2019-2020</v>
      </c>
      <c r="D89" s="20" t="str">
        <f>CONCATENATE(D$3,"-",E$3)</f>
        <v>2020-2025</v>
      </c>
      <c r="E89" s="20" t="str">
        <f>CONCATENATE(E$3,"-",F$3)</f>
        <v>2025-2035</v>
      </c>
      <c r="F89" s="20" t="str">
        <f>CONCATENATE(D$3,"-",F$3)</f>
        <v>2020-2035</v>
      </c>
    </row>
    <row r="90" spans="1:6" x14ac:dyDescent="0.2">
      <c r="A90" t="str">
        <f>$A$5</f>
        <v>Agriculture</v>
      </c>
      <c r="B90" s="27">
        <f t="shared" ref="B90:E105" si="11">C5-B5</f>
        <v>0.75500000000002299</v>
      </c>
      <c r="C90" s="27">
        <f>D5-C5</f>
        <v>-1.6049999999999915</v>
      </c>
      <c r="D90" s="27">
        <f t="shared" si="11"/>
        <v>0.21299999999997166</v>
      </c>
      <c r="E90" s="27">
        <f t="shared" si="11"/>
        <v>0.16799999999999571</v>
      </c>
      <c r="F90" s="27">
        <f>F5-D5</f>
        <v>0.38099999999996736</v>
      </c>
    </row>
    <row r="91" spans="1:6" x14ac:dyDescent="0.2">
      <c r="A91" t="str">
        <f>$A$6</f>
        <v>Mining and quarrying</v>
      </c>
      <c r="B91" s="27">
        <f t="shared" si="11"/>
        <v>0.3839999999999989</v>
      </c>
      <c r="C91" s="27">
        <f t="shared" ref="C91:C105" si="12">D6-C6</f>
        <v>-0.185999999999999</v>
      </c>
      <c r="D91" s="27">
        <f t="shared" si="11"/>
        <v>-5.0000000000000988E-2</v>
      </c>
      <c r="E91" s="27">
        <f t="shared" si="11"/>
        <v>-4.4999999999998985E-2</v>
      </c>
      <c r="F91" s="27">
        <f t="shared" ref="F91:F111" si="13">F6-D6</f>
        <v>-9.4999999999999973E-2</v>
      </c>
    </row>
    <row r="92" spans="1:6" x14ac:dyDescent="0.2">
      <c r="A92" t="str">
        <f>$A$7</f>
        <v>Food drink and tobacco</v>
      </c>
      <c r="B92" s="27">
        <f t="shared" si="11"/>
        <v>0.79799999999999294</v>
      </c>
      <c r="C92" s="27">
        <f t="shared" si="12"/>
        <v>-1.7999999999992689E-2</v>
      </c>
      <c r="D92" s="27">
        <f t="shared" si="11"/>
        <v>0.4399999999999924</v>
      </c>
      <c r="E92" s="27">
        <f t="shared" si="11"/>
        <v>0.53000000000000824</v>
      </c>
      <c r="F92" s="27">
        <f t="shared" si="13"/>
        <v>0.97000000000000064</v>
      </c>
    </row>
    <row r="93" spans="1:6" x14ac:dyDescent="0.2">
      <c r="A93" t="str">
        <f>$A$8</f>
        <v>Engineering</v>
      </c>
      <c r="B93" s="27">
        <f t="shared" si="11"/>
        <v>1.2700000000000138</v>
      </c>
      <c r="C93" s="27">
        <f t="shared" si="12"/>
        <v>-0.37100000000000755</v>
      </c>
      <c r="D93" s="27">
        <f t="shared" si="11"/>
        <v>-0.44300000000000139</v>
      </c>
      <c r="E93" s="27">
        <f t="shared" si="11"/>
        <v>-2.3389999999999773</v>
      </c>
      <c r="F93" s="27">
        <f t="shared" si="13"/>
        <v>-2.7819999999999787</v>
      </c>
    </row>
    <row r="94" spans="1:6" x14ac:dyDescent="0.2">
      <c r="A94" t="str">
        <f>$A$9</f>
        <v>Rest of manufacturing</v>
      </c>
      <c r="B94" s="27">
        <f t="shared" si="11"/>
        <v>1.1819999999999595</v>
      </c>
      <c r="C94" s="27">
        <f t="shared" si="12"/>
        <v>-0.1489999999999867</v>
      </c>
      <c r="D94" s="27">
        <f t="shared" si="11"/>
        <v>-2.289000000000069</v>
      </c>
      <c r="E94" s="27">
        <f t="shared" si="11"/>
        <v>-3.0669999999998865</v>
      </c>
      <c r="F94" s="27">
        <f t="shared" si="13"/>
        <v>-5.3559999999999555</v>
      </c>
    </row>
    <row r="95" spans="1:6" x14ac:dyDescent="0.2">
      <c r="A95" t="str">
        <f>$A$10</f>
        <v>Electricity and gas</v>
      </c>
      <c r="B95" s="27">
        <f t="shared" si="11"/>
        <v>-2.6210000000000009</v>
      </c>
      <c r="C95" s="27">
        <f t="shared" si="12"/>
        <v>0.77000000000000846</v>
      </c>
      <c r="D95" s="27">
        <f t="shared" si="11"/>
        <v>-0.1169999999999991</v>
      </c>
      <c r="E95" s="27">
        <f t="shared" si="11"/>
        <v>2.9000000000003467E-2</v>
      </c>
      <c r="F95" s="27">
        <f t="shared" si="13"/>
        <v>-8.7999999999995637E-2</v>
      </c>
    </row>
    <row r="96" spans="1:6" x14ac:dyDescent="0.2">
      <c r="A96" t="str">
        <f>$A$11</f>
        <v>Water and sewerage</v>
      </c>
      <c r="B96" s="27">
        <f t="shared" si="11"/>
        <v>1.2280000000000002</v>
      </c>
      <c r="C96" s="27">
        <f t="shared" si="12"/>
        <v>-0.36200000000001076</v>
      </c>
      <c r="D96" s="27">
        <f t="shared" si="11"/>
        <v>0.31200000000001893</v>
      </c>
      <c r="E96" s="27">
        <f t="shared" si="11"/>
        <v>0.52799999999998004</v>
      </c>
      <c r="F96" s="27">
        <f t="shared" si="13"/>
        <v>0.83999999999999897</v>
      </c>
    </row>
    <row r="97" spans="1:6" x14ac:dyDescent="0.2">
      <c r="A97" t="str">
        <f>$A$12</f>
        <v>Construction</v>
      </c>
      <c r="B97" s="27">
        <f t="shared" si="11"/>
        <v>5.5609999999998792</v>
      </c>
      <c r="C97" s="27">
        <f t="shared" si="12"/>
        <v>1.8539999999998003</v>
      </c>
      <c r="D97" s="27">
        <f t="shared" si="11"/>
        <v>4.4890000000005372</v>
      </c>
      <c r="E97" s="27">
        <f t="shared" si="11"/>
        <v>5.7869999999995088</v>
      </c>
      <c r="F97" s="27">
        <f t="shared" si="13"/>
        <v>10.276000000000046</v>
      </c>
    </row>
    <row r="98" spans="1:6" x14ac:dyDescent="0.2">
      <c r="A98" t="str">
        <f>$A$13</f>
        <v>Wholesale and retail trade</v>
      </c>
      <c r="B98" s="27">
        <f t="shared" si="11"/>
        <v>7.0590000000002533</v>
      </c>
      <c r="C98" s="27">
        <f t="shared" si="12"/>
        <v>3.2049999999999557</v>
      </c>
      <c r="D98" s="27">
        <f t="shared" si="11"/>
        <v>1.4889999999999191</v>
      </c>
      <c r="E98" s="27">
        <f t="shared" si="11"/>
        <v>2.1419999999998254</v>
      </c>
      <c r="F98" s="27">
        <f t="shared" si="13"/>
        <v>3.6309999999997444</v>
      </c>
    </row>
    <row r="99" spans="1:6" x14ac:dyDescent="0.2">
      <c r="A99" t="str">
        <f>$A$14</f>
        <v>Transport and storage</v>
      </c>
      <c r="B99" s="27">
        <f t="shared" si="11"/>
        <v>1.8929999999997946</v>
      </c>
      <c r="C99" s="27">
        <f t="shared" si="12"/>
        <v>-2.6459999999998551</v>
      </c>
      <c r="D99" s="27">
        <f t="shared" si="11"/>
        <v>1.5069999999999446</v>
      </c>
      <c r="E99" s="27">
        <f t="shared" si="11"/>
        <v>0.44299999999999784</v>
      </c>
      <c r="F99" s="27">
        <f t="shared" si="13"/>
        <v>1.9499999999999424</v>
      </c>
    </row>
    <row r="100" spans="1:6" x14ac:dyDescent="0.2">
      <c r="A100" t="str">
        <f>$A$15</f>
        <v>Accommodation and food</v>
      </c>
      <c r="B100" s="27">
        <f t="shared" si="11"/>
        <v>4.3910000000002469</v>
      </c>
      <c r="C100" s="27">
        <f t="shared" si="12"/>
        <v>-4.689000000000199</v>
      </c>
      <c r="D100" s="27">
        <f t="shared" si="11"/>
        <v>3.2230000000000842</v>
      </c>
      <c r="E100" s="27">
        <f t="shared" si="11"/>
        <v>9.0799999999999486</v>
      </c>
      <c r="F100" s="27">
        <f t="shared" si="13"/>
        <v>12.303000000000033</v>
      </c>
    </row>
    <row r="101" spans="1:6" x14ac:dyDescent="0.2">
      <c r="A101" t="str">
        <f>$A$16</f>
        <v>Media</v>
      </c>
      <c r="B101" s="27">
        <f t="shared" si="11"/>
        <v>-2.7999999999999865</v>
      </c>
      <c r="C101" s="27">
        <f t="shared" si="12"/>
        <v>0.56899999999999995</v>
      </c>
      <c r="D101" s="27">
        <f t="shared" si="11"/>
        <v>-0.20800000000000285</v>
      </c>
      <c r="E101" s="27">
        <f t="shared" si="11"/>
        <v>-0.12999999999999812</v>
      </c>
      <c r="F101" s="27">
        <f t="shared" si="13"/>
        <v>-0.33800000000000097</v>
      </c>
    </row>
    <row r="102" spans="1:6" x14ac:dyDescent="0.2">
      <c r="A102" t="str">
        <f>$A$17</f>
        <v>Information technology</v>
      </c>
      <c r="B102" s="27">
        <f t="shared" si="11"/>
        <v>-0.64000000000001478</v>
      </c>
      <c r="C102" s="27">
        <f t="shared" si="12"/>
        <v>0.88400000000010692</v>
      </c>
      <c r="D102" s="27">
        <f t="shared" si="11"/>
        <v>4.2539999999998983</v>
      </c>
      <c r="E102" s="27">
        <f t="shared" si="11"/>
        <v>5.0440000000001106</v>
      </c>
      <c r="F102" s="27">
        <f t="shared" si="13"/>
        <v>9.2980000000000089</v>
      </c>
    </row>
    <row r="103" spans="1:6" x14ac:dyDescent="0.2">
      <c r="A103" t="str">
        <f>$A$18</f>
        <v>Finance and insurance</v>
      </c>
      <c r="B103" s="27">
        <f t="shared" si="11"/>
        <v>-0.37000000000000099</v>
      </c>
      <c r="C103" s="27">
        <f t="shared" si="12"/>
        <v>0.20800000000005525</v>
      </c>
      <c r="D103" s="27">
        <f t="shared" si="11"/>
        <v>-0.49900000000003075</v>
      </c>
      <c r="E103" s="27">
        <f t="shared" si="11"/>
        <v>-1.5479999999999983</v>
      </c>
      <c r="F103" s="27">
        <f t="shared" si="13"/>
        <v>-2.047000000000029</v>
      </c>
    </row>
    <row r="104" spans="1:6" x14ac:dyDescent="0.2">
      <c r="A104" t="str">
        <f>$A$19</f>
        <v>Real estate</v>
      </c>
      <c r="B104" s="27">
        <f t="shared" si="11"/>
        <v>-2.3009999999999966</v>
      </c>
      <c r="C104" s="27">
        <f t="shared" si="12"/>
        <v>2.5189999999999877</v>
      </c>
      <c r="D104" s="27">
        <f t="shared" si="11"/>
        <v>-1.600000000000712E-2</v>
      </c>
      <c r="E104" s="27">
        <f t="shared" si="11"/>
        <v>1.7400000000000144</v>
      </c>
      <c r="F104" s="27">
        <f t="shared" si="13"/>
        <v>1.7240000000000073</v>
      </c>
    </row>
    <row r="105" spans="1:6" x14ac:dyDescent="0.2">
      <c r="A105" t="str">
        <f>$A$20</f>
        <v>Professional services</v>
      </c>
      <c r="B105" s="27">
        <f t="shared" si="11"/>
        <v>4.6139999999997769</v>
      </c>
      <c r="C105" s="27">
        <f t="shared" si="12"/>
        <v>-6.982999999999862</v>
      </c>
      <c r="D105" s="27">
        <f t="shared" si="11"/>
        <v>4.3529999999997671</v>
      </c>
      <c r="E105" s="27">
        <f t="shared" si="11"/>
        <v>6.4550000000004957</v>
      </c>
      <c r="F105" s="27">
        <f t="shared" si="13"/>
        <v>10.808000000000263</v>
      </c>
    </row>
    <row r="106" spans="1:6" x14ac:dyDescent="0.2">
      <c r="A106" s="10" t="str">
        <f>$A$21</f>
        <v>Support services</v>
      </c>
      <c r="B106" s="27">
        <f t="shared" ref="B106:B111" si="14">C21-B21</f>
        <v>1.6570000000003091</v>
      </c>
      <c r="C106" s="27">
        <f t="shared" ref="C106:C111" si="15">D21-C21</f>
        <v>-6.622000000000412</v>
      </c>
      <c r="D106" s="27">
        <f t="shared" ref="D106:D111" si="16">E21-D21</f>
        <v>2.7850000000002098</v>
      </c>
      <c r="E106" s="27">
        <f t="shared" ref="E106:E111" si="17">F21-E21</f>
        <v>5.0169999999999533</v>
      </c>
      <c r="F106" s="27">
        <f t="shared" si="13"/>
        <v>7.802000000000163</v>
      </c>
    </row>
    <row r="107" spans="1:6" x14ac:dyDescent="0.2">
      <c r="A107" s="10" t="str">
        <f>$A$22</f>
        <v>Public admin. and defence</v>
      </c>
      <c r="B107" s="27">
        <f t="shared" si="14"/>
        <v>-1.660999999999909</v>
      </c>
      <c r="C107" s="27">
        <f t="shared" si="15"/>
        <v>0.50799999999988543</v>
      </c>
      <c r="D107" s="27">
        <f t="shared" si="16"/>
        <v>0.94299999999999073</v>
      </c>
      <c r="E107" s="27">
        <f t="shared" si="17"/>
        <v>-0.38099999999995404</v>
      </c>
      <c r="F107" s="27">
        <f t="shared" si="13"/>
        <v>0.56200000000003669</v>
      </c>
    </row>
    <row r="108" spans="1:6" x14ac:dyDescent="0.2">
      <c r="A108" s="10" t="str">
        <f>$A$23</f>
        <v>Education</v>
      </c>
      <c r="B108" s="27">
        <f t="shared" si="14"/>
        <v>-3.0800000000002257</v>
      </c>
      <c r="C108" s="27">
        <f t="shared" si="15"/>
        <v>-1.9159999999998973</v>
      </c>
      <c r="D108" s="27">
        <f t="shared" si="16"/>
        <v>-0.23699999999988108</v>
      </c>
      <c r="E108" s="27">
        <f t="shared" si="17"/>
        <v>1.6899999999998272</v>
      </c>
      <c r="F108" s="27">
        <f t="shared" si="13"/>
        <v>1.4529999999999461</v>
      </c>
    </row>
    <row r="109" spans="1:6" x14ac:dyDescent="0.2">
      <c r="A109" s="10" t="str">
        <f>$A$24</f>
        <v>Health and social work</v>
      </c>
      <c r="B109" s="27">
        <f t="shared" si="14"/>
        <v>5.3720000000000709</v>
      </c>
      <c r="C109" s="27">
        <f t="shared" si="15"/>
        <v>-1.1419999999999675</v>
      </c>
      <c r="D109" s="27">
        <f t="shared" si="16"/>
        <v>4.2369999999999237</v>
      </c>
      <c r="E109" s="27">
        <f t="shared" si="17"/>
        <v>1.590999999999994</v>
      </c>
      <c r="F109" s="27">
        <f t="shared" si="13"/>
        <v>5.8279999999999177</v>
      </c>
    </row>
    <row r="110" spans="1:6" x14ac:dyDescent="0.2">
      <c r="A110" s="10" t="str">
        <f>$A$25</f>
        <v>Arts and entertainment</v>
      </c>
      <c r="B110" s="27">
        <f t="shared" si="14"/>
        <v>-4.9540000000001214</v>
      </c>
      <c r="C110" s="27">
        <f t="shared" si="15"/>
        <v>-0.40699999999996095</v>
      </c>
      <c r="D110" s="27">
        <f t="shared" si="16"/>
        <v>2.4729999999999741</v>
      </c>
      <c r="E110" s="27">
        <f t="shared" si="17"/>
        <v>3.0929999999999822</v>
      </c>
      <c r="F110" s="27">
        <f t="shared" si="13"/>
        <v>5.5659999999999563</v>
      </c>
    </row>
    <row r="111" spans="1:6" x14ac:dyDescent="0.2">
      <c r="A111" s="10" t="str">
        <f>$A$26</f>
        <v>Other services</v>
      </c>
      <c r="B111" s="27">
        <f t="shared" si="14"/>
        <v>-0.29299999999985005</v>
      </c>
      <c r="C111" s="27">
        <f t="shared" si="15"/>
        <v>-1.2300000000000573</v>
      </c>
      <c r="D111" s="27">
        <f t="shared" si="16"/>
        <v>-1.5190000000000055</v>
      </c>
      <c r="E111" s="27">
        <f t="shared" si="17"/>
        <v>-0.32900000000007523</v>
      </c>
      <c r="F111" s="27">
        <f t="shared" si="13"/>
        <v>-1.8480000000000807</v>
      </c>
    </row>
    <row r="112" spans="1:6" x14ac:dyDescent="0.2">
      <c r="B112" s="27"/>
      <c r="C112" s="27"/>
      <c r="D112" s="27"/>
      <c r="E112" s="27"/>
      <c r="F112" s="27"/>
    </row>
    <row r="113" spans="1:6" x14ac:dyDescent="0.2">
      <c r="A113" s="24" t="str">
        <f>$A$28</f>
        <v>All industries</v>
      </c>
      <c r="B113" s="29">
        <f>C28-B28</f>
        <v>17.444000000000415</v>
      </c>
      <c r="C113" s="29">
        <f>D28-C28</f>
        <v>-17.809000000000424</v>
      </c>
      <c r="D113" s="29">
        <f>E28-D28</f>
        <v>25.340000000000032</v>
      </c>
      <c r="E113" s="29">
        <f>F28-E28</f>
        <v>35.497999999999706</v>
      </c>
      <c r="F113" s="29">
        <f>F28-D28</f>
        <v>60.837999999999738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3" orientation="portrait" r:id="rId1"/>
  <headerFooter alignWithMargins="0"/>
  <rowBreaks count="1" manualBreakCount="1">
    <brk id="58" max="6" man="1"/>
  </rowBreaks>
  <ignoredErrors>
    <ignoredError sqref="C62 C87:C88 C112" formula="1"/>
  </ignoredError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L12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CONCATENATE("Industry Table 4  Employment by Industry Group in Sector (SIC 2007), ",B$5,"-",F$5,", ",Info!B5)</f>
        <v>Industry Table 4  Employment by Industry Group in Sector (SIC 2007), 2015-2035, Enterprise M3</v>
      </c>
    </row>
    <row r="2" spans="1:12" ht="12.75" customHeight="1" x14ac:dyDescent="0.2">
      <c r="A2" s="182" t="s">
        <v>517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42">
        <f>'Ind T1'!B5</f>
        <v>2015</v>
      </c>
      <c r="C5" s="42">
        <f>'Ind T1'!C5</f>
        <v>2019</v>
      </c>
      <c r="D5" s="42">
        <f>'Ind T1'!D5</f>
        <v>2020</v>
      </c>
      <c r="E5" s="42">
        <f>'Ind T1'!E5</f>
        <v>2025</v>
      </c>
      <c r="F5" s="42">
        <f>'Ind T1'!F5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'Ind T1'!A7</f>
        <v>Primary sector and utilities</v>
      </c>
      <c r="B7" s="31">
        <f>'Ind T1'!B7</f>
        <v>16.005999999999986</v>
      </c>
      <c r="C7" s="31">
        <f>'Ind T1'!C7</f>
        <v>15.752000000000006</v>
      </c>
      <c r="D7" s="31">
        <f>'Ind T1'!D7</f>
        <v>14.369000000000012</v>
      </c>
      <c r="E7" s="31">
        <f>'Ind T1'!E7</f>
        <v>14.727000000000004</v>
      </c>
      <c r="F7" s="31">
        <f>'Ind T1'!F7</f>
        <v>15.406999999999982</v>
      </c>
      <c r="H7" s="31">
        <f>C7-B7</f>
        <v>-0.25399999999998002</v>
      </c>
      <c r="I7" s="31">
        <f>D7-C7</f>
        <v>-1.3829999999999938</v>
      </c>
      <c r="J7" s="31">
        <f>E7-D7</f>
        <v>0.35799999999999166</v>
      </c>
      <c r="K7" s="31">
        <f>F7-E7</f>
        <v>0.6799999999999784</v>
      </c>
      <c r="L7" s="31">
        <f>F7-D7</f>
        <v>1.0379999999999701</v>
      </c>
    </row>
    <row r="8" spans="1:12" x14ac:dyDescent="0.2">
      <c r="A8" t="str">
        <f>'Ind T2'!A5</f>
        <v>Agriculture</v>
      </c>
      <c r="B8" s="32">
        <f>'Ind T2'!B5</f>
        <v>6.7529999999999895</v>
      </c>
      <c r="C8" s="32">
        <f>'Ind T2'!C5</f>
        <v>7.5080000000000124</v>
      </c>
      <c r="D8" s="32">
        <f>'Ind T2'!D5</f>
        <v>5.9030000000000209</v>
      </c>
      <c r="E8" s="32">
        <f>'Ind T2'!E5</f>
        <v>6.1159999999999926</v>
      </c>
      <c r="F8" s="32">
        <f>'Ind T2'!F5</f>
        <v>6.2839999999999883</v>
      </c>
      <c r="H8" s="11">
        <f t="shared" ref="H8:H40" si="0">C8-B8</f>
        <v>0.75500000000002299</v>
      </c>
      <c r="I8" s="31">
        <f t="shared" ref="I8:I38" si="1">D8-C8</f>
        <v>-1.6049999999999915</v>
      </c>
      <c r="J8" s="11">
        <f t="shared" ref="J8:J38" si="2">E8-D8</f>
        <v>0.21299999999997166</v>
      </c>
      <c r="K8" s="11">
        <f t="shared" ref="K8:K38" si="3">F8-E8</f>
        <v>0.16799999999999571</v>
      </c>
      <c r="L8" s="31">
        <f t="shared" ref="L8:L40" si="4">F8-D8</f>
        <v>0.38099999999996736</v>
      </c>
    </row>
    <row r="9" spans="1:12" x14ac:dyDescent="0.2">
      <c r="A9" t="str">
        <f>'Ind T2'!A6</f>
        <v>Mining and quarrying</v>
      </c>
      <c r="B9" s="32">
        <f>'Ind T2'!B6</f>
        <v>0.2629999999999999</v>
      </c>
      <c r="C9" s="32">
        <f>'Ind T2'!C6</f>
        <v>0.6469999999999988</v>
      </c>
      <c r="D9" s="32">
        <f>'Ind T2'!D6</f>
        <v>0.4609999999999998</v>
      </c>
      <c r="E9" s="32">
        <f>'Ind T2'!E6</f>
        <v>0.41099999999999881</v>
      </c>
      <c r="F9" s="32">
        <f>'Ind T2'!F6</f>
        <v>0.36599999999999983</v>
      </c>
      <c r="H9" s="11">
        <f t="shared" si="0"/>
        <v>0.3839999999999989</v>
      </c>
      <c r="I9" s="31">
        <f t="shared" si="1"/>
        <v>-0.185999999999999</v>
      </c>
      <c r="J9" s="11">
        <f t="shared" si="2"/>
        <v>-5.0000000000000988E-2</v>
      </c>
      <c r="K9" s="11">
        <f t="shared" si="3"/>
        <v>-4.4999999999998985E-2</v>
      </c>
      <c r="L9" s="31">
        <f t="shared" si="4"/>
        <v>-9.4999999999999973E-2</v>
      </c>
    </row>
    <row r="10" spans="1:12" x14ac:dyDescent="0.2">
      <c r="A10" t="str">
        <f>'Ind T2'!A10</f>
        <v>Electricity and gas</v>
      </c>
      <c r="B10" s="32">
        <f>'Ind T2'!B10</f>
        <v>5.6449999999999934</v>
      </c>
      <c r="C10" s="32">
        <f>'Ind T2'!C10</f>
        <v>3.0239999999999925</v>
      </c>
      <c r="D10" s="32">
        <f>'Ind T2'!D10</f>
        <v>3.7940000000000009</v>
      </c>
      <c r="E10" s="32">
        <f>'Ind T2'!E10</f>
        <v>3.6770000000000018</v>
      </c>
      <c r="F10" s="32">
        <f>'Ind T2'!F10</f>
        <v>3.7060000000000053</v>
      </c>
      <c r="H10" s="11">
        <f t="shared" si="0"/>
        <v>-2.6210000000000009</v>
      </c>
      <c r="I10" s="31">
        <f t="shared" si="1"/>
        <v>0.77000000000000846</v>
      </c>
      <c r="J10" s="11">
        <f t="shared" si="2"/>
        <v>-0.1169999999999991</v>
      </c>
      <c r="K10" s="11">
        <f t="shared" si="3"/>
        <v>2.9000000000003467E-2</v>
      </c>
      <c r="L10" s="31">
        <f t="shared" si="4"/>
        <v>-8.7999999999995637E-2</v>
      </c>
    </row>
    <row r="11" spans="1:12" x14ac:dyDescent="0.2">
      <c r="A11" t="str">
        <f>'Ind T2'!A11</f>
        <v>Water and sewerage</v>
      </c>
      <c r="B11" s="32">
        <f>'Ind T2'!B11</f>
        <v>3.345000000000002</v>
      </c>
      <c r="C11" s="32">
        <f>'Ind T2'!C11</f>
        <v>4.5730000000000022</v>
      </c>
      <c r="D11" s="32">
        <f>'Ind T2'!D11</f>
        <v>4.2109999999999914</v>
      </c>
      <c r="E11" s="32">
        <f>'Ind T2'!E11</f>
        <v>4.5230000000000103</v>
      </c>
      <c r="F11" s="32">
        <f>'Ind T2'!F11</f>
        <v>5.0509999999999904</v>
      </c>
      <c r="H11" s="11">
        <f t="shared" ref="H11" si="5">C11-B11</f>
        <v>1.2280000000000002</v>
      </c>
      <c r="I11" s="31">
        <f t="shared" ref="I11" si="6">D11-C11</f>
        <v>-0.36200000000001076</v>
      </c>
      <c r="J11" s="11">
        <f t="shared" ref="J11" si="7">E11-D11</f>
        <v>0.31200000000001893</v>
      </c>
      <c r="K11" s="11">
        <f t="shared" ref="K11" si="8">F11-E11</f>
        <v>0.52799999999998004</v>
      </c>
      <c r="L11" s="31">
        <f t="shared" si="4"/>
        <v>0.83999999999999897</v>
      </c>
    </row>
    <row r="12" spans="1:12" x14ac:dyDescent="0.2">
      <c r="B12" s="32"/>
      <c r="C12" s="32"/>
      <c r="D12" s="32"/>
      <c r="E12" s="32"/>
      <c r="F12" s="32"/>
      <c r="H12" s="11"/>
      <c r="I12" s="31"/>
      <c r="J12" s="11"/>
      <c r="K12" s="11"/>
      <c r="L12" s="31"/>
    </row>
    <row r="13" spans="1:12" s="30" customFormat="1" x14ac:dyDescent="0.2">
      <c r="A13" s="30" t="str">
        <f>'Ind T1'!A8</f>
        <v>Manufacturing</v>
      </c>
      <c r="B13" s="31">
        <f>'Ind T1'!B8</f>
        <v>46.496000000000038</v>
      </c>
      <c r="C13" s="31">
        <f>'Ind T1'!C8</f>
        <v>49.746000000000002</v>
      </c>
      <c r="D13" s="31">
        <f>'Ind T1'!D8</f>
        <v>49.208000000000013</v>
      </c>
      <c r="E13" s="31">
        <f>'Ind T1'!E8</f>
        <v>46.91599999999994</v>
      </c>
      <c r="F13" s="31">
        <f>'Ind T1'!F8</f>
        <v>42.040000000000084</v>
      </c>
      <c r="H13" s="31">
        <f t="shared" si="0"/>
        <v>3.2499999999999645</v>
      </c>
      <c r="I13" s="31">
        <f t="shared" si="1"/>
        <v>-0.5379999999999896</v>
      </c>
      <c r="J13" s="31">
        <f t="shared" si="2"/>
        <v>-2.2920000000000726</v>
      </c>
      <c r="K13" s="31">
        <f t="shared" si="3"/>
        <v>-4.8759999999998556</v>
      </c>
      <c r="L13" s="31">
        <f t="shared" si="4"/>
        <v>-7.1679999999999282</v>
      </c>
    </row>
    <row r="14" spans="1:12" x14ac:dyDescent="0.2">
      <c r="A14" t="str">
        <f>'Ind T2'!A7</f>
        <v>Food drink and tobacco</v>
      </c>
      <c r="B14" s="32">
        <f>'Ind T2'!B7</f>
        <v>3.6470000000000011</v>
      </c>
      <c r="C14" s="32">
        <f>'Ind T2'!C7</f>
        <v>4.4449999999999941</v>
      </c>
      <c r="D14" s="32">
        <f>'Ind T2'!D7</f>
        <v>4.4270000000000014</v>
      </c>
      <c r="E14" s="32">
        <f>'Ind T2'!E7</f>
        <v>4.8669999999999938</v>
      </c>
      <c r="F14" s="32">
        <f>'Ind T2'!F7</f>
        <v>5.397000000000002</v>
      </c>
      <c r="H14" s="11">
        <f t="shared" si="0"/>
        <v>0.79799999999999294</v>
      </c>
      <c r="I14" s="31">
        <f t="shared" si="1"/>
        <v>-1.7999999999992689E-2</v>
      </c>
      <c r="J14" s="11">
        <f t="shared" si="2"/>
        <v>0.4399999999999924</v>
      </c>
      <c r="K14" s="11">
        <f t="shared" si="3"/>
        <v>0.53000000000000824</v>
      </c>
      <c r="L14" s="31">
        <f t="shared" si="4"/>
        <v>0.97000000000000064</v>
      </c>
    </row>
    <row r="15" spans="1:12" x14ac:dyDescent="0.2">
      <c r="A15" t="str">
        <f>'Ind T2'!A8</f>
        <v>Engineering</v>
      </c>
      <c r="B15" s="32">
        <f>'Ind T2'!B8</f>
        <v>11.546999999999993</v>
      </c>
      <c r="C15" s="32">
        <f>'Ind T2'!C8</f>
        <v>12.817000000000007</v>
      </c>
      <c r="D15" s="32">
        <f>'Ind T2'!D8</f>
        <v>12.446</v>
      </c>
      <c r="E15" s="32">
        <f>'Ind T2'!E8</f>
        <v>12.002999999999998</v>
      </c>
      <c r="F15" s="32">
        <f>'Ind T2'!F8</f>
        <v>9.664000000000021</v>
      </c>
      <c r="H15" s="11">
        <f t="shared" si="0"/>
        <v>1.2700000000000138</v>
      </c>
      <c r="I15" s="31">
        <f t="shared" si="1"/>
        <v>-0.37100000000000755</v>
      </c>
      <c r="J15" s="11">
        <f t="shared" si="2"/>
        <v>-0.44300000000000139</v>
      </c>
      <c r="K15" s="11">
        <f t="shared" si="3"/>
        <v>-2.3389999999999773</v>
      </c>
      <c r="L15" s="31">
        <f t="shared" si="4"/>
        <v>-2.7819999999999787</v>
      </c>
    </row>
    <row r="16" spans="1:12" x14ac:dyDescent="0.2">
      <c r="A16" t="str">
        <f>'Ind T2'!A9</f>
        <v>Rest of manufacturing</v>
      </c>
      <c r="B16" s="32">
        <f>'Ind T2'!B9</f>
        <v>31.302000000000042</v>
      </c>
      <c r="C16" s="32">
        <f>'Ind T2'!C9</f>
        <v>32.484000000000002</v>
      </c>
      <c r="D16" s="32">
        <f>'Ind T2'!D9</f>
        <v>32.335000000000015</v>
      </c>
      <c r="E16" s="32">
        <f>'Ind T2'!E9</f>
        <v>30.045999999999946</v>
      </c>
      <c r="F16" s="32">
        <f>'Ind T2'!F9</f>
        <v>26.97900000000006</v>
      </c>
      <c r="H16" s="11">
        <f t="shared" si="0"/>
        <v>1.1819999999999595</v>
      </c>
      <c r="I16" s="31">
        <f t="shared" si="1"/>
        <v>-0.1489999999999867</v>
      </c>
      <c r="J16" s="11">
        <f t="shared" si="2"/>
        <v>-2.289000000000069</v>
      </c>
      <c r="K16" s="11">
        <f t="shared" si="3"/>
        <v>-3.0669999999998865</v>
      </c>
      <c r="L16" s="31">
        <f t="shared" si="4"/>
        <v>-5.3559999999999555</v>
      </c>
    </row>
    <row r="17" spans="1:12" x14ac:dyDescent="0.2">
      <c r="B17" s="32"/>
      <c r="C17" s="32"/>
      <c r="D17" s="32"/>
      <c r="E17" s="32"/>
      <c r="F17" s="32"/>
      <c r="H17" s="11"/>
      <c r="I17" s="31">
        <f t="shared" si="1"/>
        <v>0</v>
      </c>
      <c r="J17" s="11"/>
      <c r="K17" s="11"/>
      <c r="L17" s="31"/>
    </row>
    <row r="18" spans="1:12" s="30" customFormat="1" x14ac:dyDescent="0.2">
      <c r="A18" s="30" t="str">
        <f>'Ind T1'!A9</f>
        <v>Construction</v>
      </c>
      <c r="B18" s="31">
        <f>'Ind T1'!B9</f>
        <v>54.764000000000159</v>
      </c>
      <c r="C18" s="31">
        <f>'Ind T1'!C9</f>
        <v>60.325000000000038</v>
      </c>
      <c r="D18" s="31">
        <f>'Ind T1'!D9</f>
        <v>62.178999999999839</v>
      </c>
      <c r="E18" s="31">
        <f>'Ind T1'!E9</f>
        <v>66.668000000000376</v>
      </c>
      <c r="F18" s="31">
        <f>'Ind T1'!F9</f>
        <v>72.454999999999885</v>
      </c>
      <c r="H18" s="31">
        <f t="shared" si="0"/>
        <v>5.5609999999998792</v>
      </c>
      <c r="I18" s="31">
        <f t="shared" si="1"/>
        <v>1.8539999999998003</v>
      </c>
      <c r="J18" s="31">
        <f t="shared" si="2"/>
        <v>4.4890000000005372</v>
      </c>
      <c r="K18" s="31">
        <f t="shared" si="3"/>
        <v>5.7869999999995088</v>
      </c>
      <c r="L18" s="31">
        <f t="shared" si="4"/>
        <v>10.276000000000046</v>
      </c>
    </row>
    <row r="19" spans="1:12" x14ac:dyDescent="0.2">
      <c r="A19" s="30"/>
      <c r="B19" s="32"/>
      <c r="C19" s="32"/>
      <c r="D19" s="32"/>
      <c r="E19" s="32"/>
      <c r="F19" s="32"/>
      <c r="H19" s="11"/>
      <c r="I19" s="31"/>
      <c r="J19" s="11"/>
      <c r="K19" s="11"/>
      <c r="L19" s="31"/>
    </row>
    <row r="20" spans="1:12" s="30" customFormat="1" x14ac:dyDescent="0.2">
      <c r="A20" s="30" t="str">
        <f>'Ind T1'!A10</f>
        <v>Trade, accomod. and transport</v>
      </c>
      <c r="B20" s="31">
        <f>'Ind T1'!B10</f>
        <v>214.28399999999982</v>
      </c>
      <c r="C20" s="31">
        <f>'Ind T1'!C10</f>
        <v>227.62700000000007</v>
      </c>
      <c r="D20" s="31">
        <f>'Ind T1'!D10</f>
        <v>223.49699999999999</v>
      </c>
      <c r="E20" s="31">
        <f>'Ind T1'!E10</f>
        <v>229.71599999999995</v>
      </c>
      <c r="F20" s="31">
        <f>'Ind T1'!F10</f>
        <v>241.38099999999969</v>
      </c>
      <c r="H20" s="31">
        <f t="shared" si="0"/>
        <v>13.343000000000245</v>
      </c>
      <c r="I20" s="31">
        <f t="shared" si="1"/>
        <v>-4.1300000000000807</v>
      </c>
      <c r="J20" s="31">
        <f t="shared" si="2"/>
        <v>6.2189999999999657</v>
      </c>
      <c r="K20" s="31">
        <f t="shared" si="3"/>
        <v>11.664999999999736</v>
      </c>
      <c r="L20" s="31">
        <f t="shared" si="4"/>
        <v>17.883999999999702</v>
      </c>
    </row>
    <row r="21" spans="1:12" x14ac:dyDescent="0.2">
      <c r="A21" s="10" t="str">
        <f>'Ind T2'!A13</f>
        <v>Wholesale and retail trade</v>
      </c>
      <c r="B21" s="32">
        <f>'Ind T2'!B13</f>
        <v>127.53499999999985</v>
      </c>
      <c r="C21" s="32">
        <f>'Ind T2'!C13</f>
        <v>134.59400000000011</v>
      </c>
      <c r="D21" s="32">
        <f>'Ind T2'!D13</f>
        <v>137.79900000000006</v>
      </c>
      <c r="E21" s="32">
        <f>'Ind T2'!E13</f>
        <v>139.28799999999998</v>
      </c>
      <c r="F21" s="32">
        <f>'Ind T2'!F13</f>
        <v>141.42999999999981</v>
      </c>
      <c r="H21" s="11">
        <f t="shared" si="0"/>
        <v>7.0590000000002533</v>
      </c>
      <c r="I21" s="31">
        <f t="shared" si="1"/>
        <v>3.2049999999999557</v>
      </c>
      <c r="J21" s="11">
        <f t="shared" si="2"/>
        <v>1.4889999999999191</v>
      </c>
      <c r="K21" s="11">
        <f t="shared" si="3"/>
        <v>2.1419999999998254</v>
      </c>
      <c r="L21" s="31">
        <f t="shared" si="4"/>
        <v>3.6309999999997444</v>
      </c>
    </row>
    <row r="22" spans="1:12" x14ac:dyDescent="0.2">
      <c r="A22" s="10" t="str">
        <f>'Ind T2'!A14</f>
        <v>Transport and storage</v>
      </c>
      <c r="B22" s="32">
        <f>'Ind T2'!B14</f>
        <v>30.096000000000046</v>
      </c>
      <c r="C22" s="32">
        <f>'Ind T2'!C14</f>
        <v>31.988999999999841</v>
      </c>
      <c r="D22" s="32">
        <f>'Ind T2'!D14</f>
        <v>29.342999999999986</v>
      </c>
      <c r="E22" s="32">
        <f>'Ind T2'!E14</f>
        <v>30.84999999999993</v>
      </c>
      <c r="F22" s="32">
        <f>'Ind T2'!F14</f>
        <v>31.292999999999928</v>
      </c>
      <c r="H22" s="11">
        <f t="shared" si="0"/>
        <v>1.8929999999997946</v>
      </c>
      <c r="I22" s="31">
        <f t="shared" si="1"/>
        <v>-2.6459999999998551</v>
      </c>
      <c r="J22" s="11">
        <f t="shared" si="2"/>
        <v>1.5069999999999446</v>
      </c>
      <c r="K22" s="11">
        <f t="shared" si="3"/>
        <v>0.44299999999999784</v>
      </c>
      <c r="L22" s="31">
        <f t="shared" si="4"/>
        <v>1.9499999999999424</v>
      </c>
    </row>
    <row r="23" spans="1:12" x14ac:dyDescent="0.2">
      <c r="A23" s="10" t="str">
        <f>'Ind T2'!A15</f>
        <v>Accommodation and food</v>
      </c>
      <c r="B23" s="32">
        <f>'Ind T2'!B15</f>
        <v>56.652999999999892</v>
      </c>
      <c r="C23" s="32">
        <f>'Ind T2'!C15</f>
        <v>61.044000000000139</v>
      </c>
      <c r="D23" s="32">
        <f>'Ind T2'!D15</f>
        <v>56.35499999999994</v>
      </c>
      <c r="E23" s="32">
        <f>'Ind T2'!E15</f>
        <v>59.578000000000024</v>
      </c>
      <c r="F23" s="32">
        <f>'Ind T2'!F15</f>
        <v>68.657999999999973</v>
      </c>
      <c r="H23" s="11">
        <f t="shared" si="0"/>
        <v>4.3910000000002469</v>
      </c>
      <c r="I23" s="31">
        <f t="shared" si="1"/>
        <v>-4.689000000000199</v>
      </c>
      <c r="J23" s="11">
        <f t="shared" si="2"/>
        <v>3.2230000000000842</v>
      </c>
      <c r="K23" s="11">
        <f t="shared" si="3"/>
        <v>9.0799999999999486</v>
      </c>
      <c r="L23" s="31">
        <f t="shared" si="4"/>
        <v>12.303000000000033</v>
      </c>
    </row>
    <row r="24" spans="1:12" x14ac:dyDescent="0.2">
      <c r="B24" s="32"/>
      <c r="C24" s="32"/>
      <c r="D24" s="32"/>
      <c r="E24" s="32"/>
      <c r="F24" s="32"/>
      <c r="H24" s="11"/>
      <c r="I24" s="31"/>
      <c r="J24" s="11"/>
      <c r="K24" s="11"/>
      <c r="L24" s="31"/>
    </row>
    <row r="25" spans="1:12" s="30" customFormat="1" x14ac:dyDescent="0.2">
      <c r="A25" s="30" t="str">
        <f>'Ind T1'!A11</f>
        <v>Business and other services</v>
      </c>
      <c r="B25" s="31">
        <f>'Ind T1'!B11</f>
        <v>333.41999999999996</v>
      </c>
      <c r="C25" s="31">
        <f>'Ind T1'!C11</f>
        <v>328.33300000000008</v>
      </c>
      <c r="D25" s="31">
        <f>'Ind T1'!D11</f>
        <v>317.27099999999996</v>
      </c>
      <c r="E25" s="31">
        <f>'Ind T1'!E11</f>
        <v>328.89399999999972</v>
      </c>
      <c r="F25" s="31">
        <f>'Ind T1'!F11</f>
        <v>348.23600000000027</v>
      </c>
      <c r="H25" s="31">
        <f t="shared" si="0"/>
        <v>-5.0869999999998754</v>
      </c>
      <c r="I25" s="31">
        <f t="shared" si="1"/>
        <v>-11.062000000000126</v>
      </c>
      <c r="J25" s="31">
        <f t="shared" si="2"/>
        <v>11.622999999999763</v>
      </c>
      <c r="K25" s="31">
        <f t="shared" si="3"/>
        <v>19.342000000000553</v>
      </c>
      <c r="L25" s="31">
        <f t="shared" si="4"/>
        <v>30.965000000000316</v>
      </c>
    </row>
    <row r="26" spans="1:12" x14ac:dyDescent="0.2">
      <c r="A26" s="10" t="str">
        <f>'Ind T2'!A16</f>
        <v>Media</v>
      </c>
      <c r="B26" s="11">
        <f>'Ind T2'!B16</f>
        <v>8.0879999999999921</v>
      </c>
      <c r="C26" s="11">
        <f>'Ind T2'!C16</f>
        <v>5.2880000000000056</v>
      </c>
      <c r="D26" s="11">
        <f>'Ind T2'!D16</f>
        <v>5.8570000000000055</v>
      </c>
      <c r="E26" s="11">
        <f>'Ind T2'!E16</f>
        <v>5.6490000000000027</v>
      </c>
      <c r="F26" s="11">
        <f>'Ind T2'!F16</f>
        <v>5.5190000000000046</v>
      </c>
      <c r="H26" s="11">
        <f t="shared" si="0"/>
        <v>-2.7999999999999865</v>
      </c>
      <c r="I26" s="31">
        <f t="shared" si="1"/>
        <v>0.56899999999999995</v>
      </c>
      <c r="J26" s="11">
        <f t="shared" si="2"/>
        <v>-0.20800000000000285</v>
      </c>
      <c r="K26" s="11">
        <f t="shared" si="3"/>
        <v>-0.12999999999999812</v>
      </c>
      <c r="L26" s="31">
        <f t="shared" si="4"/>
        <v>-0.33800000000000097</v>
      </c>
    </row>
    <row r="27" spans="1:12" x14ac:dyDescent="0.2">
      <c r="A27" s="10" t="str">
        <f>'Ind T2'!A17</f>
        <v>Information technology</v>
      </c>
      <c r="B27" s="11">
        <f>'Ind T2'!B17</f>
        <v>56.414999999999921</v>
      </c>
      <c r="C27" s="11">
        <f>'Ind T2'!C17</f>
        <v>55.774999999999906</v>
      </c>
      <c r="D27" s="11">
        <f>'Ind T2'!D17</f>
        <v>56.659000000000013</v>
      </c>
      <c r="E27" s="11">
        <f>'Ind T2'!E17</f>
        <v>60.912999999999911</v>
      </c>
      <c r="F27" s="11">
        <f>'Ind T2'!F17</f>
        <v>65.957000000000022</v>
      </c>
      <c r="H27" s="11">
        <f t="shared" si="0"/>
        <v>-0.64000000000001478</v>
      </c>
      <c r="I27" s="31">
        <f t="shared" si="1"/>
        <v>0.88400000000010692</v>
      </c>
      <c r="J27" s="11">
        <f t="shared" si="2"/>
        <v>4.2539999999998983</v>
      </c>
      <c r="K27" s="11">
        <f t="shared" si="3"/>
        <v>5.0440000000001106</v>
      </c>
      <c r="L27" s="31">
        <f t="shared" si="4"/>
        <v>9.2980000000000089</v>
      </c>
    </row>
    <row r="28" spans="1:12" x14ac:dyDescent="0.2">
      <c r="A28" s="10" t="str">
        <f>'Ind T2'!A18</f>
        <v>Finance and insurance</v>
      </c>
      <c r="B28" s="11">
        <f>'Ind T2'!B18</f>
        <v>23.736999999999977</v>
      </c>
      <c r="C28" s="11">
        <f>'Ind T2'!C18</f>
        <v>23.366999999999976</v>
      </c>
      <c r="D28" s="11">
        <f>'Ind T2'!D18</f>
        <v>23.575000000000031</v>
      </c>
      <c r="E28" s="11">
        <f>'Ind T2'!E18</f>
        <v>23.076000000000001</v>
      </c>
      <c r="F28" s="11">
        <f>'Ind T2'!F18</f>
        <v>21.528000000000002</v>
      </c>
      <c r="H28" s="11">
        <f t="shared" si="0"/>
        <v>-0.37000000000000099</v>
      </c>
      <c r="I28" s="31">
        <f t="shared" si="1"/>
        <v>0.20800000000005525</v>
      </c>
      <c r="J28" s="11">
        <f t="shared" si="2"/>
        <v>-0.49900000000003075</v>
      </c>
      <c r="K28" s="11">
        <f t="shared" si="3"/>
        <v>-1.5479999999999983</v>
      </c>
      <c r="L28" s="31">
        <f t="shared" si="4"/>
        <v>-2.047000000000029</v>
      </c>
    </row>
    <row r="29" spans="1:12" x14ac:dyDescent="0.2">
      <c r="A29" s="10" t="str">
        <f>'Ind T2'!A19</f>
        <v>Real estate</v>
      </c>
      <c r="B29" s="11">
        <f>'Ind T2'!B19</f>
        <v>15.012000000000006</v>
      </c>
      <c r="C29" s="11">
        <f>'Ind T2'!C19</f>
        <v>12.711000000000009</v>
      </c>
      <c r="D29" s="11">
        <f>'Ind T2'!D19</f>
        <v>15.229999999999997</v>
      </c>
      <c r="E29" s="11">
        <f>'Ind T2'!E19</f>
        <v>15.21399999999999</v>
      </c>
      <c r="F29" s="11">
        <f>'Ind T2'!F19</f>
        <v>16.954000000000004</v>
      </c>
      <c r="H29" s="11">
        <f t="shared" ref="H29:H31" si="9">C29-B29</f>
        <v>-2.3009999999999966</v>
      </c>
      <c r="I29" s="31">
        <f t="shared" ref="I29:I31" si="10">D29-C29</f>
        <v>2.5189999999999877</v>
      </c>
      <c r="J29" s="11">
        <f t="shared" ref="J29:J31" si="11">E29-D29</f>
        <v>-1.600000000000712E-2</v>
      </c>
      <c r="K29" s="11">
        <f t="shared" ref="K29:K31" si="12">F29-E29</f>
        <v>1.7400000000000144</v>
      </c>
      <c r="L29" s="31">
        <f t="shared" si="4"/>
        <v>1.7240000000000073</v>
      </c>
    </row>
    <row r="30" spans="1:12" x14ac:dyDescent="0.2">
      <c r="A30" s="10" t="str">
        <f>'Ind T2'!A20</f>
        <v>Professional services</v>
      </c>
      <c r="B30" s="11">
        <f>'Ind T2'!B20</f>
        <v>95.521000000000072</v>
      </c>
      <c r="C30" s="11">
        <f>'Ind T2'!C20</f>
        <v>100.13499999999985</v>
      </c>
      <c r="D30" s="11">
        <f>'Ind T2'!D20</f>
        <v>93.151999999999987</v>
      </c>
      <c r="E30" s="11">
        <f>'Ind T2'!E20</f>
        <v>97.504999999999754</v>
      </c>
      <c r="F30" s="11">
        <f>'Ind T2'!F20</f>
        <v>103.96000000000025</v>
      </c>
      <c r="H30" s="11">
        <f t="shared" si="9"/>
        <v>4.6139999999997769</v>
      </c>
      <c r="I30" s="31">
        <f t="shared" si="10"/>
        <v>-6.982999999999862</v>
      </c>
      <c r="J30" s="11">
        <f t="shared" si="11"/>
        <v>4.3529999999997671</v>
      </c>
      <c r="K30" s="11">
        <f t="shared" si="12"/>
        <v>6.4550000000004957</v>
      </c>
      <c r="L30" s="31">
        <f t="shared" si="4"/>
        <v>10.808000000000263</v>
      </c>
    </row>
    <row r="31" spans="1:12" x14ac:dyDescent="0.2">
      <c r="A31" s="10" t="str">
        <f>'Ind T2'!A21</f>
        <v>Support services</v>
      </c>
      <c r="B31" s="11">
        <f>'Ind T2'!B21</f>
        <v>70.014999999999958</v>
      </c>
      <c r="C31" s="11">
        <f>'Ind T2'!C21</f>
        <v>71.672000000000267</v>
      </c>
      <c r="D31" s="11">
        <f>'Ind T2'!D21</f>
        <v>65.049999999999855</v>
      </c>
      <c r="E31" s="11">
        <f>'Ind T2'!E21</f>
        <v>67.835000000000065</v>
      </c>
      <c r="F31" s="11">
        <f>'Ind T2'!F21</f>
        <v>72.852000000000018</v>
      </c>
      <c r="H31" s="11">
        <f t="shared" si="9"/>
        <v>1.6570000000003091</v>
      </c>
      <c r="I31" s="31">
        <f t="shared" si="10"/>
        <v>-6.622000000000412</v>
      </c>
      <c r="J31" s="11">
        <f t="shared" si="11"/>
        <v>2.7850000000002098</v>
      </c>
      <c r="K31" s="11">
        <f t="shared" si="12"/>
        <v>5.0169999999999533</v>
      </c>
      <c r="L31" s="31">
        <f t="shared" si="4"/>
        <v>7.802000000000163</v>
      </c>
    </row>
    <row r="32" spans="1:12" x14ac:dyDescent="0.2">
      <c r="A32" s="10" t="str">
        <f>'Ind T2'!A25</f>
        <v>Arts and entertainment</v>
      </c>
      <c r="B32" s="11">
        <f>'Ind T2'!B25</f>
        <v>31.62300000000009</v>
      </c>
      <c r="C32" s="11">
        <f>'Ind T2'!C25</f>
        <v>26.668999999999969</v>
      </c>
      <c r="D32" s="11">
        <f>'Ind T2'!D25</f>
        <v>26.262000000000008</v>
      </c>
      <c r="E32" s="11">
        <f>'Ind T2'!E25</f>
        <v>28.734999999999982</v>
      </c>
      <c r="F32" s="11">
        <f>'Ind T2'!F25</f>
        <v>31.827999999999964</v>
      </c>
      <c r="H32" s="11">
        <f t="shared" ref="H32" si="13">C32-B32</f>
        <v>-4.9540000000001214</v>
      </c>
      <c r="I32" s="31">
        <f t="shared" ref="I32:I33" si="14">D32-C32</f>
        <v>-0.40699999999996095</v>
      </c>
      <c r="J32" s="11">
        <f t="shared" ref="J32:J33" si="15">E32-D32</f>
        <v>2.4729999999999741</v>
      </c>
      <c r="K32" s="11">
        <f t="shared" ref="K32:K33" si="16">F32-E32</f>
        <v>3.0929999999999822</v>
      </c>
      <c r="L32" s="31">
        <f t="shared" si="4"/>
        <v>5.5659999999999563</v>
      </c>
    </row>
    <row r="33" spans="1:12" x14ac:dyDescent="0.2">
      <c r="A33" s="10" t="str">
        <f>'Ind T2'!A26</f>
        <v>Other services</v>
      </c>
      <c r="B33" s="11">
        <f>'Ind T2'!B26</f>
        <v>33.008999999999943</v>
      </c>
      <c r="C33" s="11">
        <f>'Ind T2'!C26</f>
        <v>32.716000000000093</v>
      </c>
      <c r="D33" s="11">
        <f>'Ind T2'!D26</f>
        <v>31.486000000000036</v>
      </c>
      <c r="E33" s="11">
        <f>'Ind T2'!E26</f>
        <v>29.967000000000031</v>
      </c>
      <c r="F33" s="11">
        <f>'Ind T2'!F26</f>
        <v>29.637999999999955</v>
      </c>
      <c r="H33" s="11">
        <f>C33-B33</f>
        <v>-0.29299999999985005</v>
      </c>
      <c r="I33" s="31">
        <f t="shared" si="14"/>
        <v>-1.2300000000000573</v>
      </c>
      <c r="J33" s="11">
        <f t="shared" si="15"/>
        <v>-1.5190000000000055</v>
      </c>
      <c r="K33" s="11">
        <f t="shared" si="16"/>
        <v>-0.32900000000007523</v>
      </c>
      <c r="L33" s="31">
        <f t="shared" si="4"/>
        <v>-1.8480000000000807</v>
      </c>
    </row>
    <row r="34" spans="1:12" x14ac:dyDescent="0.2">
      <c r="B34" s="32"/>
      <c r="C34" s="32"/>
      <c r="D34" s="32"/>
      <c r="E34" s="32"/>
      <c r="F34" s="32"/>
      <c r="H34" s="11"/>
      <c r="I34" s="31"/>
      <c r="J34" s="11"/>
      <c r="K34" s="11"/>
      <c r="L34" s="31"/>
    </row>
    <row r="35" spans="1:12" s="30" customFormat="1" x14ac:dyDescent="0.2">
      <c r="A35" s="30" t="str">
        <f>'Ind T1'!A12</f>
        <v>Non-marketed services</v>
      </c>
      <c r="B35" s="31">
        <f>'Ind T1'!B12</f>
        <v>200.03500000000005</v>
      </c>
      <c r="C35" s="31">
        <f>'Ind T1'!C12</f>
        <v>200.666</v>
      </c>
      <c r="D35" s="31">
        <f>'Ind T1'!D12</f>
        <v>198.11600000000001</v>
      </c>
      <c r="E35" s="31">
        <f>'Ind T1'!E12</f>
        <v>203.05900000000003</v>
      </c>
      <c r="F35" s="31">
        <f>'Ind T1'!F12</f>
        <v>205.95899999999992</v>
      </c>
      <c r="H35" s="31">
        <f t="shared" si="0"/>
        <v>0.63099999999994338</v>
      </c>
      <c r="I35" s="31">
        <f t="shared" si="1"/>
        <v>-2.5499999999999829</v>
      </c>
      <c r="J35" s="31">
        <f t="shared" si="2"/>
        <v>4.9430000000000121</v>
      </c>
      <c r="K35" s="31">
        <f t="shared" si="3"/>
        <v>2.899999999999892</v>
      </c>
      <c r="L35" s="31">
        <f t="shared" si="4"/>
        <v>7.842999999999904</v>
      </c>
    </row>
    <row r="36" spans="1:12" x14ac:dyDescent="0.2">
      <c r="A36" s="10" t="str">
        <f>'Ind T2'!A22</f>
        <v>Public admin. and defence</v>
      </c>
      <c r="B36" s="32">
        <f>'Ind T2'!B22</f>
        <v>27.583999999999975</v>
      </c>
      <c r="C36" s="32">
        <f>'Ind T2'!C22</f>
        <v>25.923000000000066</v>
      </c>
      <c r="D36" s="32">
        <f>'Ind T2'!D22</f>
        <v>26.430999999999951</v>
      </c>
      <c r="E36" s="32">
        <f>'Ind T2'!E22</f>
        <v>27.373999999999942</v>
      </c>
      <c r="F36" s="32">
        <f>'Ind T2'!F22</f>
        <v>26.992999999999988</v>
      </c>
      <c r="H36" s="11">
        <f t="shared" si="0"/>
        <v>-1.660999999999909</v>
      </c>
      <c r="I36" s="31">
        <f t="shared" si="1"/>
        <v>0.50799999999988543</v>
      </c>
      <c r="J36" s="11">
        <f t="shared" si="2"/>
        <v>0.94299999999999073</v>
      </c>
      <c r="K36" s="11">
        <f t="shared" si="3"/>
        <v>-0.38099999999995404</v>
      </c>
      <c r="L36" s="31">
        <f t="shared" si="4"/>
        <v>0.56200000000003669</v>
      </c>
    </row>
    <row r="37" spans="1:12" x14ac:dyDescent="0.2">
      <c r="A37" s="10" t="str">
        <f>'Ind T2'!A23</f>
        <v>Education</v>
      </c>
      <c r="B37" s="32">
        <f>'Ind T2'!B23</f>
        <v>80.112000000000052</v>
      </c>
      <c r="C37" s="32">
        <f>'Ind T2'!C23</f>
        <v>77.031999999999826</v>
      </c>
      <c r="D37" s="32">
        <f>'Ind T2'!D23</f>
        <v>75.115999999999929</v>
      </c>
      <c r="E37" s="32">
        <f>'Ind T2'!E23</f>
        <v>74.879000000000048</v>
      </c>
      <c r="F37" s="32">
        <f>'Ind T2'!F23</f>
        <v>76.568999999999875</v>
      </c>
      <c r="H37" s="11">
        <f t="shared" si="0"/>
        <v>-3.0800000000002257</v>
      </c>
      <c r="I37" s="31">
        <f t="shared" si="1"/>
        <v>-1.9159999999998973</v>
      </c>
      <c r="J37" s="11">
        <f t="shared" si="2"/>
        <v>-0.23699999999988108</v>
      </c>
      <c r="K37" s="11">
        <f t="shared" si="3"/>
        <v>1.6899999999998272</v>
      </c>
      <c r="L37" s="31">
        <f t="shared" si="4"/>
        <v>1.4529999999999461</v>
      </c>
    </row>
    <row r="38" spans="1:12" x14ac:dyDescent="0.2">
      <c r="A38" s="10" t="str">
        <f>'Ind T2'!A24</f>
        <v>Health and social work</v>
      </c>
      <c r="B38" s="32">
        <f>'Ind T2'!B24</f>
        <v>92.339000000000027</v>
      </c>
      <c r="C38" s="32">
        <f>'Ind T2'!C24</f>
        <v>97.711000000000098</v>
      </c>
      <c r="D38" s="32">
        <f>'Ind T2'!D24</f>
        <v>96.569000000000131</v>
      </c>
      <c r="E38" s="32">
        <f>'Ind T2'!E24</f>
        <v>100.80600000000005</v>
      </c>
      <c r="F38" s="32">
        <f>'Ind T2'!F24</f>
        <v>102.39700000000005</v>
      </c>
      <c r="H38" s="11">
        <f t="shared" si="0"/>
        <v>5.3720000000000709</v>
      </c>
      <c r="I38" s="31">
        <f t="shared" si="1"/>
        <v>-1.1419999999999675</v>
      </c>
      <c r="J38" s="11">
        <f t="shared" si="2"/>
        <v>4.2369999999999237</v>
      </c>
      <c r="K38" s="11">
        <f t="shared" si="3"/>
        <v>1.590999999999994</v>
      </c>
      <c r="L38" s="31">
        <f t="shared" si="4"/>
        <v>5.8279999999999177</v>
      </c>
    </row>
    <row r="39" spans="1:12" x14ac:dyDescent="0.2">
      <c r="B39" s="32"/>
      <c r="C39" s="32"/>
      <c r="D39" s="32"/>
      <c r="E39" s="32"/>
      <c r="F39" s="32"/>
      <c r="H39" s="11"/>
      <c r="I39" s="11"/>
      <c r="J39" s="11"/>
      <c r="K39" s="11"/>
      <c r="L39" s="31"/>
    </row>
    <row r="40" spans="1:12" x14ac:dyDescent="0.2">
      <c r="A40" s="39" t="str">
        <f>'Ind T1'!A14</f>
        <v>All industries</v>
      </c>
      <c r="B40" s="33">
        <f>'Ind T1'!B14</f>
        <v>865.00500000000011</v>
      </c>
      <c r="C40" s="33">
        <f>'Ind T1'!C14</f>
        <v>882.44900000000007</v>
      </c>
      <c r="D40" s="33">
        <f>'Ind T1'!D14</f>
        <v>864.63999999999976</v>
      </c>
      <c r="E40" s="33">
        <f>'Ind T1'!E14</f>
        <v>889.98</v>
      </c>
      <c r="F40" s="33">
        <f>'Ind T1'!F14</f>
        <v>925.47799999999995</v>
      </c>
      <c r="G40" s="24"/>
      <c r="H40" s="34">
        <f t="shared" si="0"/>
        <v>17.44399999999996</v>
      </c>
      <c r="I40" s="34">
        <f>D40-C40</f>
        <v>-17.80900000000031</v>
      </c>
      <c r="J40" s="34">
        <f>E40-D40</f>
        <v>25.340000000000259</v>
      </c>
      <c r="K40" s="34">
        <f>F40-E40</f>
        <v>35.497999999999934</v>
      </c>
      <c r="L40" s="205">
        <f t="shared" si="4"/>
        <v>60.838000000000193</v>
      </c>
    </row>
    <row r="44" spans="1:12" ht="15.75" x14ac:dyDescent="0.25">
      <c r="A44" s="19" t="str">
        <f>CONCATENATE(A1," (Continued)")</f>
        <v>Industry Table 4  Employment by Industry Group in Sector (SIC 2007), 2015-2035, Enterprise M3 (Continued)</v>
      </c>
    </row>
    <row r="46" spans="1:12" x14ac:dyDescent="0.2">
      <c r="L46" s="16" t="s">
        <v>21</v>
      </c>
    </row>
    <row r="47" spans="1:12" x14ac:dyDescent="0.2">
      <c r="A47" s="36"/>
      <c r="B47" s="28" t="s">
        <v>15</v>
      </c>
      <c r="C47" s="28"/>
      <c r="D47" s="28"/>
      <c r="E47" s="28"/>
      <c r="F47" s="28"/>
      <c r="G47" s="28"/>
      <c r="H47" s="28" t="s">
        <v>14</v>
      </c>
      <c r="I47" s="28"/>
      <c r="J47" s="28"/>
      <c r="K47" s="28"/>
      <c r="L47" s="28"/>
    </row>
    <row r="48" spans="1:12" x14ac:dyDescent="0.2">
      <c r="A48" s="24"/>
      <c r="B48" s="37" t="str">
        <f>H5</f>
        <v>2015-2019</v>
      </c>
      <c r="C48" s="37" t="str">
        <f>I5</f>
        <v>2019-2020</v>
      </c>
      <c r="D48" s="37" t="str">
        <f>J5</f>
        <v>2020-2025</v>
      </c>
      <c r="E48" s="37" t="str">
        <f>K5</f>
        <v>2025-2035</v>
      </c>
      <c r="F48" s="37" t="str">
        <f>L5</f>
        <v>2020-2035</v>
      </c>
      <c r="G48" s="41"/>
      <c r="H48" s="42">
        <f>B5</f>
        <v>2015</v>
      </c>
      <c r="I48" s="42">
        <f>C5</f>
        <v>2019</v>
      </c>
      <c r="J48" s="42">
        <f>D5</f>
        <v>2020</v>
      </c>
      <c r="K48" s="42">
        <f>E5</f>
        <v>2025</v>
      </c>
      <c r="L48" s="42">
        <f>F5</f>
        <v>2035</v>
      </c>
    </row>
    <row r="50" spans="1:12" s="30" customFormat="1" x14ac:dyDescent="0.2">
      <c r="A50" s="30" t="str">
        <f>A7</f>
        <v>Primary sector and utilities</v>
      </c>
      <c r="B50" s="44">
        <f>IF(AND(C$5-B$5 &lt;&gt; 0,B7&lt;&gt;0,C7&lt;&gt;0),(EXP(LN(C7/B7)/(C$5-B$5))-1)*100,0)</f>
        <v>-0.39910919896151142</v>
      </c>
      <c r="C50" s="44">
        <f t="shared" ref="B50:E54" si="17">IF(AND(D$5-C$5 &lt;&gt; 0,C7&lt;&gt;0,D7&lt;&gt;0),(EXP(LN(D7/C7)/(D$5-C$5))-1)*100,0)</f>
        <v>-8.7798374809547557</v>
      </c>
      <c r="D50" s="44">
        <f t="shared" si="17"/>
        <v>0.49340194822733441</v>
      </c>
      <c r="E50" s="44">
        <f t="shared" si="17"/>
        <v>0.4524143962671312</v>
      </c>
      <c r="F50" s="44">
        <f>IF(AND(F$5-D$5 &lt;&gt; 0,D7&lt;&gt;0,F7&lt;&gt;0),(EXP(LN(F7/D7)/(F$5-D$5))-1)*100,0)</f>
        <v>0.46607505577145325</v>
      </c>
      <c r="H50" s="44">
        <f>(B7/B$40)*100</f>
        <v>1.8503939283587938</v>
      </c>
      <c r="I50" s="44">
        <f>(C7/C$40)*100</f>
        <v>1.7850323361463389</v>
      </c>
      <c r="J50" s="44">
        <f>(D7/D$40)*100</f>
        <v>1.6618477054034069</v>
      </c>
      <c r="K50" s="44">
        <f>(E7/E$40)*100</f>
        <v>1.6547562866581274</v>
      </c>
      <c r="L50" s="44">
        <f>(F7/F$40)*100</f>
        <v>1.6647613449482304</v>
      </c>
    </row>
    <row r="51" spans="1:12" x14ac:dyDescent="0.2">
      <c r="A51" t="str">
        <f>A8</f>
        <v>Agriculture</v>
      </c>
      <c r="B51" s="40">
        <f t="shared" si="17"/>
        <v>2.6849695260666939</v>
      </c>
      <c r="C51" s="44">
        <f t="shared" si="17"/>
        <v>-21.377197655833623</v>
      </c>
      <c r="D51" s="40">
        <f t="shared" si="17"/>
        <v>0.71147084903928626</v>
      </c>
      <c r="E51" s="40">
        <f t="shared" si="17"/>
        <v>0.27135181765862715</v>
      </c>
      <c r="F51" s="44">
        <f t="shared" ref="F51:F83" si="18">IF(AND(F$5-D$5 &lt;&gt; 0,D8&lt;&gt;0,F8&lt;&gt;0),(EXP(LN(F8/D8)/(F$5-D$5))-1)*100,0)</f>
        <v>0.41784403826530259</v>
      </c>
      <c r="H51" s="40">
        <f t="shared" ref="H51:L54" si="19">(B8/B$7)*100</f>
        <v>42.190428589278987</v>
      </c>
      <c r="I51" s="40">
        <f t="shared" si="19"/>
        <v>47.663788725241304</v>
      </c>
      <c r="J51" s="40">
        <f t="shared" si="19"/>
        <v>41.081494884821602</v>
      </c>
      <c r="K51" s="40">
        <f t="shared" si="19"/>
        <v>41.529164120323152</v>
      </c>
      <c r="L51" s="40">
        <f t="shared" si="19"/>
        <v>40.786655416369157</v>
      </c>
    </row>
    <row r="52" spans="1:12" x14ac:dyDescent="0.2">
      <c r="A52" t="str">
        <f>A9</f>
        <v>Mining and quarrying</v>
      </c>
      <c r="B52" s="40">
        <f>IF(AND(C$5-B$5 &lt;&gt; 0,B9&lt;&gt;0,C9&lt;&gt;0),(EXP(LN(C9/B9)/(C$5-B$5))-1)*100,0)</f>
        <v>25.238291125719048</v>
      </c>
      <c r="C52" s="44">
        <f t="shared" si="17"/>
        <v>-28.74806800618228</v>
      </c>
      <c r="D52" s="40">
        <f t="shared" si="17"/>
        <v>-2.2699368725308311</v>
      </c>
      <c r="E52" s="40">
        <f t="shared" si="17"/>
        <v>-1.152901376722959</v>
      </c>
      <c r="F52" s="44">
        <f t="shared" si="18"/>
        <v>-1.5266579940480751</v>
      </c>
      <c r="H52" s="40">
        <f t="shared" si="19"/>
        <v>1.643133824815695</v>
      </c>
      <c r="I52" s="40">
        <f t="shared" si="19"/>
        <v>4.1074149314372681</v>
      </c>
      <c r="J52" s="40">
        <f t="shared" si="19"/>
        <v>3.2082956364395532</v>
      </c>
      <c r="K52" s="40">
        <f t="shared" si="19"/>
        <v>2.7907924220818816</v>
      </c>
      <c r="L52" s="40">
        <f t="shared" si="19"/>
        <v>2.375543584085158</v>
      </c>
    </row>
    <row r="53" spans="1:12" x14ac:dyDescent="0.2">
      <c r="A53" t="str">
        <f>A10</f>
        <v>Electricity and gas</v>
      </c>
      <c r="B53" s="40">
        <f t="shared" si="17"/>
        <v>-14.448139196358889</v>
      </c>
      <c r="C53" s="44">
        <f t="shared" si="17"/>
        <v>25.46296296296331</v>
      </c>
      <c r="D53" s="40">
        <f t="shared" si="17"/>
        <v>-0.62451513081560606</v>
      </c>
      <c r="E53" s="40">
        <f t="shared" si="17"/>
        <v>7.8590121305555094E-2</v>
      </c>
      <c r="F53" s="44">
        <f t="shared" si="18"/>
        <v>-0.15632930257701849</v>
      </c>
      <c r="H53" s="40">
        <f t="shared" si="19"/>
        <v>35.268024490815932</v>
      </c>
      <c r="I53" s="40">
        <f t="shared" si="19"/>
        <v>19.197562214321938</v>
      </c>
      <c r="J53" s="40">
        <f t="shared" si="19"/>
        <v>26.404064305101244</v>
      </c>
      <c r="K53" s="40">
        <f t="shared" si="19"/>
        <v>24.967746316289812</v>
      </c>
      <c r="L53" s="40">
        <f t="shared" si="19"/>
        <v>24.054001427922437</v>
      </c>
    </row>
    <row r="54" spans="1:12" x14ac:dyDescent="0.2">
      <c r="A54" t="str">
        <f>A11</f>
        <v>Water and sewerage</v>
      </c>
      <c r="B54" s="40">
        <f t="shared" si="17"/>
        <v>8.1312615389379737</v>
      </c>
      <c r="C54" s="44">
        <f t="shared" si="17"/>
        <v>-7.9160288650778625</v>
      </c>
      <c r="D54" s="40">
        <f t="shared" si="17"/>
        <v>1.4397731360194399</v>
      </c>
      <c r="E54" s="40">
        <f t="shared" si="17"/>
        <v>1.1102252919154454</v>
      </c>
      <c r="F54" s="44">
        <f t="shared" si="18"/>
        <v>1.2199554452501093</v>
      </c>
      <c r="H54" s="40">
        <f t="shared" si="19"/>
        <v>20.898413095089371</v>
      </c>
      <c r="I54" s="40">
        <f t="shared" si="19"/>
        <v>29.031234128999493</v>
      </c>
      <c r="J54" s="40">
        <f t="shared" si="19"/>
        <v>29.30614517363761</v>
      </c>
      <c r="K54" s="40">
        <f t="shared" si="19"/>
        <v>30.71229714130515</v>
      </c>
      <c r="L54" s="40">
        <f t="shared" si="19"/>
        <v>32.783799571623263</v>
      </c>
    </row>
    <row r="55" spans="1:12" x14ac:dyDescent="0.2">
      <c r="B55" s="40"/>
      <c r="C55" s="44"/>
      <c r="D55" s="40"/>
      <c r="E55" s="40"/>
      <c r="F55" s="44"/>
      <c r="H55" s="40"/>
      <c r="I55" s="40"/>
      <c r="J55" s="40"/>
      <c r="K55" s="40"/>
      <c r="L55" s="40"/>
    </row>
    <row r="56" spans="1:12" s="30" customFormat="1" x14ac:dyDescent="0.2">
      <c r="A56" s="30" t="str">
        <f>A13</f>
        <v>Manufacturing</v>
      </c>
      <c r="B56" s="44">
        <f t="shared" ref="B56:E59" si="20">IF(AND(C$5-B$5 &lt;&gt; 0,B13&lt;&gt;0,C13&lt;&gt;0),(EXP(LN(C13/B13)/(C$5-B$5))-1)*100,0)</f>
        <v>1.7034401295474622</v>
      </c>
      <c r="C56" s="44">
        <f t="shared" si="20"/>
        <v>-1.0814939894664644</v>
      </c>
      <c r="D56" s="44">
        <f t="shared" si="20"/>
        <v>-0.9494132068293859</v>
      </c>
      <c r="E56" s="44">
        <f t="shared" si="20"/>
        <v>-1.0913730619290907</v>
      </c>
      <c r="F56" s="44">
        <f t="shared" si="18"/>
        <v>-1.0440757310475779</v>
      </c>
      <c r="H56" s="44">
        <f>(B13/B$40)*100</f>
        <v>5.3752290449188198</v>
      </c>
      <c r="I56" s="44">
        <f>(C13/C$40)*100</f>
        <v>5.6372662896099381</v>
      </c>
      <c r="J56" s="44">
        <f>(D13/D$40)*100</f>
        <v>5.6911547002220608</v>
      </c>
      <c r="K56" s="44">
        <f>(E13/E$40)*100</f>
        <v>5.2715791366098044</v>
      </c>
      <c r="L56" s="44">
        <f>(F13/F$40)*100</f>
        <v>4.5425174882601302</v>
      </c>
    </row>
    <row r="57" spans="1:12" x14ac:dyDescent="0.2">
      <c r="A57" t="str">
        <f>A14</f>
        <v>Food drink and tobacco</v>
      </c>
      <c r="B57" s="40">
        <f t="shared" si="20"/>
        <v>5.0712745669556636</v>
      </c>
      <c r="C57" s="44">
        <f t="shared" si="20"/>
        <v>-0.40494938132716873</v>
      </c>
      <c r="D57" s="40">
        <f t="shared" si="20"/>
        <v>1.9131827568589443</v>
      </c>
      <c r="E57" s="40">
        <f t="shared" si="20"/>
        <v>1.039015796824283</v>
      </c>
      <c r="F57" s="44">
        <f t="shared" si="18"/>
        <v>1.3295684553941367</v>
      </c>
      <c r="H57" s="40">
        <f t="shared" ref="H57:L59" si="21">(B14/B$13)*100</f>
        <v>7.8436854783207126</v>
      </c>
      <c r="I57" s="40">
        <f t="shared" si="21"/>
        <v>8.935391790294684</v>
      </c>
      <c r="J57" s="40">
        <f t="shared" si="21"/>
        <v>8.996504633392945</v>
      </c>
      <c r="K57" s="40">
        <f t="shared" si="21"/>
        <v>10.373859664080484</v>
      </c>
      <c r="L57" s="40">
        <f t="shared" si="21"/>
        <v>12.83777354900093</v>
      </c>
    </row>
    <row r="58" spans="1:12" x14ac:dyDescent="0.2">
      <c r="A58" t="str">
        <f>A15</f>
        <v>Engineering</v>
      </c>
      <c r="B58" s="40">
        <f t="shared" si="20"/>
        <v>2.6429923717098402</v>
      </c>
      <c r="C58" s="44">
        <f t="shared" si="20"/>
        <v>-2.8945931185145324</v>
      </c>
      <c r="D58" s="40">
        <f t="shared" si="20"/>
        <v>-0.72223262612929329</v>
      </c>
      <c r="E58" s="40">
        <f t="shared" si="20"/>
        <v>-2.1441685131300625</v>
      </c>
      <c r="F58" s="44">
        <f t="shared" si="18"/>
        <v>-1.6724673113846067</v>
      </c>
      <c r="H58" s="40">
        <f t="shared" si="21"/>
        <v>24.834394356503751</v>
      </c>
      <c r="I58" s="40">
        <f t="shared" si="21"/>
        <v>25.764885618944248</v>
      </c>
      <c r="J58" s="40">
        <f t="shared" si="21"/>
        <v>25.29263534384652</v>
      </c>
      <c r="K58" s="40">
        <f t="shared" si="21"/>
        <v>25.58402250831276</v>
      </c>
      <c r="L58" s="40">
        <f t="shared" si="21"/>
        <v>22.987630827783068</v>
      </c>
    </row>
    <row r="59" spans="1:12" x14ac:dyDescent="0.2">
      <c r="A59" t="str">
        <f>A16</f>
        <v>Rest of manufacturing</v>
      </c>
      <c r="B59" s="40">
        <f t="shared" si="20"/>
        <v>0.93094829482200936</v>
      </c>
      <c r="C59" s="44">
        <f t="shared" si="20"/>
        <v>-0.45868735377412317</v>
      </c>
      <c r="D59" s="40">
        <f t="shared" si="20"/>
        <v>-1.4576852661827178</v>
      </c>
      <c r="E59" s="40">
        <f t="shared" si="20"/>
        <v>-1.0709318025425407</v>
      </c>
      <c r="F59" s="44">
        <f t="shared" si="18"/>
        <v>-1.2000179867624916</v>
      </c>
      <c r="H59" s="40">
        <f t="shared" si="21"/>
        <v>67.321920165175527</v>
      </c>
      <c r="I59" s="40">
        <f t="shared" si="21"/>
        <v>65.299722590761064</v>
      </c>
      <c r="J59" s="40">
        <f t="shared" si="21"/>
        <v>65.710860022760542</v>
      </c>
      <c r="K59" s="40">
        <f t="shared" si="21"/>
        <v>64.042117827606745</v>
      </c>
      <c r="L59" s="40">
        <f t="shared" si="21"/>
        <v>64.174595623216007</v>
      </c>
    </row>
    <row r="60" spans="1:12" x14ac:dyDescent="0.2">
      <c r="B60" s="40"/>
      <c r="C60" s="44"/>
      <c r="D60" s="40"/>
      <c r="E60" s="40"/>
      <c r="F60" s="44"/>
      <c r="H60" s="40"/>
      <c r="I60" s="40"/>
      <c r="J60" s="40"/>
      <c r="K60" s="40"/>
      <c r="L60" s="40"/>
    </row>
    <row r="61" spans="1:12" s="30" customFormat="1" x14ac:dyDescent="0.2">
      <c r="A61" s="30" t="str">
        <f>A18</f>
        <v>Construction</v>
      </c>
      <c r="B61" s="44">
        <f>IF(AND(C$5-B$5 &lt;&gt; 0,B18&lt;&gt;0,C18&lt;&gt;0),(EXP(LN(C18/B18)/(C$5-B$5))-1)*100,0)</f>
        <v>2.4473059321639345</v>
      </c>
      <c r="C61" s="44">
        <f>IF(AND(D$5-C$5 &lt;&gt; 0,C18&lt;&gt;0,D18&lt;&gt;0),(EXP(LN(D18/C18)/(D$5-C$5))-1)*100,0)</f>
        <v>3.0733526730208016</v>
      </c>
      <c r="D61" s="44">
        <f>IF(AND(E$5-D$5 &lt;&gt; 0,D18&lt;&gt;0,E18&lt;&gt;0),(EXP(LN(E18/D18)/(E$5-D$5))-1)*100,0)</f>
        <v>1.4039187735366054</v>
      </c>
      <c r="E61" s="44">
        <f>IF(AND(F$5-E$5 &lt;&gt; 0,E18&lt;&gt;0,F18&lt;&gt;0),(EXP(LN(F18/E18)/(F$5-E$5))-1)*100,0)</f>
        <v>0.83588015001205829</v>
      </c>
      <c r="F61" s="44">
        <f t="shared" si="18"/>
        <v>1.0248719185084632</v>
      </c>
      <c r="H61" s="44">
        <f>(B18/B$40)*100</f>
        <v>6.3310616701637734</v>
      </c>
      <c r="I61" s="44">
        <f>(C18/C$40)*100</f>
        <v>6.8360891110987758</v>
      </c>
      <c r="J61" s="44">
        <f>(D18/D$40)*100</f>
        <v>7.1913166173204868</v>
      </c>
      <c r="K61" s="44">
        <f>(E18/E$40)*100</f>
        <v>7.4909548529180858</v>
      </c>
      <c r="L61" s="44">
        <f>(F18/F$40)*100</f>
        <v>7.8289273218812214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A20</f>
        <v>Trade, accomod. and transport</v>
      </c>
      <c r="B63" s="44">
        <f t="shared" ref="B63:E66" si="22">IF(AND(C$5-B$5 &lt;&gt; 0,B20&lt;&gt;0,C20&lt;&gt;0),(EXP(LN(C20/B20)/(C$5-B$5))-1)*100,0)</f>
        <v>1.52161257463721</v>
      </c>
      <c r="C63" s="44">
        <f t="shared" si="22"/>
        <v>-1.8143717573047446</v>
      </c>
      <c r="D63" s="44">
        <f t="shared" si="22"/>
        <v>0.55042474510655914</v>
      </c>
      <c r="E63" s="44">
        <f t="shared" si="22"/>
        <v>0.49655712568974497</v>
      </c>
      <c r="F63" s="44">
        <f t="shared" si="18"/>
        <v>0.51450979158045307</v>
      </c>
      <c r="H63" s="44">
        <f>(B20/B$40)*100</f>
        <v>24.772573568938885</v>
      </c>
      <c r="I63" s="44">
        <f>(C20/C$40)*100</f>
        <v>25.79491845987701</v>
      </c>
      <c r="J63" s="44">
        <f>(D20/D$40)*100</f>
        <v>25.848561250925243</v>
      </c>
      <c r="K63" s="44">
        <f>(E20/E$40)*100</f>
        <v>25.811366547562859</v>
      </c>
      <c r="L63" s="44">
        <f>(F20/F$40)*100</f>
        <v>26.081765314788651</v>
      </c>
    </row>
    <row r="64" spans="1:12" x14ac:dyDescent="0.2">
      <c r="A64" t="str">
        <f>A21</f>
        <v>Wholesale and retail trade</v>
      </c>
      <c r="B64" s="40">
        <f t="shared" si="22"/>
        <v>1.3559102790674293</v>
      </c>
      <c r="C64" s="44">
        <f t="shared" si="22"/>
        <v>2.3812354191122598</v>
      </c>
      <c r="D64" s="40">
        <f t="shared" si="22"/>
        <v>0.21518379684009048</v>
      </c>
      <c r="E64" s="40">
        <f t="shared" si="22"/>
        <v>0.15272814049080985</v>
      </c>
      <c r="F64" s="44">
        <f t="shared" si="18"/>
        <v>0.17354236659408162</v>
      </c>
      <c r="H64" s="40">
        <f t="shared" ref="H64:L66" si="23">(B21/B$20)*100</f>
        <v>59.516809467809061</v>
      </c>
      <c r="I64" s="40">
        <f t="shared" si="23"/>
        <v>59.129189419532857</v>
      </c>
      <c r="J64" s="40">
        <f t="shared" si="23"/>
        <v>61.655861152498723</v>
      </c>
      <c r="K64" s="40">
        <f t="shared" si="23"/>
        <v>60.634870884048134</v>
      </c>
      <c r="L64" s="40">
        <f t="shared" si="23"/>
        <v>58.592018427299578</v>
      </c>
    </row>
    <row r="65" spans="1:12" x14ac:dyDescent="0.2">
      <c r="A65" t="str">
        <f>A22</f>
        <v>Transport and storage</v>
      </c>
      <c r="B65" s="40">
        <f>IF(AND(C$5-B$5 &lt;&gt; 0,B22&lt;&gt;0,C22&lt;&gt;0),(EXP(LN(C22/B22)/(C$5-B$5))-1)*100,0)</f>
        <v>1.5366829206059807</v>
      </c>
      <c r="C65" s="44">
        <f t="shared" si="22"/>
        <v>-8.2715933602171674</v>
      </c>
      <c r="D65" s="40">
        <f t="shared" si="22"/>
        <v>1.0066880194275152</v>
      </c>
      <c r="E65" s="40">
        <f t="shared" si="22"/>
        <v>0.14267848914768511</v>
      </c>
      <c r="F65" s="44">
        <f t="shared" si="18"/>
        <v>0.42985733679654636</v>
      </c>
      <c r="H65" s="40">
        <f t="shared" si="23"/>
        <v>14.044912359298909</v>
      </c>
      <c r="I65" s="40">
        <f t="shared" si="23"/>
        <v>14.053253787995198</v>
      </c>
      <c r="J65" s="40">
        <f t="shared" si="23"/>
        <v>13.129035289064278</v>
      </c>
      <c r="K65" s="40">
        <f t="shared" si="23"/>
        <v>13.429626147068527</v>
      </c>
      <c r="L65" s="40">
        <f t="shared" si="23"/>
        <v>12.964152108078085</v>
      </c>
    </row>
    <row r="66" spans="1:12" x14ac:dyDescent="0.2">
      <c r="A66" t="str">
        <f>A23</f>
        <v>Accommodation and food</v>
      </c>
      <c r="B66" s="40">
        <f t="shared" si="22"/>
        <v>1.8837725923173565</v>
      </c>
      <c r="C66" s="44">
        <f t="shared" si="22"/>
        <v>-7.6813446038925814</v>
      </c>
      <c r="D66" s="40">
        <f t="shared" si="22"/>
        <v>1.1185173624076228</v>
      </c>
      <c r="E66" s="40">
        <f t="shared" si="22"/>
        <v>1.4286214352416282</v>
      </c>
      <c r="F66" s="44">
        <f t="shared" si="18"/>
        <v>1.325147887156608</v>
      </c>
      <c r="H66" s="40">
        <f t="shared" si="23"/>
        <v>26.438278172892023</v>
      </c>
      <c r="I66" s="40">
        <f t="shared" si="23"/>
        <v>26.817556792471947</v>
      </c>
      <c r="J66" s="40">
        <f t="shared" si="23"/>
        <v>25.215103558437001</v>
      </c>
      <c r="K66" s="40">
        <f t="shared" si="23"/>
        <v>25.935502968883334</v>
      </c>
      <c r="L66" s="40">
        <f t="shared" si="23"/>
        <v>28.443829464622343</v>
      </c>
    </row>
    <row r="67" spans="1:12" x14ac:dyDescent="0.2">
      <c r="B67" s="40"/>
      <c r="C67" s="44"/>
      <c r="D67" s="40"/>
      <c r="E67" s="40"/>
      <c r="F67" s="44"/>
      <c r="H67" s="40"/>
      <c r="I67" s="40"/>
      <c r="J67" s="40"/>
      <c r="K67" s="40"/>
      <c r="L67" s="40"/>
    </row>
    <row r="68" spans="1:12" s="30" customFormat="1" x14ac:dyDescent="0.2">
      <c r="A68" s="30" t="str">
        <f>A25</f>
        <v>Business and other services</v>
      </c>
      <c r="B68" s="44">
        <f t="shared" ref="B68:E71" si="24">IF(AND(C$5-B$5 &lt;&gt; 0,B25&lt;&gt;0,C25&lt;&gt;0),(EXP(LN(C25/B25)/(C$5-B$5))-1)*100,0)</f>
        <v>-0.38362774251264886</v>
      </c>
      <c r="C68" s="44">
        <f t="shared" si="24"/>
        <v>-3.3691404762847821</v>
      </c>
      <c r="D68" s="44">
        <f t="shared" si="24"/>
        <v>0.72217947151986817</v>
      </c>
      <c r="E68" s="44">
        <f t="shared" si="24"/>
        <v>0.57308488887206632</v>
      </c>
      <c r="F68" s="44">
        <f t="shared" si="18"/>
        <v>0.62275854492910288</v>
      </c>
      <c r="H68" s="44">
        <f>(B25/B$40)*100</f>
        <v>38.545441933861646</v>
      </c>
      <c r="I68" s="44">
        <f>(C25/C$40)*100</f>
        <v>37.207022728792268</v>
      </c>
      <c r="J68" s="44">
        <f>(D25/D$40)*100</f>
        <v>36.693999814951894</v>
      </c>
      <c r="K68" s="44">
        <f>(E25/E$40)*100</f>
        <v>36.955212476684842</v>
      </c>
      <c r="L68" s="44">
        <f>(F25/F$40)*100</f>
        <v>37.627690771687746</v>
      </c>
    </row>
    <row r="69" spans="1:12" x14ac:dyDescent="0.2">
      <c r="A69" t="str">
        <f>A26</f>
        <v>Media</v>
      </c>
      <c r="B69" s="40">
        <f t="shared" si="24"/>
        <v>-10.078700192463351</v>
      </c>
      <c r="C69" s="44">
        <f t="shared" si="24"/>
        <v>10.760211800302555</v>
      </c>
      <c r="D69" s="40">
        <f t="shared" si="24"/>
        <v>-0.7205711225576783</v>
      </c>
      <c r="E69" s="40">
        <f t="shared" si="24"/>
        <v>-0.23254772670515678</v>
      </c>
      <c r="F69" s="44">
        <f t="shared" si="18"/>
        <v>-0.39548816181389501</v>
      </c>
      <c r="H69" s="40">
        <f t="shared" ref="H69:L71" si="25">(B26/B$25)*100</f>
        <v>2.4257692999820026</v>
      </c>
      <c r="I69" s="40">
        <f t="shared" si="25"/>
        <v>1.6105600107208244</v>
      </c>
      <c r="J69" s="40">
        <f t="shared" si="25"/>
        <v>1.8460558954332433</v>
      </c>
      <c r="K69" s="40">
        <f t="shared" si="25"/>
        <v>1.7175746593127292</v>
      </c>
      <c r="L69" s="40">
        <f t="shared" si="25"/>
        <v>1.5848447604498099</v>
      </c>
    </row>
    <row r="70" spans="1:12" x14ac:dyDescent="0.2">
      <c r="A70" t="str">
        <f>A27</f>
        <v>Information technology</v>
      </c>
      <c r="B70" s="40">
        <f t="shared" si="24"/>
        <v>-0.28482710252055732</v>
      </c>
      <c r="C70" s="44">
        <f t="shared" si="24"/>
        <v>1.5849394890185664</v>
      </c>
      <c r="D70" s="40">
        <f t="shared" si="24"/>
        <v>1.4584485011275961</v>
      </c>
      <c r="E70" s="40">
        <f t="shared" si="24"/>
        <v>0.79873699825838695</v>
      </c>
      <c r="F70" s="44">
        <f t="shared" si="18"/>
        <v>1.0181628242748042</v>
      </c>
      <c r="H70" s="40">
        <f t="shared" si="25"/>
        <v>16.92010077379879</v>
      </c>
      <c r="I70" s="40">
        <f t="shared" si="25"/>
        <v>16.987326890687164</v>
      </c>
      <c r="J70" s="40">
        <f t="shared" si="25"/>
        <v>17.858234758298117</v>
      </c>
      <c r="K70" s="40">
        <f t="shared" si="25"/>
        <v>18.520556775131187</v>
      </c>
      <c r="L70" s="40">
        <f t="shared" si="25"/>
        <v>18.940316337196606</v>
      </c>
    </row>
    <row r="71" spans="1:12" x14ac:dyDescent="0.2">
      <c r="A71" t="str">
        <f>A28</f>
        <v>Finance and insurance</v>
      </c>
      <c r="B71" s="40">
        <f t="shared" si="24"/>
        <v>-0.39198576205571323</v>
      </c>
      <c r="C71" s="44">
        <f t="shared" si="24"/>
        <v>0.89014422048210307</v>
      </c>
      <c r="D71" s="40">
        <f t="shared" si="24"/>
        <v>-0.42696016482631771</v>
      </c>
      <c r="E71" s="40">
        <f t="shared" si="24"/>
        <v>-0.69198173354024783</v>
      </c>
      <c r="F71" s="44">
        <f t="shared" si="18"/>
        <v>-0.60371967860198827</v>
      </c>
      <c r="H71" s="40">
        <f t="shared" si="25"/>
        <v>7.1192489952612261</v>
      </c>
      <c r="I71" s="40">
        <f t="shared" si="25"/>
        <v>7.1168600171167595</v>
      </c>
      <c r="J71" s="40">
        <f t="shared" si="25"/>
        <v>7.4305562121971551</v>
      </c>
      <c r="K71" s="40">
        <f t="shared" si="25"/>
        <v>7.0162423151532165</v>
      </c>
      <c r="L71" s="40">
        <f t="shared" si="25"/>
        <v>6.1820144959165582</v>
      </c>
    </row>
    <row r="72" spans="1:12" x14ac:dyDescent="0.2">
      <c r="A72" t="str">
        <f t="shared" ref="A72:A76" si="26">A29</f>
        <v>Real estate</v>
      </c>
      <c r="B72" s="40">
        <f t="shared" ref="B72:E72" si="27">IF(AND(C$5-B$5 &lt;&gt; 0,B29&lt;&gt;0,C29&lt;&gt;0),(EXP(LN(C29/B29)/(C$5-B$5))-1)*100,0)</f>
        <v>-4.0742307153450286</v>
      </c>
      <c r="C72" s="44">
        <f t="shared" si="27"/>
        <v>19.817480922035923</v>
      </c>
      <c r="D72" s="40">
        <f t="shared" si="27"/>
        <v>-2.1019997128202128E-2</v>
      </c>
      <c r="E72" s="40">
        <f t="shared" si="27"/>
        <v>1.0887617140434402</v>
      </c>
      <c r="F72" s="44">
        <f t="shared" si="18"/>
        <v>0.7174724368534946</v>
      </c>
      <c r="H72" s="40">
        <f t="shared" ref="H72:L72" si="28">(B29/B$25)*100</f>
        <v>4.5024293683642274</v>
      </c>
      <c r="I72" s="40">
        <f t="shared" si="28"/>
        <v>3.8713744887050665</v>
      </c>
      <c r="J72" s="40">
        <f t="shared" si="28"/>
        <v>4.800312666458642</v>
      </c>
      <c r="K72" s="40">
        <f t="shared" si="28"/>
        <v>4.6258064908450756</v>
      </c>
      <c r="L72" s="40">
        <f t="shared" si="28"/>
        <v>4.8685374286403444</v>
      </c>
    </row>
    <row r="73" spans="1:12" x14ac:dyDescent="0.2">
      <c r="A73" t="str">
        <f t="shared" si="26"/>
        <v>Professional services</v>
      </c>
      <c r="B73" s="40">
        <f t="shared" ref="B73:E73" si="29">IF(AND(C$5-B$5 &lt;&gt; 0,B30&lt;&gt;0,C30&lt;&gt;0),(EXP(LN(C30/B30)/(C$5-B$5))-1)*100,0)</f>
        <v>1.1863104254201451</v>
      </c>
      <c r="C73" s="44">
        <f t="shared" si="29"/>
        <v>-6.9735856593597383</v>
      </c>
      <c r="D73" s="40">
        <f t="shared" si="29"/>
        <v>0.91760625146724006</v>
      </c>
      <c r="E73" s="40">
        <f t="shared" si="29"/>
        <v>0.64308447600260887</v>
      </c>
      <c r="F73" s="44">
        <f t="shared" si="18"/>
        <v>0.7345086596098227</v>
      </c>
      <c r="H73" s="40">
        <f t="shared" ref="H73:L73" si="30">(B30/B$25)*100</f>
        <v>28.648851298662375</v>
      </c>
      <c r="I73" s="40">
        <f t="shared" si="30"/>
        <v>30.498000505584216</v>
      </c>
      <c r="J73" s="40">
        <f t="shared" si="30"/>
        <v>29.360389068020716</v>
      </c>
      <c r="K73" s="40">
        <f t="shared" si="30"/>
        <v>29.646329820550037</v>
      </c>
      <c r="L73" s="40">
        <f t="shared" si="30"/>
        <v>29.853317864896269</v>
      </c>
    </row>
    <row r="74" spans="1:12" x14ac:dyDescent="0.2">
      <c r="A74" t="str">
        <f t="shared" si="26"/>
        <v>Support services</v>
      </c>
      <c r="B74" s="40">
        <f t="shared" ref="B74:E74" si="31">IF(AND(C$5-B$5 &lt;&gt; 0,B31&lt;&gt;0,C31&lt;&gt;0),(EXP(LN(C31/B31)/(C$5-B$5))-1)*100,0)</f>
        <v>0.58647935766913406</v>
      </c>
      <c r="C74" s="44">
        <f t="shared" si="31"/>
        <v>-9.2393124232620689</v>
      </c>
      <c r="D74" s="40">
        <f t="shared" si="31"/>
        <v>0.84196638547038294</v>
      </c>
      <c r="E74" s="40">
        <f t="shared" si="31"/>
        <v>0.71606859762076702</v>
      </c>
      <c r="F74" s="44">
        <f t="shared" si="18"/>
        <v>0.75801705285813981</v>
      </c>
      <c r="H74" s="40">
        <f>(B31/B$25)*100</f>
        <v>20.99904024953511</v>
      </c>
      <c r="I74" s="40">
        <f t="shared" ref="I74:L74" si="32">(C31/C$25)*100</f>
        <v>21.829057694474894</v>
      </c>
      <c r="J74" s="40">
        <f t="shared" si="32"/>
        <v>20.502976950304273</v>
      </c>
      <c r="K74" s="40">
        <f t="shared" si="32"/>
        <v>20.625186230214027</v>
      </c>
      <c r="L74" s="40">
        <f t="shared" si="32"/>
        <v>20.920295431833573</v>
      </c>
    </row>
    <row r="75" spans="1:12" x14ac:dyDescent="0.2">
      <c r="A75" t="str">
        <f t="shared" si="26"/>
        <v>Arts and entertainment</v>
      </c>
      <c r="B75" s="40">
        <f t="shared" ref="B75:E75" si="33">IF(AND(C$5-B$5 &lt;&gt; 0,B32&lt;&gt;0,C32&lt;&gt;0),(EXP(LN(C32/B32)/(C$5-B$5))-1)*100,0)</f>
        <v>-4.1701262854960897</v>
      </c>
      <c r="C75" s="44">
        <f t="shared" si="33"/>
        <v>-1.5261164648091796</v>
      </c>
      <c r="D75" s="40">
        <f t="shared" si="33"/>
        <v>1.8161523375108235</v>
      </c>
      <c r="E75" s="40">
        <f t="shared" si="33"/>
        <v>1.027548527094746</v>
      </c>
      <c r="F75" s="44">
        <f t="shared" si="18"/>
        <v>1.2897354472019229</v>
      </c>
      <c r="H75" s="40">
        <f t="shared" ref="H75:L75" si="34">(B32/B$25)*100</f>
        <v>9.4844340471477704</v>
      </c>
      <c r="I75" s="40">
        <f t="shared" si="34"/>
        <v>8.1225463173058934</v>
      </c>
      <c r="J75" s="40">
        <f t="shared" si="34"/>
        <v>8.2774662670083341</v>
      </c>
      <c r="K75" s="40">
        <f t="shared" si="34"/>
        <v>8.7368574677555717</v>
      </c>
      <c r="L75" s="40">
        <f t="shared" si="34"/>
        <v>9.1397787707186904</v>
      </c>
    </row>
    <row r="76" spans="1:12" x14ac:dyDescent="0.2">
      <c r="A76" t="str">
        <f t="shared" si="26"/>
        <v>Other services</v>
      </c>
      <c r="B76" s="40">
        <f t="shared" ref="B76:E76" si="35">IF(AND(C$5-B$5 &lt;&gt; 0,B33&lt;&gt;0,C33&lt;&gt;0),(EXP(LN(C33/B33)/(C$5-B$5))-1)*100,0)</f>
        <v>-0.22265167968822386</v>
      </c>
      <c r="C76" s="44">
        <f t="shared" si="35"/>
        <v>-3.7596283164202604</v>
      </c>
      <c r="D76" s="40">
        <f t="shared" si="35"/>
        <v>-0.98405074811217519</v>
      </c>
      <c r="E76" s="40">
        <f t="shared" si="35"/>
        <v>-0.11033363214080216</v>
      </c>
      <c r="F76" s="44">
        <f t="shared" si="18"/>
        <v>-0.40242595993443819</v>
      </c>
      <c r="H76" s="40">
        <f t="shared" ref="H76:L76" si="36">(B33/B$25)*100</f>
        <v>9.9001259672484991</v>
      </c>
      <c r="I76" s="40">
        <f t="shared" si="36"/>
        <v>9.9642740754051786</v>
      </c>
      <c r="J76" s="40">
        <f t="shared" si="36"/>
        <v>9.9240081822795148</v>
      </c>
      <c r="K76" s="40">
        <f t="shared" si="36"/>
        <v>9.1114462410381627</v>
      </c>
      <c r="L76" s="40">
        <f t="shared" si="36"/>
        <v>8.5108949103481351</v>
      </c>
    </row>
    <row r="77" spans="1:12" x14ac:dyDescent="0.2">
      <c r="B77" s="40"/>
      <c r="C77" s="44"/>
      <c r="D77" s="40"/>
      <c r="E77" s="40"/>
      <c r="F77" s="44">
        <f t="shared" si="18"/>
        <v>0</v>
      </c>
      <c r="H77" s="40"/>
      <c r="I77" s="40"/>
      <c r="J77" s="40"/>
      <c r="K77" s="40"/>
      <c r="L77" s="40"/>
    </row>
    <row r="78" spans="1:12" s="30" customFormat="1" x14ac:dyDescent="0.2">
      <c r="A78" s="30" t="str">
        <f>A35</f>
        <v>Non-marketed services</v>
      </c>
      <c r="B78" s="44">
        <f t="shared" ref="B78:E79" si="37">IF(AND(C$5-B$5 &lt;&gt; 0,B35&lt;&gt;0,C35&lt;&gt;0),(EXP(LN(C35/B35)/(C$5-B$5))-1)*100,0)</f>
        <v>7.8768084243097114E-2</v>
      </c>
      <c r="C78" s="44">
        <f t="shared" ref="C78:C83" si="38">IF(AND(D$5-C$5 &lt;&gt; 0,C35&lt;&gt;0,D35&lt;&gt;0),(EXP(LN(D35/C35)/(D$5-C$5))-1)*100,0)</f>
        <v>-1.2707683414230564</v>
      </c>
      <c r="D78" s="44">
        <f t="shared" si="37"/>
        <v>0.49409382715936978</v>
      </c>
      <c r="E78" s="44">
        <f t="shared" si="37"/>
        <v>0.14190601790031732</v>
      </c>
      <c r="F78" s="44">
        <f t="shared" si="18"/>
        <v>0.25916459981827344</v>
      </c>
      <c r="H78" s="44">
        <f>(B35/B$40)*100</f>
        <v>23.125299853758076</v>
      </c>
      <c r="I78" s="44">
        <f>(C35/C$40)*100</f>
        <v>22.739671074475691</v>
      </c>
      <c r="J78" s="44">
        <f>(D35/D$40)*100</f>
        <v>22.913119911176913</v>
      </c>
      <c r="K78" s="44">
        <f>(E35/E$40)*100</f>
        <v>22.816130699566283</v>
      </c>
      <c r="L78" s="44">
        <f>(F35/F$40)*100</f>
        <v>22.254337758434012</v>
      </c>
    </row>
    <row r="79" spans="1:12" x14ac:dyDescent="0.2">
      <c r="A79" t="str">
        <f>A36</f>
        <v>Public admin. and defence</v>
      </c>
      <c r="B79" s="40">
        <f t="shared" si="37"/>
        <v>-1.540641029663381</v>
      </c>
      <c r="C79" s="44">
        <f t="shared" si="38"/>
        <v>1.9596497318978612</v>
      </c>
      <c r="D79" s="40">
        <f t="shared" si="37"/>
        <v>0.70358549566540418</v>
      </c>
      <c r="E79" s="40">
        <f t="shared" si="37"/>
        <v>-0.14006266713545434</v>
      </c>
      <c r="F79" s="44">
        <f t="shared" si="18"/>
        <v>0.14036514937836309</v>
      </c>
      <c r="H79" s="40">
        <f>(B36/B$35)*100</f>
        <v>13.789586822306079</v>
      </c>
      <c r="I79" s="40">
        <f t="shared" ref="I79:L81" si="39">(C36/C$35)*100</f>
        <v>12.91848145674906</v>
      </c>
      <c r="J79" s="40">
        <f t="shared" si="39"/>
        <v>13.341173857739886</v>
      </c>
      <c r="K79" s="40">
        <f t="shared" si="39"/>
        <v>13.480810995818917</v>
      </c>
      <c r="L79" s="40">
        <f t="shared" si="39"/>
        <v>13.106006535281292</v>
      </c>
    </row>
    <row r="80" spans="1:12" x14ac:dyDescent="0.2">
      <c r="A80" t="str">
        <f>A37</f>
        <v>Education</v>
      </c>
      <c r="B80" s="40">
        <f t="shared" ref="B80:E81" si="40">IF(AND(C$5-B$5 &lt;&gt; 0,B37&lt;&gt;0,C37&lt;&gt;0),(EXP(LN(C37/B37)/(C$5-B$5))-1)*100,0)</f>
        <v>-0.97533088477982366</v>
      </c>
      <c r="C80" s="44">
        <f t="shared" si="38"/>
        <v>-2.4872780143315731</v>
      </c>
      <c r="D80" s="40">
        <f t="shared" si="40"/>
        <v>-6.318219097533051E-2</v>
      </c>
      <c r="E80" s="40">
        <f t="shared" si="40"/>
        <v>0.22343742736286032</v>
      </c>
      <c r="F80" s="44">
        <f t="shared" si="18"/>
        <v>0.12780633443161271</v>
      </c>
      <c r="H80" s="40">
        <f>(B37/B$35)*100</f>
        <v>40.048991426500379</v>
      </c>
      <c r="I80" s="40">
        <f t="shared" si="39"/>
        <v>38.388167402549421</v>
      </c>
      <c r="J80" s="40">
        <f t="shared" si="39"/>
        <v>37.915160814876089</v>
      </c>
      <c r="K80" s="40">
        <f t="shared" si="39"/>
        <v>36.875489389783283</v>
      </c>
      <c r="L80" s="40">
        <f t="shared" si="39"/>
        <v>37.176816745080288</v>
      </c>
    </row>
    <row r="81" spans="1:12" x14ac:dyDescent="0.2">
      <c r="A81" t="str">
        <f>A38</f>
        <v>Health and social work</v>
      </c>
      <c r="B81" s="40">
        <f>IF(AND(C$5-B$5 &lt;&gt; 0,B38&lt;&gt;0,C38&lt;&gt;0),(EXP(LN(C38/B38)/(C$5-B$5))-1)*100,0)</f>
        <v>1.4237287058388892</v>
      </c>
      <c r="C81" s="44">
        <f t="shared" si="38"/>
        <v>-1.1687527504579465</v>
      </c>
      <c r="D81" s="40">
        <f t="shared" si="40"/>
        <v>0.86250026224672371</v>
      </c>
      <c r="E81" s="40">
        <f t="shared" si="40"/>
        <v>0.15671805084447321</v>
      </c>
      <c r="F81" s="44">
        <f t="shared" si="18"/>
        <v>0.39142833116343478</v>
      </c>
      <c r="H81" s="40">
        <f>(B38/B$35)*100</f>
        <v>46.161421751193544</v>
      </c>
      <c r="I81" s="40">
        <f t="shared" si="39"/>
        <v>48.693351140701516</v>
      </c>
      <c r="J81" s="40">
        <f t="shared" si="39"/>
        <v>48.743665327384015</v>
      </c>
      <c r="K81" s="40">
        <f t="shared" si="39"/>
        <v>49.643699614397804</v>
      </c>
      <c r="L81" s="40">
        <f t="shared" si="39"/>
        <v>49.717176719638417</v>
      </c>
    </row>
    <row r="82" spans="1:12" x14ac:dyDescent="0.2">
      <c r="B82" s="40"/>
      <c r="C82" s="44"/>
      <c r="D82" s="40"/>
      <c r="E82" s="40"/>
      <c r="F82" s="44"/>
      <c r="H82" s="40"/>
      <c r="I82" s="40"/>
      <c r="J82" s="40"/>
      <c r="K82" s="40"/>
      <c r="L82" s="40"/>
    </row>
    <row r="83" spans="1:12" x14ac:dyDescent="0.2">
      <c r="A83" s="24" t="str">
        <f>A40</f>
        <v>All industries</v>
      </c>
      <c r="B83" s="43">
        <f>IF(AND(C$5-B$5 &lt;&gt; 0,B40&lt;&gt;0,C40&lt;&gt;0),(EXP(LN(C40/B40)/(C$5-B$5))-1)*100,0)</f>
        <v>0.50039053026920133</v>
      </c>
      <c r="C83" s="206">
        <f t="shared" si="38"/>
        <v>-2.0181336258526361</v>
      </c>
      <c r="D83" s="43">
        <f>IF(AND(E$5-D$5 &lt;&gt; 0,D40&lt;&gt;0,E40&lt;&gt;0),(EXP(LN(E40/D40)/(E$5-D$5))-1)*100,0)</f>
        <v>0.57938709657920917</v>
      </c>
      <c r="E83" s="43">
        <f>IF(AND(F$5-E$5 &lt;&gt; 0,E40&lt;&gt;0,F40&lt;&gt;0),(EXP(LN(F40/E40)/(F$5-E$5))-1)*100,0)</f>
        <v>0.39187955008854747</v>
      </c>
      <c r="F83" s="206">
        <f t="shared" si="18"/>
        <v>0.45434319276140833</v>
      </c>
      <c r="G83" s="24"/>
      <c r="H83" s="43">
        <f>(B40/B$40)*100</f>
        <v>100</v>
      </c>
      <c r="I83" s="43">
        <f>(C40/C$40)*100</f>
        <v>100</v>
      </c>
      <c r="J83" s="43">
        <f>(D40/D$40)*100</f>
        <v>100</v>
      </c>
      <c r="K83" s="43">
        <f>(E40/E$40)*100</f>
        <v>100</v>
      </c>
      <c r="L83" s="43">
        <f>(F40/F$40)*100</f>
        <v>100</v>
      </c>
    </row>
    <row r="86" spans="1:12" x14ac:dyDescent="0.2">
      <c r="A86" s="36"/>
      <c r="B86" s="28" t="s">
        <v>15</v>
      </c>
      <c r="C86" s="28"/>
    </row>
    <row r="87" spans="1:12" x14ac:dyDescent="0.2">
      <c r="A87" s="24"/>
      <c r="B87" s="37" t="str">
        <f>B5&amp;"-"&amp;D5</f>
        <v>2015-2020</v>
      </c>
      <c r="C87" s="37" t="str">
        <f>F48</f>
        <v>2020-2035</v>
      </c>
    </row>
    <row r="89" spans="1:12" x14ac:dyDescent="0.2">
      <c r="A89" s="30" t="str">
        <f>A7</f>
        <v>Primary sector and utilities</v>
      </c>
      <c r="B89" s="44">
        <f>IF(AND(D$5-B$5 &lt;&gt; 0,B7&lt;&gt;0,D7&lt;&gt;0),(EXP(LN(D7/B7)/(D$5-B$5))-1)*100,0)</f>
        <v>-2.1346966871180095</v>
      </c>
      <c r="C89" s="44">
        <f>IF(AND(F$5-D$5 &lt;&gt; 0,D7&lt;&gt;0,F7&lt;&gt;0),(EXP(LN(F7/D7)/(F$5-D$5))-1)*100,0)</f>
        <v>0.46607505577145325</v>
      </c>
    </row>
    <row r="90" spans="1:12" x14ac:dyDescent="0.2">
      <c r="A90" s="30" t="str">
        <f t="shared" ref="A90:A122" si="41">A8</f>
        <v>Agriculture</v>
      </c>
      <c r="B90" s="44">
        <f t="shared" ref="B90:B122" si="42">IF(AND(D$5-B$5 &lt;&gt; 0,B8&lt;&gt;0,D8&lt;&gt;0),(EXP(LN(D8/B8)/(D$5-B$5))-1)*100,0)</f>
        <v>-2.6546509503433624</v>
      </c>
      <c r="C90" s="44">
        <f t="shared" ref="C90:C122" si="43">IF(AND(F$5-D$5 &lt;&gt; 0,D8&lt;&gt;0,F8&lt;&gt;0),(EXP(LN(F8/D8)/(F$5-D$5))-1)*100,0)</f>
        <v>0.41784403826530259</v>
      </c>
    </row>
    <row r="91" spans="1:12" x14ac:dyDescent="0.2">
      <c r="A91" s="30" t="str">
        <f t="shared" si="41"/>
        <v>Mining and quarrying</v>
      </c>
      <c r="B91" s="44">
        <f t="shared" si="42"/>
        <v>11.879118368723773</v>
      </c>
      <c r="C91" s="44">
        <f t="shared" si="43"/>
        <v>-1.5266579940480751</v>
      </c>
    </row>
    <row r="92" spans="1:12" x14ac:dyDescent="0.2">
      <c r="A92" s="30" t="str">
        <f t="shared" si="41"/>
        <v>Electricity and gas</v>
      </c>
      <c r="B92" s="44">
        <f t="shared" si="42"/>
        <v>-7.6394147789523359</v>
      </c>
      <c r="C92" s="44">
        <f t="shared" si="43"/>
        <v>-0.15632930257701849</v>
      </c>
    </row>
    <row r="93" spans="1:12" x14ac:dyDescent="0.2">
      <c r="A93" s="30" t="str">
        <f t="shared" si="41"/>
        <v>Water and sewerage</v>
      </c>
      <c r="B93" s="44">
        <f t="shared" si="42"/>
        <v>4.7123301175184151</v>
      </c>
      <c r="C93" s="44">
        <f t="shared" si="43"/>
        <v>1.2199554452501093</v>
      </c>
    </row>
    <row r="94" spans="1:12" x14ac:dyDescent="0.2">
      <c r="A94" s="30"/>
      <c r="B94" s="44"/>
      <c r="C94" s="44"/>
    </row>
    <row r="95" spans="1:12" x14ac:dyDescent="0.2">
      <c r="A95" s="30" t="str">
        <f t="shared" si="41"/>
        <v>Manufacturing</v>
      </c>
      <c r="B95" s="44">
        <f t="shared" si="42"/>
        <v>1.1402503460726354</v>
      </c>
      <c r="C95" s="44">
        <f t="shared" si="43"/>
        <v>-1.0440757310475779</v>
      </c>
    </row>
    <row r="96" spans="1:12" x14ac:dyDescent="0.2">
      <c r="A96" s="30" t="str">
        <f t="shared" si="41"/>
        <v>Food drink and tobacco</v>
      </c>
      <c r="B96" s="44">
        <f t="shared" si="42"/>
        <v>3.9524553351452552</v>
      </c>
      <c r="C96" s="44">
        <f t="shared" si="43"/>
        <v>1.3295684553941367</v>
      </c>
    </row>
    <row r="97" spans="1:3" x14ac:dyDescent="0.2">
      <c r="A97" s="30" t="str">
        <f t="shared" si="41"/>
        <v>Engineering</v>
      </c>
      <c r="B97" s="44">
        <f t="shared" si="42"/>
        <v>1.5107709538380476</v>
      </c>
      <c r="C97" s="44">
        <f t="shared" si="43"/>
        <v>-1.6724673113846067</v>
      </c>
    </row>
    <row r="98" spans="1:3" x14ac:dyDescent="0.2">
      <c r="A98" s="30" t="str">
        <f t="shared" si="41"/>
        <v>Rest of manufacturing</v>
      </c>
      <c r="B98" s="44">
        <f t="shared" si="42"/>
        <v>0.65147777713090438</v>
      </c>
      <c r="C98" s="44">
        <f t="shared" si="43"/>
        <v>-1.2000179867624916</v>
      </c>
    </row>
    <row r="99" spans="1:3" x14ac:dyDescent="0.2">
      <c r="A99" s="30"/>
      <c r="B99" s="44"/>
      <c r="C99" s="44"/>
    </row>
    <row r="100" spans="1:3" x14ac:dyDescent="0.2">
      <c r="A100" s="30" t="str">
        <f t="shared" si="41"/>
        <v>Construction</v>
      </c>
      <c r="B100" s="44">
        <f t="shared" si="42"/>
        <v>2.5722103402766816</v>
      </c>
      <c r="C100" s="44">
        <f t="shared" si="43"/>
        <v>1.0248719185084632</v>
      </c>
    </row>
    <row r="101" spans="1:3" x14ac:dyDescent="0.2">
      <c r="A101" s="30"/>
      <c r="B101" s="44"/>
      <c r="C101" s="44"/>
    </row>
    <row r="102" spans="1:3" x14ac:dyDescent="0.2">
      <c r="A102" s="30" t="str">
        <f t="shared" si="41"/>
        <v>Trade, accomod. and transport</v>
      </c>
      <c r="B102" s="44">
        <f t="shared" si="42"/>
        <v>0.8454691347876242</v>
      </c>
      <c r="C102" s="44">
        <f t="shared" si="43"/>
        <v>0.51450979158045307</v>
      </c>
    </row>
    <row r="103" spans="1:3" x14ac:dyDescent="0.2">
      <c r="A103" s="30" t="str">
        <f t="shared" si="41"/>
        <v>Wholesale and retail trade</v>
      </c>
      <c r="B103" s="44">
        <f t="shared" si="42"/>
        <v>1.5601505259608572</v>
      </c>
      <c r="C103" s="44">
        <f t="shared" si="43"/>
        <v>0.17354236659408162</v>
      </c>
    </row>
    <row r="104" spans="1:3" x14ac:dyDescent="0.2">
      <c r="A104" s="30" t="str">
        <f t="shared" si="41"/>
        <v>Transport and storage</v>
      </c>
      <c r="B104" s="44">
        <f t="shared" si="42"/>
        <v>-0.50548322355367103</v>
      </c>
      <c r="C104" s="44">
        <f t="shared" si="43"/>
        <v>0.42985733679654636</v>
      </c>
    </row>
    <row r="105" spans="1:3" x14ac:dyDescent="0.2">
      <c r="A105" s="30" t="str">
        <f t="shared" si="41"/>
        <v>Accommodation and food</v>
      </c>
      <c r="B105" s="44">
        <f t="shared" si="42"/>
        <v>-0.10542389252277129</v>
      </c>
      <c r="C105" s="44">
        <f t="shared" si="43"/>
        <v>1.325147887156608</v>
      </c>
    </row>
    <row r="106" spans="1:3" x14ac:dyDescent="0.2">
      <c r="A106" s="30"/>
      <c r="B106" s="44"/>
      <c r="C106" s="44"/>
    </row>
    <row r="107" spans="1:3" x14ac:dyDescent="0.2">
      <c r="A107" s="30" t="str">
        <f t="shared" si="41"/>
        <v>Business and other services</v>
      </c>
      <c r="B107" s="44">
        <f t="shared" si="42"/>
        <v>-0.98801985929528602</v>
      </c>
      <c r="C107" s="44">
        <f t="shared" si="43"/>
        <v>0.62275854492910288</v>
      </c>
    </row>
    <row r="108" spans="1:3" x14ac:dyDescent="0.2">
      <c r="A108" s="30" t="str">
        <f t="shared" si="41"/>
        <v>Media</v>
      </c>
      <c r="B108" s="44">
        <f t="shared" si="42"/>
        <v>-6.2509627873561957</v>
      </c>
      <c r="C108" s="44">
        <f t="shared" si="43"/>
        <v>-0.39548816181389501</v>
      </c>
    </row>
    <row r="109" spans="1:3" x14ac:dyDescent="0.2">
      <c r="A109" s="30" t="str">
        <f t="shared" si="41"/>
        <v>Information technology</v>
      </c>
      <c r="B109" s="44">
        <f t="shared" si="42"/>
        <v>8.6352552787527515E-2</v>
      </c>
      <c r="C109" s="44">
        <f t="shared" si="43"/>
        <v>1.0181628242748042</v>
      </c>
    </row>
    <row r="110" spans="1:3" x14ac:dyDescent="0.2">
      <c r="A110" s="30" t="str">
        <f t="shared" si="41"/>
        <v>Finance and insurance</v>
      </c>
      <c r="B110" s="44">
        <f t="shared" si="42"/>
        <v>-0.13686992115355956</v>
      </c>
      <c r="C110" s="44">
        <f t="shared" si="43"/>
        <v>-0.60371967860198827</v>
      </c>
    </row>
    <row r="111" spans="1:3" x14ac:dyDescent="0.2">
      <c r="A111" s="30" t="str">
        <f t="shared" si="41"/>
        <v>Real estate</v>
      </c>
      <c r="B111" s="44">
        <f t="shared" si="42"/>
        <v>0.28876182879089551</v>
      </c>
      <c r="C111" s="44">
        <f t="shared" si="43"/>
        <v>0.7174724368534946</v>
      </c>
    </row>
    <row r="112" spans="1:3" x14ac:dyDescent="0.2">
      <c r="A112" s="30" t="str">
        <f t="shared" si="41"/>
        <v>Professional services</v>
      </c>
      <c r="B112" s="44">
        <f t="shared" si="42"/>
        <v>-0.50101174906972412</v>
      </c>
      <c r="C112" s="44">
        <f t="shared" si="43"/>
        <v>0.7345086596098227</v>
      </c>
    </row>
    <row r="113" spans="1:3" x14ac:dyDescent="0.2">
      <c r="A113" s="30" t="str">
        <f t="shared" si="41"/>
        <v>Support services</v>
      </c>
      <c r="B113" s="44">
        <f t="shared" si="42"/>
        <v>-1.4602986839019949</v>
      </c>
      <c r="C113" s="44">
        <f t="shared" si="43"/>
        <v>0.75801705285813981</v>
      </c>
    </row>
    <row r="114" spans="1:3" x14ac:dyDescent="0.2">
      <c r="A114" s="30" t="str">
        <f t="shared" si="41"/>
        <v>Arts and entertainment</v>
      </c>
      <c r="B114" s="44">
        <f t="shared" si="42"/>
        <v>-3.6470655363978755</v>
      </c>
      <c r="C114" s="44">
        <f t="shared" si="43"/>
        <v>1.2897354472019229</v>
      </c>
    </row>
    <row r="115" spans="1:3" x14ac:dyDescent="0.2">
      <c r="A115" s="30" t="str">
        <f t="shared" si="41"/>
        <v>Other services</v>
      </c>
      <c r="B115" s="44">
        <f t="shared" si="42"/>
        <v>-0.94029628451903768</v>
      </c>
      <c r="C115" s="44">
        <f t="shared" si="43"/>
        <v>-0.40242595993443819</v>
      </c>
    </row>
    <row r="116" spans="1:3" x14ac:dyDescent="0.2">
      <c r="A116" s="30"/>
      <c r="B116" s="44"/>
      <c r="C116" s="44"/>
    </row>
    <row r="117" spans="1:3" x14ac:dyDescent="0.2">
      <c r="A117" s="30" t="str">
        <f t="shared" si="41"/>
        <v>Non-marketed services</v>
      </c>
      <c r="B117" s="44">
        <f t="shared" si="42"/>
        <v>-0.19260694440755843</v>
      </c>
      <c r="C117" s="44">
        <f t="shared" si="43"/>
        <v>0.25916459981827344</v>
      </c>
    </row>
    <row r="118" spans="1:3" x14ac:dyDescent="0.2">
      <c r="A118" s="30" t="str">
        <f t="shared" si="41"/>
        <v>Public admin. and defence</v>
      </c>
      <c r="B118" s="44">
        <f t="shared" si="42"/>
        <v>-0.85033067811851604</v>
      </c>
      <c r="C118" s="44">
        <f t="shared" si="43"/>
        <v>0.14036514937836309</v>
      </c>
    </row>
    <row r="119" spans="1:3" x14ac:dyDescent="0.2">
      <c r="A119" s="30" t="str">
        <f t="shared" si="41"/>
        <v>Education</v>
      </c>
      <c r="B119" s="44">
        <f t="shared" si="42"/>
        <v>-1.279584211937479</v>
      </c>
      <c r="C119" s="44">
        <f t="shared" si="43"/>
        <v>0.12780633443161271</v>
      </c>
    </row>
    <row r="120" spans="1:3" x14ac:dyDescent="0.2">
      <c r="A120" s="30" t="str">
        <f t="shared" si="41"/>
        <v>Health and social work</v>
      </c>
      <c r="B120" s="44">
        <f t="shared" si="42"/>
        <v>0.89984833546488119</v>
      </c>
      <c r="C120" s="44">
        <f t="shared" si="43"/>
        <v>0.39142833116343478</v>
      </c>
    </row>
    <row r="121" spans="1:3" x14ac:dyDescent="0.2">
      <c r="A121" s="30"/>
      <c r="B121" s="44"/>
      <c r="C121" s="44"/>
    </row>
    <row r="122" spans="1:3" x14ac:dyDescent="0.2">
      <c r="A122" s="347" t="str">
        <f t="shared" si="41"/>
        <v>All industries</v>
      </c>
      <c r="B122" s="206">
        <f t="shared" si="42"/>
        <v>-8.4406823586569146E-3</v>
      </c>
      <c r="C122" s="206">
        <f t="shared" si="43"/>
        <v>0.45434319276140833</v>
      </c>
    </row>
  </sheetData>
  <phoneticPr fontId="4" type="noConversion"/>
  <pageMargins left="0.75" right="0.75" top="1" bottom="1" header="0.5" footer="0.5"/>
  <pageSetup paperSize="9" scale="83" orientation="landscape" r:id="rId1"/>
  <headerFooter alignWithMargins="0"/>
  <rowBreaks count="2" manualBreakCount="2">
    <brk id="43" max="11" man="1"/>
    <brk id="84" max="11" man="1"/>
  </rowBreaks>
  <ignoredErrors>
    <ignoredError sqref="I6 I39" formula="1"/>
  </ignoredError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0"/>
  <dimension ref="A1:Q577"/>
  <sheetViews>
    <sheetView showGridLines="0" zoomScale="85" zoomScaleNormal="85" workbookViewId="0"/>
  </sheetViews>
  <sheetFormatPr defaultColWidth="9.140625" defaultRowHeight="12.75" x14ac:dyDescent="0.2"/>
  <cols>
    <col min="1" max="1" width="22.140625" style="282" customWidth="1"/>
    <col min="2" max="2" width="9.140625" style="283"/>
    <col min="3" max="3" width="9.28515625" style="282" customWidth="1"/>
    <col min="4" max="4" width="9.140625" style="283"/>
    <col min="5" max="5" width="9.28515625" style="282" customWidth="1"/>
    <col min="6" max="6" width="9.140625" style="283"/>
    <col min="7" max="7" width="9.28515625" style="282" customWidth="1"/>
    <col min="8" max="8" width="9.140625" style="283"/>
    <col min="9" max="9" width="9.28515625" style="282" customWidth="1"/>
    <col min="10" max="10" width="5.5703125" style="282" customWidth="1"/>
    <col min="11" max="14" width="9.28515625" style="283" customWidth="1"/>
    <col min="15" max="16384" width="9.140625" style="282"/>
  </cols>
  <sheetData>
    <row r="1" spans="1:17" ht="15.75" x14ac:dyDescent="0.25">
      <c r="A1" s="19" t="str">
        <f>CONCATENATE("Industry Table 5  Employment status by Industry (SIC 2007) and Gender, ",A$8,"-",A$18,", ",Info!B5)</f>
        <v>Industry Table 5  Employment status by Industry (SIC 2007) and Gender, 2020-2035, Enterprise M3</v>
      </c>
    </row>
    <row r="2" spans="1:17" x14ac:dyDescent="0.2">
      <c r="A2" s="1" t="s">
        <v>516</v>
      </c>
    </row>
    <row r="5" spans="1:17" x14ac:dyDescent="0.2">
      <c r="A5" s="288"/>
      <c r="B5" s="289" t="s">
        <v>372</v>
      </c>
      <c r="C5" s="288"/>
      <c r="D5" s="289"/>
      <c r="E5" s="288"/>
      <c r="F5" s="289" t="str">
        <f>name!B3</f>
        <v>All industries</v>
      </c>
      <c r="G5" s="288"/>
      <c r="H5" s="291"/>
      <c r="I5" s="288"/>
      <c r="J5" s="290"/>
      <c r="K5" s="291"/>
      <c r="L5" s="291"/>
      <c r="M5" s="291"/>
      <c r="N5" s="291"/>
    </row>
    <row r="6" spans="1:17" x14ac:dyDescent="0.2">
      <c r="N6" s="287" t="s">
        <v>370</v>
      </c>
    </row>
    <row r="7" spans="1:17" x14ac:dyDescent="0.2">
      <c r="A7" s="296" t="s">
        <v>371</v>
      </c>
      <c r="B7" s="373" t="s">
        <v>369</v>
      </c>
      <c r="C7" s="373"/>
      <c r="D7" s="373" t="s">
        <v>368</v>
      </c>
      <c r="E7" s="373"/>
      <c r="F7" s="373" t="s">
        <v>367</v>
      </c>
      <c r="G7" s="373"/>
      <c r="H7" s="373" t="s">
        <v>33</v>
      </c>
      <c r="I7" s="373"/>
      <c r="J7" s="296"/>
      <c r="K7" s="297" t="s">
        <v>345</v>
      </c>
      <c r="L7" s="297" t="s">
        <v>347</v>
      </c>
      <c r="M7" s="297" t="s">
        <v>343</v>
      </c>
      <c r="N7" s="297" t="s">
        <v>33</v>
      </c>
    </row>
    <row r="8" spans="1:17" x14ac:dyDescent="0.2">
      <c r="A8" s="286">
        <f>'Ind T6'!L5</f>
        <v>2020</v>
      </c>
      <c r="B8" s="287" t="s">
        <v>66</v>
      </c>
      <c r="C8" s="20" t="s">
        <v>366</v>
      </c>
      <c r="D8" s="287" t="s">
        <v>66</v>
      </c>
      <c r="E8" s="20" t="s">
        <v>366</v>
      </c>
      <c r="F8" s="287" t="s">
        <v>66</v>
      </c>
      <c r="G8" s="20" t="s">
        <v>366</v>
      </c>
      <c r="H8" s="287" t="s">
        <v>66</v>
      </c>
      <c r="I8" s="20" t="s">
        <v>366</v>
      </c>
      <c r="J8" s="182"/>
      <c r="K8" s="286" t="str">
        <f>CONCATENATE(A8," - ",A13)</f>
        <v>2020 - 2025</v>
      </c>
      <c r="L8" s="285"/>
      <c r="M8" s="285"/>
    </row>
    <row r="9" spans="1:17" x14ac:dyDescent="0.2">
      <c r="A9" s="282" t="s">
        <v>364</v>
      </c>
      <c r="B9" s="249">
        <f>SUM(B30,B51,B72,B93,B114,B135,B156,B177,B198,B219,B240,B261,B282,B303,B324,B345,B366,B387,B408,B429,B450,B471)</f>
        <v>298.63784633597766</v>
      </c>
      <c r="C9" s="299" t="str">
        <f>CONCATENATE("(",ROUND((B9/$H11)*100,1),")")</f>
        <v>(34.5)</v>
      </c>
      <c r="D9" s="249">
        <f>SUM(D30,D51,D72,D93,D114,D135,D156,D177,D198,D219,D240,D261,D282,D303,D324,D345,D366,D387,D408,D429,D450,D471)</f>
        <v>75.651454484949397</v>
      </c>
      <c r="E9" s="299" t="str">
        <f>CONCATENATE("(",ROUND((D9/$H11)*100,1),")")</f>
        <v>(8.7)</v>
      </c>
      <c r="F9" s="249">
        <f>SUM(F30,F51,F72,F93,F114,F135,F156,F177,F198,F219,F240,F261,F282,F303,F324,F345,F366,F387,F408,F429,F450,F471)</f>
        <v>66.807917037401964</v>
      </c>
      <c r="G9" s="299" t="str">
        <f>CONCATENATE("(",ROUND((F9/$H11)*100,1),")")</f>
        <v>(7.7)</v>
      </c>
      <c r="H9" s="249">
        <f>SUM(H30,H51,H72,H93,H114,H135,H156,H177,H198,H219,H240,H261,H282,H303,H324,H345,H366,H387,H408,H429,H450,H471)</f>
        <v>441.09721785832903</v>
      </c>
      <c r="I9" s="299" t="str">
        <f>CONCATENATE("(",ROUND((H9/$H11)*100,1),")")</f>
        <v>(51)</v>
      </c>
      <c r="K9" s="249">
        <f>B14-B9</f>
        <v>7.5939938908900331</v>
      </c>
      <c r="L9" s="249">
        <f>D14-D9</f>
        <v>3.0324001827520846</v>
      </c>
      <c r="M9" s="249">
        <f>F14-F9</f>
        <v>3.4333813549571772</v>
      </c>
      <c r="N9" s="249">
        <f>SUM(K9:M9)</f>
        <v>14.059775428599295</v>
      </c>
      <c r="O9" s="298"/>
      <c r="P9" s="298"/>
      <c r="Q9" s="298"/>
    </row>
    <row r="10" spans="1:17" x14ac:dyDescent="0.2">
      <c r="A10" s="282" t="s">
        <v>365</v>
      </c>
      <c r="B10" s="249">
        <f t="shared" ref="B10:B21" si="0">SUM(B31,B52,B73,B94,B115,B136,B157,B178,B199,B220,B241,B262,B283,B304,B325,B346,B367,B388,B409,B430,B451,B472)</f>
        <v>197.23084515551722</v>
      </c>
      <c r="C10" s="299" t="str">
        <f>CONCATENATE("(",ROUND((B10/$H11)*100,1),")")</f>
        <v>(22.8)</v>
      </c>
      <c r="D10" s="249">
        <f t="shared" ref="D10" si="1">SUM(D31,D52,D73,D94,D115,D136,D157,D178,D199,D220,D241,D262,D283,D304,D325,D346,D367,D388,D409,D430,D451,D472)</f>
        <v>176.32302132334297</v>
      </c>
      <c r="E10" s="299" t="str">
        <f>CONCATENATE("(",ROUND((D10/$H11)*100,1),")")</f>
        <v>(20.4)</v>
      </c>
      <c r="F10" s="249">
        <f t="shared" ref="F10" si="2">SUM(F31,F52,F73,F94,F115,F136,F157,F178,F199,F220,F241,F262,F283,F304,F325,F346,F367,F388,F409,F430,F451,F472)</f>
        <v>49.988915662810705</v>
      </c>
      <c r="G10" s="299" t="str">
        <f>CONCATENATE("(",ROUND((F10/$H11)*100,1),")")</f>
        <v>(5.8)</v>
      </c>
      <c r="H10" s="249">
        <f t="shared" ref="H10" si="3">SUM(H31,H52,H73,H94,H115,H136,H157,H178,H199,H220,H241,H262,H283,H304,H325,H346,H367,H388,H409,H430,H451,H472)</f>
        <v>423.54278214167095</v>
      </c>
      <c r="I10" s="299" t="str">
        <f>CONCATENATE("(",ROUND((H10/$H11)*100,1),")")</f>
        <v>(49)</v>
      </c>
      <c r="K10" s="249">
        <f t="shared" ref="K10:K11" si="4">B15-B10</f>
        <v>8.5357258828026943</v>
      </c>
      <c r="L10" s="249">
        <f t="shared" ref="L10:L11" si="5">D15-D10</f>
        <v>1.125227804024945</v>
      </c>
      <c r="M10" s="249">
        <f t="shared" ref="M10:M11" si="6">F15-F10</f>
        <v>1.6192708845731332</v>
      </c>
      <c r="N10" s="249">
        <f t="shared" ref="N10:N11" si="7">SUM(K10:M10)</f>
        <v>11.280224571400773</v>
      </c>
      <c r="O10" s="298"/>
      <c r="P10" s="298"/>
      <c r="Q10" s="298"/>
    </row>
    <row r="11" spans="1:17" x14ac:dyDescent="0.2">
      <c r="A11" s="282" t="s">
        <v>363</v>
      </c>
      <c r="B11" s="249">
        <f t="shared" si="0"/>
        <v>495.86869149149493</v>
      </c>
      <c r="C11" s="299" t="str">
        <f>CONCATENATE("(",ROUND((B11/$H11)*100,1),")")</f>
        <v>(57.3)</v>
      </c>
      <c r="D11" s="249">
        <f t="shared" ref="D11" si="8">SUM(D32,D53,D74,D95,D116,D137,D158,D179,D200,D221,D242,D263,D284,D305,D326,D347,D368,D389,D410,D431,D452,D473)</f>
        <v>251.9744758082924</v>
      </c>
      <c r="E11" s="299" t="str">
        <f>CONCATENATE("(",ROUND((D11/$H11)*100,1),")")</f>
        <v>(29.1)</v>
      </c>
      <c r="F11" s="249">
        <f t="shared" ref="F11" si="9">SUM(F32,F53,F74,F95,F116,F137,F158,F179,F200,F221,F242,F263,F284,F305,F326,F347,F368,F389,F410,F431,F452,F473)</f>
        <v>116.79683270021268</v>
      </c>
      <c r="G11" s="299" t="str">
        <f>CONCATENATE("(",ROUND((F11/$H11)*100,1),")")</f>
        <v>(13.5)</v>
      </c>
      <c r="H11" s="249">
        <f t="shared" ref="H11" si="10">SUM(H32,H53,H74,H95,H116,H137,H158,H179,H200,H221,H242,H263,H284,H305,H326,H347,H368,H389,H410,H431,H452,H473)</f>
        <v>864.64</v>
      </c>
      <c r="I11" s="299" t="str">
        <f>CONCATENATE("(",ROUND((H11/$H11)*100,1),")")</f>
        <v>(100)</v>
      </c>
      <c r="K11" s="249">
        <f t="shared" si="4"/>
        <v>16.129719773692671</v>
      </c>
      <c r="L11" s="249">
        <f t="shared" si="5"/>
        <v>4.157627986776987</v>
      </c>
      <c r="M11" s="249">
        <f t="shared" si="6"/>
        <v>5.0526522395303033</v>
      </c>
      <c r="N11" s="249">
        <f t="shared" si="7"/>
        <v>25.339999999999961</v>
      </c>
      <c r="O11" s="298"/>
      <c r="P11" s="298"/>
      <c r="Q11" s="298"/>
    </row>
    <row r="12" spans="1:17" x14ac:dyDescent="0.2">
      <c r="B12" s="249"/>
      <c r="C12" s="284"/>
      <c r="D12" s="249"/>
      <c r="E12" s="284"/>
      <c r="F12" s="249"/>
      <c r="G12" s="284"/>
      <c r="H12" s="249"/>
      <c r="I12" s="284"/>
    </row>
    <row r="13" spans="1:17" x14ac:dyDescent="0.2">
      <c r="A13" s="286">
        <f>'Ind T6'!Q5</f>
        <v>2025</v>
      </c>
      <c r="B13" s="249"/>
      <c r="C13" s="284"/>
      <c r="D13" s="249"/>
      <c r="E13" s="284"/>
      <c r="F13" s="249"/>
      <c r="G13" s="284"/>
      <c r="H13" s="249"/>
      <c r="I13" s="284"/>
      <c r="K13" s="286" t="str">
        <f>CONCATENATE(A13," - ",A18)</f>
        <v>2025 - 2035</v>
      </c>
    </row>
    <row r="14" spans="1:17" x14ac:dyDescent="0.2">
      <c r="A14" s="282" t="s">
        <v>364</v>
      </c>
      <c r="B14" s="249">
        <f>SUM(B35,B56,B77,B98,B119,B140,B161,B182,B203,B224,B245,B266,B287,B308,B329,B350,B371,B392,B413,B434,B455,B476)</f>
        <v>306.23184022686769</v>
      </c>
      <c r="C14" s="299" t="str">
        <f>CONCATENATE("(",ROUND((B14/$H16)*100,1),")")</f>
        <v>(34.4)</v>
      </c>
      <c r="D14" s="249">
        <f t="shared" ref="D14" si="11">SUM(D35,D56,D77,D98,D119,D140,D161,D182,D203,D224,D245,D266,D287,D308,D329,D350,D371,D392,D413,D434,D455,D476)</f>
        <v>78.683854667701482</v>
      </c>
      <c r="E14" s="299" t="str">
        <f>CONCATENATE("(",ROUND((D14/$H16)*100,1),")")</f>
        <v>(8.8)</v>
      </c>
      <c r="F14" s="249">
        <f t="shared" ref="F14" si="12">SUM(F35,F56,F77,F98,F119,F140,F161,F182,F203,F224,F245,F266,F287,F308,F329,F350,F371,F392,F413,F434,F455,F476)</f>
        <v>70.241298392359141</v>
      </c>
      <c r="G14" s="299" t="str">
        <f>CONCATENATE("(",ROUND((F14/$H16)*100,1),")")</f>
        <v>(7.9)</v>
      </c>
      <c r="H14" s="249">
        <f t="shared" ref="H14" si="13">SUM(H35,H56,H77,H98,H119,H140,H161,H182,H203,H224,H245,H266,H287,H308,H329,H350,H371,H392,H413,H434,H455,H476)</f>
        <v>455.1569932869283</v>
      </c>
      <c r="I14" s="299" t="str">
        <f>CONCATENATE("(",ROUND((H14/$H16)*100,1),")")</f>
        <v>(51.1)</v>
      </c>
      <c r="K14" s="249">
        <f>B19-B14</f>
        <v>7.4134096096408371</v>
      </c>
      <c r="L14" s="249">
        <f>D19-D14</f>
        <v>5.6908547871728814</v>
      </c>
      <c r="M14" s="249">
        <f>F19-F14</f>
        <v>5.2374138182171066</v>
      </c>
      <c r="N14" s="249">
        <f>SUM(K14:M14)</f>
        <v>18.341678215030825</v>
      </c>
    </row>
    <row r="15" spans="1:17" x14ac:dyDescent="0.2">
      <c r="A15" s="282" t="s">
        <v>365</v>
      </c>
      <c r="B15" s="249">
        <f t="shared" si="0"/>
        <v>205.76657103831991</v>
      </c>
      <c r="C15" s="299" t="str">
        <f>CONCATENATE("(",ROUND((B15/$H16)*100,1),")")</f>
        <v>(23.1)</v>
      </c>
      <c r="D15" s="249">
        <f t="shared" ref="D15" si="14">SUM(D36,D57,D78,D99,D120,D141,D162,D183,D204,D225,D246,D267,D288,D309,D330,D351,D372,D393,D414,D435,D456,D477)</f>
        <v>177.44824912736792</v>
      </c>
      <c r="E15" s="299" t="str">
        <f>CONCATENATE("(",ROUND((D15/$H16)*100,1),")")</f>
        <v>(19.9)</v>
      </c>
      <c r="F15" s="249">
        <f t="shared" ref="F15" si="15">SUM(F36,F57,F78,F99,F120,F141,F162,F183,F204,F225,F246,F267,F288,F309,F330,F351,F372,F393,F414,F435,F456,F477)</f>
        <v>51.608186547383838</v>
      </c>
      <c r="G15" s="299" t="str">
        <f>CONCATENATE("(",ROUND((F15/$H16)*100,1),")")</f>
        <v>(5.8)</v>
      </c>
      <c r="H15" s="249">
        <f t="shared" ref="H15" si="16">SUM(H36,H57,H78,H99,H120,H141,H162,H183,H204,H225,H246,H267,H288,H309,H330,H351,H372,H393,H414,H435,H456,H477)</f>
        <v>434.82300671307178</v>
      </c>
      <c r="I15" s="299" t="str">
        <f>CONCATENATE("(",ROUND((H15/$H16)*100,1),")")</f>
        <v>(48.9)</v>
      </c>
      <c r="K15" s="249">
        <f t="shared" ref="K15:K16" si="17">B20-B15</f>
        <v>13.47783736524687</v>
      </c>
      <c r="L15" s="249">
        <f t="shared" ref="L15:L16" si="18">D20-D15</f>
        <v>0.33314074946920869</v>
      </c>
      <c r="M15" s="249">
        <f t="shared" ref="M15:M16" si="19">F20-F15</f>
        <v>3.3453436702532784</v>
      </c>
      <c r="N15" s="249">
        <f t="shared" ref="N15:N16" si="20">SUM(K15:M15)</f>
        <v>17.156321784969357</v>
      </c>
    </row>
    <row r="16" spans="1:17" x14ac:dyDescent="0.2">
      <c r="A16" s="282" t="s">
        <v>363</v>
      </c>
      <c r="B16" s="249">
        <f t="shared" si="0"/>
        <v>511.9984112651876</v>
      </c>
      <c r="C16" s="299" t="str">
        <f>CONCATENATE("(",ROUND((B16/$H16)*100,1),")")</f>
        <v>(57.5)</v>
      </c>
      <c r="D16" s="249">
        <f t="shared" ref="D16" si="21">SUM(D37,D58,D79,D100,D121,D142,D163,D184,D205,D226,D247,D268,D289,D310,D331,D352,D373,D394,D415,D436,D457,D478)</f>
        <v>256.13210379506938</v>
      </c>
      <c r="E16" s="299" t="str">
        <f>CONCATENATE("(",ROUND((D16/$H16)*100,1),")")</f>
        <v>(28.8)</v>
      </c>
      <c r="F16" s="249">
        <f t="shared" ref="F16" si="22">SUM(F37,F58,F79,F100,F121,F142,F163,F184,F205,F226,F247,F268,F289,F310,F331,F352,F373,F394,F415,F436,F457,F478)</f>
        <v>121.84948493974298</v>
      </c>
      <c r="G16" s="299" t="str">
        <f>CONCATENATE("(",ROUND((F16/$H16)*100,1),")")</f>
        <v>(13.7)</v>
      </c>
      <c r="H16" s="249">
        <f t="shared" ref="H16" si="23">SUM(H37,H58,H79,H100,H121,H142,H163,H184,H205,H226,H247,H268,H289,H310,H331,H352,H373,H394,H415,H436,H457,H478)</f>
        <v>889.98000000000013</v>
      </c>
      <c r="I16" s="299" t="str">
        <f>CONCATENATE("(",ROUND((H16/$H16)*100,1),")")</f>
        <v>(100)</v>
      </c>
      <c r="K16" s="249">
        <f t="shared" si="17"/>
        <v>20.891246974887792</v>
      </c>
      <c r="L16" s="249">
        <f t="shared" si="18"/>
        <v>6.0239955366420759</v>
      </c>
      <c r="M16" s="249">
        <f t="shared" si="19"/>
        <v>8.5827574884703779</v>
      </c>
      <c r="N16" s="249">
        <f t="shared" si="20"/>
        <v>35.498000000000246</v>
      </c>
    </row>
    <row r="17" spans="1:14" x14ac:dyDescent="0.2">
      <c r="B17" s="249"/>
      <c r="C17" s="284"/>
      <c r="D17" s="249"/>
      <c r="E17" s="284"/>
      <c r="F17" s="249"/>
      <c r="G17" s="284"/>
      <c r="H17" s="249"/>
      <c r="I17" s="284"/>
    </row>
    <row r="18" spans="1:14" x14ac:dyDescent="0.2">
      <c r="A18" s="286">
        <f>'Ind T6'!V5</f>
        <v>2035</v>
      </c>
      <c r="B18" s="249"/>
      <c r="C18" s="284"/>
      <c r="D18" s="249"/>
      <c r="E18" s="284"/>
      <c r="F18" s="249"/>
      <c r="G18" s="284"/>
      <c r="H18" s="249"/>
      <c r="I18" s="284"/>
      <c r="K18" s="286" t="str">
        <f>CONCATENATE(A8," - ",A18)</f>
        <v>2020 - 2035</v>
      </c>
    </row>
    <row r="19" spans="1:14" x14ac:dyDescent="0.2">
      <c r="A19" s="282" t="s">
        <v>364</v>
      </c>
      <c r="B19" s="249">
        <f t="shared" si="0"/>
        <v>313.64524983650853</v>
      </c>
      <c r="C19" s="299" t="str">
        <f>CONCATENATE("(",ROUND((B19/$H21)*100,1),")")</f>
        <v>(33.9)</v>
      </c>
      <c r="D19" s="249">
        <f t="shared" ref="D19" si="24">SUM(D40,D61,D82,D103,D124,D145,D166,D187,D208,D229,D250,D271,D292,D313,D334,D355,D376,D397,D418,D439,D460,D481)</f>
        <v>84.374709454874363</v>
      </c>
      <c r="E19" s="299" t="str">
        <f>CONCATENATE("(",ROUND((D19/$H21)*100,1),")")</f>
        <v>(9.1)</v>
      </c>
      <c r="F19" s="249">
        <f t="shared" ref="F19" si="25">SUM(F40,F61,F82,F103,F124,F145,F166,F187,F208,F229,F250,F271,F292,F313,F334,F355,F376,F397,F418,F439,F460,F481)</f>
        <v>75.478712210576248</v>
      </c>
      <c r="G19" s="299" t="str">
        <f>CONCATENATE("(",ROUND((F19/$H21)*100,1),")")</f>
        <v>(8.2)</v>
      </c>
      <c r="H19" s="249">
        <f t="shared" ref="H19" si="26">SUM(H40,H61,H82,H103,H124,H145,H166,H187,H208,H229,H250,H271,H292,H313,H334,H355,H376,H397,H418,H439,H460,H481)</f>
        <v>473.49867150195905</v>
      </c>
      <c r="I19" s="299" t="str">
        <f>CONCATENATE("(",ROUND((H19/$H21)*100,1),")")</f>
        <v>(51.2)</v>
      </c>
      <c r="K19" s="249">
        <f>B19-B9</f>
        <v>15.00740350053087</v>
      </c>
      <c r="L19" s="249">
        <f>D19-D9</f>
        <v>8.723254969924966</v>
      </c>
      <c r="M19" s="249">
        <f>F19-F9</f>
        <v>8.6707951731742838</v>
      </c>
      <c r="N19" s="249">
        <f>SUM(K19:M19)</f>
        <v>32.40145364363012</v>
      </c>
    </row>
    <row r="20" spans="1:14" x14ac:dyDescent="0.2">
      <c r="A20" s="282" t="s">
        <v>365</v>
      </c>
      <c r="B20" s="249">
        <f t="shared" si="0"/>
        <v>219.24440840356678</v>
      </c>
      <c r="C20" s="299" t="str">
        <f>CONCATENATE("(",ROUND((B20/$H21)*100,1),")")</f>
        <v>(23.7)</v>
      </c>
      <c r="D20" s="249">
        <f t="shared" ref="D20" si="27">SUM(D41,D62,D83,D104,D125,D146,D167,D188,D209,D230,D251,D272,D293,D314,D335,D356,D377,D398,D419,D440,D461,D482)</f>
        <v>177.78138987683712</v>
      </c>
      <c r="E20" s="299" t="str">
        <f>CONCATENATE("(",ROUND((D20/$H21)*100,1),")")</f>
        <v>(19.2)</v>
      </c>
      <c r="F20" s="249">
        <f t="shared" ref="F20" si="28">SUM(F41,F62,F83,F104,F125,F146,F167,F188,F209,F230,F251,F272,F293,F314,F335,F356,F377,F398,F419,F440,F461,F482)</f>
        <v>54.953530217637116</v>
      </c>
      <c r="G20" s="299" t="str">
        <f>CONCATENATE("(",ROUND((F20/$H21)*100,1),")")</f>
        <v>(5.9)</v>
      </c>
      <c r="H20" s="249">
        <f t="shared" ref="H20" si="29">SUM(H41,H62,H83,H104,H125,H146,H167,H188,H209,H230,H251,H272,H293,H314,H335,H356,H377,H398,H419,H440,H461,H482)</f>
        <v>451.97932849804101</v>
      </c>
      <c r="I20" s="299" t="str">
        <f>CONCATENATE("(",ROUND((H20/$H21)*100,1),")")</f>
        <v>(48.8)</v>
      </c>
      <c r="K20" s="249">
        <f t="shared" ref="K20:K21" si="30">B20-B10</f>
        <v>22.013563248049564</v>
      </c>
      <c r="L20" s="249">
        <f t="shared" ref="L20:L21" si="31">D20-D10</f>
        <v>1.4583685534941537</v>
      </c>
      <c r="M20" s="249">
        <f t="shared" ref="M20:M21" si="32">F20-F10</f>
        <v>4.9646145548264116</v>
      </c>
      <c r="N20" s="249">
        <f t="shared" ref="N20:N21" si="33">SUM(K20:M20)</f>
        <v>28.43654635637013</v>
      </c>
    </row>
    <row r="21" spans="1:14" x14ac:dyDescent="0.2">
      <c r="A21" s="282" t="s">
        <v>363</v>
      </c>
      <c r="B21" s="249">
        <f t="shared" si="0"/>
        <v>532.88965824007539</v>
      </c>
      <c r="C21" s="299" t="str">
        <f>CONCATENATE("(",ROUND((B21/$H21)*100,1),")")</f>
        <v>(57.6)</v>
      </c>
      <c r="D21" s="249">
        <f t="shared" ref="D21" si="34">SUM(D42,D63,D84,D105,D126,D147,D168,D189,D210,D231,D252,D273,D294,D315,D336,D357,D378,D399,D420,D441,D462,D483)</f>
        <v>262.15609933171146</v>
      </c>
      <c r="E21" s="299" t="str">
        <f>CONCATENATE("(",ROUND((D21/$H21)*100,1),")")</f>
        <v>(28.3)</v>
      </c>
      <c r="F21" s="249">
        <f>SUM(F42,F63,F84,F105,F126,F147,F168,F189,F210,F231,F252,F273,F294,F315,F336,F357,F378,F399,F420,F441,F462,F483)</f>
        <v>130.43224242821336</v>
      </c>
      <c r="G21" s="299" t="str">
        <f>CONCATENATE("(",ROUND((F21/$H21)*100,1),")")</f>
        <v>(14.1)</v>
      </c>
      <c r="H21" s="249">
        <f t="shared" ref="H21" si="35">SUM(H42,H63,H84,H105,H126,H147,H168,H189,H210,H231,H252,H273,H294,H315,H336,H357,H378,H399,H420,H441,H462,H483)</f>
        <v>925.47800000000029</v>
      </c>
      <c r="I21" s="299" t="str">
        <f>CONCATENATE("(",ROUND((H21/$H21)*100,1),")")</f>
        <v>(100)</v>
      </c>
      <c r="K21" s="249">
        <f t="shared" si="30"/>
        <v>37.020966748580463</v>
      </c>
      <c r="L21" s="249">
        <f t="shared" si="31"/>
        <v>10.181623523419063</v>
      </c>
      <c r="M21" s="249">
        <f t="shared" si="32"/>
        <v>13.635409728000681</v>
      </c>
      <c r="N21" s="249">
        <f t="shared" si="33"/>
        <v>60.838000000000207</v>
      </c>
    </row>
    <row r="22" spans="1:14" x14ac:dyDescent="0.2">
      <c r="A22" s="293"/>
      <c r="B22" s="294"/>
      <c r="C22" s="293"/>
      <c r="D22" s="294"/>
      <c r="E22" s="293"/>
      <c r="F22" s="294"/>
      <c r="G22" s="293"/>
      <c r="H22" s="294"/>
      <c r="I22" s="293"/>
      <c r="J22" s="293"/>
      <c r="K22" s="294"/>
      <c r="L22" s="294"/>
      <c r="M22" s="294"/>
      <c r="N22" s="294"/>
    </row>
    <row r="26" spans="1:14" x14ac:dyDescent="0.2">
      <c r="A26" s="288"/>
      <c r="B26" s="289" t="s">
        <v>372</v>
      </c>
      <c r="C26" s="288"/>
      <c r="D26" s="289"/>
      <c r="E26" s="288"/>
      <c r="F26" s="289" t="str">
        <f>name!B4</f>
        <v>Agriculture</v>
      </c>
      <c r="G26" s="288"/>
      <c r="H26" s="291"/>
      <c r="I26" s="288"/>
      <c r="J26" s="290"/>
      <c r="K26" s="291"/>
      <c r="L26" s="291"/>
      <c r="M26" s="291"/>
      <c r="N26" s="291"/>
    </row>
    <row r="27" spans="1:14" x14ac:dyDescent="0.2">
      <c r="N27" s="287" t="s">
        <v>370</v>
      </c>
    </row>
    <row r="28" spans="1:14" x14ac:dyDescent="0.2">
      <c r="A28" s="296" t="s">
        <v>371</v>
      </c>
      <c r="B28" s="373" t="s">
        <v>369</v>
      </c>
      <c r="C28" s="373"/>
      <c r="D28" s="373" t="s">
        <v>368</v>
      </c>
      <c r="E28" s="373"/>
      <c r="F28" s="373" t="s">
        <v>367</v>
      </c>
      <c r="G28" s="373"/>
      <c r="H28" s="373" t="s">
        <v>33</v>
      </c>
      <c r="I28" s="373"/>
      <c r="J28" s="296"/>
      <c r="K28" s="297" t="s">
        <v>345</v>
      </c>
      <c r="L28" s="297" t="s">
        <v>347</v>
      </c>
      <c r="M28" s="297" t="s">
        <v>343</v>
      </c>
      <c r="N28" s="297" t="s">
        <v>33</v>
      </c>
    </row>
    <row r="29" spans="1:14" x14ac:dyDescent="0.2">
      <c r="A29" s="292">
        <f>$A$8</f>
        <v>2020</v>
      </c>
      <c r="B29" s="287" t="s">
        <v>66</v>
      </c>
      <c r="C29" s="20" t="s">
        <v>366</v>
      </c>
      <c r="D29" s="287" t="s">
        <v>66</v>
      </c>
      <c r="E29" s="20" t="s">
        <v>366</v>
      </c>
      <c r="F29" s="287" t="s">
        <v>66</v>
      </c>
      <c r="G29" s="20" t="s">
        <v>366</v>
      </c>
      <c r="H29" s="287" t="s">
        <v>66</v>
      </c>
      <c r="I29" s="20" t="s">
        <v>366</v>
      </c>
      <c r="J29" s="182"/>
      <c r="K29" s="286" t="str">
        <f>CONCATENATE(A29," - ",A34)</f>
        <v>2020 - 2025</v>
      </c>
      <c r="L29" s="285"/>
      <c r="M29" s="285"/>
    </row>
    <row r="30" spans="1:14" x14ac:dyDescent="0.2">
      <c r="A30" s="282" t="s">
        <v>364</v>
      </c>
      <c r="B30" s="302">
        <f>'Ind T6'!L9</f>
        <v>2.7012628172419055</v>
      </c>
      <c r="C30" s="299" t="str">
        <f>CONCATENATE("(",ROUND((B30/$H32)*100,1),")")</f>
        <v>(45.8)</v>
      </c>
      <c r="D30" s="302">
        <f>'Ind T6'!M9</f>
        <v>7.8529471961139418E-3</v>
      </c>
      <c r="E30" s="299" t="str">
        <f>CONCATENATE("(",ROUND((D30/$H32)*100,1),")")</f>
        <v>(0.1)</v>
      </c>
      <c r="F30" s="302">
        <f>'Ind T6'!N9</f>
        <v>0.81866974517892555</v>
      </c>
      <c r="G30" s="299" t="str">
        <f>CONCATENATE("(",ROUND((F30/$H32)*100,1),")")</f>
        <v>(13.9)</v>
      </c>
      <c r="H30" s="302">
        <f>SUM(B30,D30,F30)</f>
        <v>3.5277855096169448</v>
      </c>
      <c r="I30" s="299" t="str">
        <f>CONCATENATE("(",ROUND((H30/$H32)*100,1),")")</f>
        <v>(59.8)</v>
      </c>
      <c r="K30" s="302">
        <f>B35-B30</f>
        <v>0.16546576300638138</v>
      </c>
      <c r="L30" s="302">
        <f>D35-D30</f>
        <v>1.5762984571975579E-4</v>
      </c>
      <c r="M30" s="302">
        <f>F35-F30</f>
        <v>-3.2534595337381234E-3</v>
      </c>
      <c r="N30" s="302">
        <f>SUM(K30:M30)</f>
        <v>0.16236993331836302</v>
      </c>
    </row>
    <row r="31" spans="1:14" x14ac:dyDescent="0.2">
      <c r="A31" s="282" t="s">
        <v>365</v>
      </c>
      <c r="B31" s="302">
        <f>'Ind T6'!L8</f>
        <v>1.3399846244382216</v>
      </c>
      <c r="C31" s="299" t="str">
        <f>CONCATENATE("(",ROUND((B31/$H32)*100,1),")")</f>
        <v>(22.7)</v>
      </c>
      <c r="D31" s="302">
        <f>'Ind T6'!M8</f>
        <v>0.61645635490201744</v>
      </c>
      <c r="E31" s="299" t="str">
        <f>CONCATENATE("(",ROUND((D31/$H32)*100,1),")")</f>
        <v>(10.4)</v>
      </c>
      <c r="F31" s="302">
        <f>'Ind T6'!N8</f>
        <v>0.41877351104283195</v>
      </c>
      <c r="G31" s="299" t="str">
        <f>CONCATENATE("(",ROUND((F31/$H32)*100,1),")")</f>
        <v>(7.1)</v>
      </c>
      <c r="H31" s="302">
        <f t="shared" ref="H31" si="36">SUM(B31,D31,F31)</f>
        <v>2.3752144903830712</v>
      </c>
      <c r="I31" s="299" t="str">
        <f>CONCATENATE("(",ROUND((H31/$H32)*100,1),")")</f>
        <v>(40.2)</v>
      </c>
      <c r="K31" s="302">
        <f t="shared" ref="K31:K32" si="37">B36-B31</f>
        <v>3.5869768275324843E-2</v>
      </c>
      <c r="L31" s="302">
        <f t="shared" ref="L31:L32" si="38">D36-D31</f>
        <v>-2.8159248894139566E-3</v>
      </c>
      <c r="M31" s="302">
        <f t="shared" ref="M31:M32" si="39">F36-F31</f>
        <v>1.7576223295699467E-2</v>
      </c>
      <c r="N31" s="302">
        <f t="shared" ref="N31:N32" si="40">SUM(K31:M31)</f>
        <v>5.0630066681610353E-2</v>
      </c>
    </row>
    <row r="32" spans="1:14" x14ac:dyDescent="0.2">
      <c r="A32" s="282" t="s">
        <v>363</v>
      </c>
      <c r="B32" s="302">
        <f>SUM(B30:B31)</f>
        <v>4.0412474416801274</v>
      </c>
      <c r="C32" s="299" t="str">
        <f>CONCATENATE("(",ROUND((B32/$H32)*100,1),")")</f>
        <v>(68.5)</v>
      </c>
      <c r="D32" s="302">
        <f>SUM(D30:D31)</f>
        <v>0.6243093020981314</v>
      </c>
      <c r="E32" s="299" t="str">
        <f>CONCATENATE("(",ROUND((D32/$H32)*100,1),")")</f>
        <v>(10.6)</v>
      </c>
      <c r="F32" s="302">
        <f>SUM(F30:F31)</f>
        <v>1.2374432562217574</v>
      </c>
      <c r="G32" s="299" t="str">
        <f>CONCATENATE("(",ROUND((F32/$H32)*100,1),")")</f>
        <v>(21)</v>
      </c>
      <c r="H32" s="302">
        <f>SUM(H30:H31)</f>
        <v>5.9030000000000165</v>
      </c>
      <c r="I32" s="299" t="str">
        <f>CONCATENATE("(",ROUND((H32/$H32)*100,1),")")</f>
        <v>(100)</v>
      </c>
      <c r="K32" s="302">
        <f t="shared" si="37"/>
        <v>0.201335531281706</v>
      </c>
      <c r="L32" s="302">
        <f t="shared" si="38"/>
        <v>-2.6582950436941921E-3</v>
      </c>
      <c r="M32" s="302">
        <f t="shared" si="39"/>
        <v>1.4322763761961399E-2</v>
      </c>
      <c r="N32" s="302">
        <f t="shared" si="40"/>
        <v>0.21299999999997321</v>
      </c>
    </row>
    <row r="33" spans="1:14" x14ac:dyDescent="0.2">
      <c r="B33" s="302"/>
      <c r="C33" s="284"/>
      <c r="D33" s="302"/>
      <c r="E33" s="284"/>
      <c r="F33" s="302"/>
      <c r="G33" s="284"/>
      <c r="H33" s="302"/>
      <c r="I33" s="284"/>
    </row>
    <row r="34" spans="1:14" x14ac:dyDescent="0.2">
      <c r="A34" s="292">
        <f>$A$13</f>
        <v>2025</v>
      </c>
      <c r="B34" s="302"/>
      <c r="C34" s="284"/>
      <c r="D34" s="302"/>
      <c r="E34" s="284"/>
      <c r="F34" s="302"/>
      <c r="G34" s="284"/>
      <c r="H34" s="302"/>
      <c r="I34" s="284"/>
      <c r="K34" s="286" t="str">
        <f>CONCATENATE(A34," - ",A39)</f>
        <v>2025 - 2035</v>
      </c>
    </row>
    <row r="35" spans="1:14" x14ac:dyDescent="0.2">
      <c r="A35" s="282" t="s">
        <v>364</v>
      </c>
      <c r="B35" s="302">
        <f>'Ind T6'!Q9</f>
        <v>2.8667285802482869</v>
      </c>
      <c r="C35" s="299" t="str">
        <f>CONCATENATE("(",ROUND((B35/$H37)*100,1),")")</f>
        <v>(46.9)</v>
      </c>
      <c r="D35" s="302">
        <f>'Ind T6'!R9</f>
        <v>8.0105770418336976E-3</v>
      </c>
      <c r="E35" s="299" t="str">
        <f>CONCATENATE("(",ROUND((D35/$H37)*100,1),")")</f>
        <v>(0.1)</v>
      </c>
      <c r="F35" s="302">
        <f>'Ind T6'!S9</f>
        <v>0.81541628564518742</v>
      </c>
      <c r="G35" s="299" t="str">
        <f>CONCATENATE("(",ROUND((F35/$H37)*100,1),")")</f>
        <v>(13.3)</v>
      </c>
      <c r="H35" s="302">
        <f>SUM(B35,D35,F35)</f>
        <v>3.6901554429353078</v>
      </c>
      <c r="I35" s="299" t="str">
        <f>CONCATENATE("(",ROUND((H35/$H37)*100,1),")")</f>
        <v>(60.3)</v>
      </c>
      <c r="K35" s="302">
        <f>B40-B35</f>
        <v>0.25064191125885404</v>
      </c>
      <c r="L35" s="302">
        <f>D40-D35</f>
        <v>1.4889203580167008E-4</v>
      </c>
      <c r="M35" s="302">
        <f>F40-F35</f>
        <v>-5.8398876800489163E-2</v>
      </c>
      <c r="N35" s="302">
        <f>SUM(K35:M35)</f>
        <v>0.19239192649416653</v>
      </c>
    </row>
    <row r="36" spans="1:14" x14ac:dyDescent="0.2">
      <c r="A36" s="282" t="s">
        <v>365</v>
      </c>
      <c r="B36" s="302">
        <f>'Ind T6'!Q8</f>
        <v>1.3758543927135465</v>
      </c>
      <c r="C36" s="299" t="str">
        <f>CONCATENATE("(",ROUND((B36/$H37)*100,1),")")</f>
        <v>(22.5)</v>
      </c>
      <c r="D36" s="302">
        <f>'Ind T6'!R8</f>
        <v>0.61364043001260349</v>
      </c>
      <c r="E36" s="299" t="str">
        <f>CONCATENATE("(",ROUND((D36/$H37)*100,1),")")</f>
        <v>(10)</v>
      </c>
      <c r="F36" s="302">
        <f>'Ind T6'!S8</f>
        <v>0.43634973433853141</v>
      </c>
      <c r="G36" s="299" t="str">
        <f>CONCATENATE("(",ROUND((F36/$H37)*100,1),")")</f>
        <v>(7.1)</v>
      </c>
      <c r="H36" s="302">
        <f t="shared" ref="H36" si="41">SUM(B36,D36,F36)</f>
        <v>2.4258445570646812</v>
      </c>
      <c r="I36" s="299" t="str">
        <f>CONCATENATE("(",ROUND((H36/$H37)*100,1),")")</f>
        <v>(39.7)</v>
      </c>
      <c r="K36" s="302">
        <f t="shared" ref="K36:K37" si="42">B41-B36</f>
        <v>2.9447801296988985E-3</v>
      </c>
      <c r="L36" s="302">
        <f t="shared" ref="L36:L37" si="43">D41-D36</f>
        <v>-4.1722088185187522E-2</v>
      </c>
      <c r="M36" s="302">
        <f t="shared" ref="M36:M37" si="44">F41-F36</f>
        <v>1.4385381561329125E-2</v>
      </c>
      <c r="N36" s="302">
        <f t="shared" ref="N36:N37" si="45">SUM(K36:M36)</f>
        <v>-2.4391926494159499E-2</v>
      </c>
    </row>
    <row r="37" spans="1:14" x14ac:dyDescent="0.2">
      <c r="A37" s="282" t="s">
        <v>363</v>
      </c>
      <c r="B37" s="302">
        <f>SUM(B35:B36)</f>
        <v>4.2425829729618334</v>
      </c>
      <c r="C37" s="299" t="str">
        <f>CONCATENATE("(",ROUND((B37/$H37)*100,1),")")</f>
        <v>(69.4)</v>
      </c>
      <c r="D37" s="302">
        <f>SUM(D35:D36)</f>
        <v>0.62165100705443721</v>
      </c>
      <c r="E37" s="299" t="str">
        <f>CONCATENATE("(",ROUND((D37/$H37)*100,1),")")</f>
        <v>(10.2)</v>
      </c>
      <c r="F37" s="302">
        <f>SUM(F35:F36)</f>
        <v>1.2517660199837188</v>
      </c>
      <c r="G37" s="299" t="str">
        <f>CONCATENATE("(",ROUND((F37/$H37)*100,1),")")</f>
        <v>(20.5)</v>
      </c>
      <c r="H37" s="302">
        <f>SUM(H35:H36)</f>
        <v>6.115999999999989</v>
      </c>
      <c r="I37" s="299" t="str">
        <f>CONCATENATE("(",ROUND((H37/$H37)*100,1),")")</f>
        <v>(100)</v>
      </c>
      <c r="K37" s="302">
        <f t="shared" si="42"/>
        <v>0.25358669138855294</v>
      </c>
      <c r="L37" s="302">
        <f t="shared" si="43"/>
        <v>-4.1573196149385927E-2</v>
      </c>
      <c r="M37" s="302">
        <f t="shared" si="44"/>
        <v>-4.4013495239159983E-2</v>
      </c>
      <c r="N37" s="302">
        <f t="shared" si="45"/>
        <v>0.16800000000000703</v>
      </c>
    </row>
    <row r="38" spans="1:14" x14ac:dyDescent="0.2">
      <c r="B38" s="302"/>
      <c r="C38" s="284"/>
      <c r="D38" s="302"/>
      <c r="E38" s="284"/>
      <c r="F38" s="302"/>
      <c r="G38" s="284"/>
      <c r="H38" s="302"/>
      <c r="I38" s="284"/>
    </row>
    <row r="39" spans="1:14" x14ac:dyDescent="0.2">
      <c r="A39" s="292">
        <f>$A$18</f>
        <v>2035</v>
      </c>
      <c r="B39" s="302"/>
      <c r="C39" s="284"/>
      <c r="D39" s="302"/>
      <c r="E39" s="284"/>
      <c r="F39" s="302"/>
      <c r="G39" s="284"/>
      <c r="H39" s="302"/>
      <c r="I39" s="284"/>
      <c r="K39" s="286" t="str">
        <f>CONCATENATE(A29," - ",A39)</f>
        <v>2020 - 2035</v>
      </c>
    </row>
    <row r="40" spans="1:14" x14ac:dyDescent="0.2">
      <c r="A40" s="282" t="s">
        <v>364</v>
      </c>
      <c r="B40" s="302">
        <f>'Ind T6'!V9</f>
        <v>3.117370491507141</v>
      </c>
      <c r="C40" s="299" t="str">
        <f>CONCATENATE("(",ROUND((B40/$H42)*100,1),")")</f>
        <v>(49.6)</v>
      </c>
      <c r="D40" s="302">
        <f>'Ind T6'!W9</f>
        <v>8.1594690776353677E-3</v>
      </c>
      <c r="E40" s="299" t="str">
        <f>CONCATENATE("(",ROUND((D40/$H42)*100,1),")")</f>
        <v>(0.1)</v>
      </c>
      <c r="F40" s="302">
        <f>'Ind T6'!X9</f>
        <v>0.75701740884469826</v>
      </c>
      <c r="G40" s="299" t="str">
        <f>CONCATENATE("(",ROUND((F40/$H42)*100,1),")")</f>
        <v>(12)</v>
      </c>
      <c r="H40" s="302">
        <f>SUM(B40,D40,F40)</f>
        <v>3.8825473694294748</v>
      </c>
      <c r="I40" s="299" t="str">
        <f>CONCATENATE("(",ROUND((H40/$H42)*100,1),")")</f>
        <v>(61.8)</v>
      </c>
      <c r="K40" s="302">
        <f>B40-B30</f>
        <v>0.41610767426523543</v>
      </c>
      <c r="L40" s="302">
        <f>D40-D30</f>
        <v>3.0652188152142587E-4</v>
      </c>
      <c r="M40" s="302">
        <f>F40-F30</f>
        <v>-6.1652336334227287E-2</v>
      </c>
      <c r="N40" s="302">
        <f>SUM(K40:M40)</f>
        <v>0.35476185981252956</v>
      </c>
    </row>
    <row r="41" spans="1:14" x14ac:dyDescent="0.2">
      <c r="A41" s="282" t="s">
        <v>365</v>
      </c>
      <c r="B41" s="302">
        <f>'Ind T6'!V8</f>
        <v>1.3787991728432454</v>
      </c>
      <c r="C41" s="299" t="str">
        <f>CONCATENATE("(",ROUND((B41/$H42)*100,1),")")</f>
        <v>(21.9)</v>
      </c>
      <c r="D41" s="302">
        <f>'Ind T6'!W8</f>
        <v>0.57191834182741597</v>
      </c>
      <c r="E41" s="299" t="str">
        <f>CONCATENATE("(",ROUND((D41/$H42)*100,1),")")</f>
        <v>(9.1)</v>
      </c>
      <c r="F41" s="302">
        <f>'Ind T6'!X8</f>
        <v>0.45073511589986054</v>
      </c>
      <c r="G41" s="299" t="str">
        <f>CONCATENATE("(",ROUND((F41/$H42)*100,1),")")</f>
        <v>(7.2)</v>
      </c>
      <c r="H41" s="302">
        <f t="shared" ref="H41" si="46">SUM(B41,D41,F41)</f>
        <v>2.4014526305705219</v>
      </c>
      <c r="I41" s="299" t="str">
        <f>CONCATENATE("(",ROUND((H41/$H42)*100,1),")")</f>
        <v>(38.2)</v>
      </c>
      <c r="K41" s="302">
        <f t="shared" ref="K41:K42" si="47">B41-B31</f>
        <v>3.8814548405023741E-2</v>
      </c>
      <c r="L41" s="302">
        <f t="shared" ref="L41:L42" si="48">D41-D31</f>
        <v>-4.4538013074601479E-2</v>
      </c>
      <c r="M41" s="302">
        <f t="shared" ref="M41:M42" si="49">F41-F31</f>
        <v>3.1961604857028592E-2</v>
      </c>
      <c r="N41" s="302">
        <f t="shared" ref="N41:N42" si="50">SUM(K41:M41)</f>
        <v>2.6238140187450854E-2</v>
      </c>
    </row>
    <row r="42" spans="1:14" x14ac:dyDescent="0.2">
      <c r="A42" s="282" t="s">
        <v>363</v>
      </c>
      <c r="B42" s="302">
        <f>SUM(B40:B41)</f>
        <v>4.4961696643503863</v>
      </c>
      <c r="C42" s="299" t="str">
        <f>CONCATENATE("(",ROUND((B42/$H42)*100,1),")")</f>
        <v>(71.5)</v>
      </c>
      <c r="D42" s="302">
        <f>SUM(D40:D41)</f>
        <v>0.58007781090505128</v>
      </c>
      <c r="E42" s="299" t="str">
        <f>CONCATENATE("(",ROUND((D42/$H42)*100,1),")")</f>
        <v>(9.2)</v>
      </c>
      <c r="F42" s="302">
        <f>SUM(F40:F41)</f>
        <v>1.2077525247445589</v>
      </c>
      <c r="G42" s="299" t="str">
        <f>CONCATENATE("(",ROUND((F42/$H42)*100,1),")")</f>
        <v>(19.2)</v>
      </c>
      <c r="H42" s="302">
        <f>SUM(H40:H41)</f>
        <v>6.2839999999999971</v>
      </c>
      <c r="I42" s="299" t="str">
        <f>CONCATENATE("(",ROUND((H42/$H42)*100,1),")")</f>
        <v>(100)</v>
      </c>
      <c r="K42" s="302">
        <f t="shared" si="47"/>
        <v>0.45492222267025895</v>
      </c>
      <c r="L42" s="302">
        <f t="shared" si="48"/>
        <v>-4.4231491193080119E-2</v>
      </c>
      <c r="M42" s="302">
        <f t="shared" si="49"/>
        <v>-2.9690731477198584E-2</v>
      </c>
      <c r="N42" s="302">
        <f t="shared" si="50"/>
        <v>0.38099999999998024</v>
      </c>
    </row>
    <row r="43" spans="1:14" x14ac:dyDescent="0.2">
      <c r="A43" s="293"/>
      <c r="B43" s="294"/>
      <c r="C43" s="293"/>
      <c r="D43" s="294"/>
      <c r="E43" s="293"/>
      <c r="F43" s="294"/>
      <c r="G43" s="293"/>
      <c r="H43" s="294"/>
      <c r="I43" s="293"/>
      <c r="J43" s="293"/>
      <c r="K43" s="294"/>
      <c r="L43" s="294"/>
      <c r="M43" s="294"/>
      <c r="N43" s="294"/>
    </row>
    <row r="46" spans="1:14" x14ac:dyDescent="0.2">
      <c r="C46" s="182"/>
      <c r="E46" s="182"/>
      <c r="G46" s="182"/>
      <c r="I46" s="182"/>
    </row>
    <row r="47" spans="1:14" x14ac:dyDescent="0.2">
      <c r="A47" s="288"/>
      <c r="B47" s="289" t="s">
        <v>372</v>
      </c>
      <c r="C47" s="288"/>
      <c r="D47" s="289"/>
      <c r="E47" s="288"/>
      <c r="F47" s="289" t="str">
        <f>name!B5</f>
        <v>Mining and quarrying</v>
      </c>
      <c r="G47" s="288"/>
      <c r="H47" s="291"/>
      <c r="I47" s="288"/>
      <c r="J47" s="290"/>
      <c r="K47" s="291"/>
      <c r="L47" s="291"/>
      <c r="M47" s="291"/>
      <c r="N47" s="291"/>
    </row>
    <row r="48" spans="1:14" x14ac:dyDescent="0.2">
      <c r="N48" s="287" t="s">
        <v>370</v>
      </c>
    </row>
    <row r="49" spans="1:14" x14ac:dyDescent="0.2">
      <c r="A49" s="182" t="s">
        <v>371</v>
      </c>
      <c r="B49" s="372" t="s">
        <v>369</v>
      </c>
      <c r="C49" s="372"/>
      <c r="D49" s="372" t="s">
        <v>368</v>
      </c>
      <c r="E49" s="372"/>
      <c r="F49" s="372" t="s">
        <v>367</v>
      </c>
      <c r="G49" s="372"/>
      <c r="H49" s="372" t="s">
        <v>33</v>
      </c>
      <c r="I49" s="372"/>
      <c r="J49" s="182"/>
      <c r="K49" s="297" t="s">
        <v>345</v>
      </c>
      <c r="L49" s="297" t="s">
        <v>347</v>
      </c>
      <c r="M49" s="297" t="s">
        <v>343</v>
      </c>
      <c r="N49" s="297" t="s">
        <v>33</v>
      </c>
    </row>
    <row r="50" spans="1:14" x14ac:dyDescent="0.2">
      <c r="A50" s="292">
        <f>$A$8</f>
        <v>2020</v>
      </c>
      <c r="B50" s="287" t="s">
        <v>66</v>
      </c>
      <c r="C50" s="20" t="s">
        <v>366</v>
      </c>
      <c r="D50" s="287" t="s">
        <v>66</v>
      </c>
      <c r="E50" s="20" t="s">
        <v>366</v>
      </c>
      <c r="F50" s="287" t="s">
        <v>66</v>
      </c>
      <c r="G50" s="20" t="s">
        <v>366</v>
      </c>
      <c r="H50" s="287" t="s">
        <v>66</v>
      </c>
      <c r="I50" s="20" t="s">
        <v>366</v>
      </c>
      <c r="J50" s="182"/>
      <c r="K50" s="286" t="str">
        <f>CONCATENATE(A50," - ",A55)</f>
        <v>2020 - 2025</v>
      </c>
      <c r="L50" s="285"/>
      <c r="M50" s="285"/>
    </row>
    <row r="51" spans="1:14" x14ac:dyDescent="0.2">
      <c r="A51" s="282" t="s">
        <v>364</v>
      </c>
      <c r="B51" s="302">
        <f>'Ind T6'!L18</f>
        <v>0.24967029702993587</v>
      </c>
      <c r="C51" s="299" t="str">
        <f>CONCATENATE("(",ROUND((B51/$H53)*100,1),")")</f>
        <v>(54.2)</v>
      </c>
      <c r="D51" s="302">
        <f>'Ind T6'!M18</f>
        <v>1.8257425742653464E-3</v>
      </c>
      <c r="E51" s="299" t="str">
        <f>CONCATENATE("(",ROUND((D51/$H53)*100,1),")")</f>
        <v>(0.4)</v>
      </c>
      <c r="F51" s="302">
        <f>'Ind T6'!N18</f>
        <v>0.15625313531352297</v>
      </c>
      <c r="G51" s="299" t="str">
        <f>CONCATENATE("(",ROUND((F51/$H53)*100,1),")")</f>
        <v>(33.9)</v>
      </c>
      <c r="H51" s="302">
        <f>SUM(B51,D51,F51)</f>
        <v>0.40774917491772417</v>
      </c>
      <c r="I51" s="299" t="str">
        <f>CONCATENATE("(",ROUND((H51/$H53)*100,1),")")</f>
        <v>(88.4)</v>
      </c>
      <c r="K51" s="302">
        <f>B56-B51</f>
        <v>-2.7114782459027847E-2</v>
      </c>
      <c r="L51" s="302">
        <f>D56-D51</f>
        <v>-1.5809226072662766E-4</v>
      </c>
      <c r="M51" s="302">
        <f>F56-F51</f>
        <v>-1.6928531847344774E-2</v>
      </c>
      <c r="N51" s="302">
        <f>SUM(K51:M51)</f>
        <v>-4.4201406567099248E-2</v>
      </c>
    </row>
    <row r="52" spans="1:14" x14ac:dyDescent="0.2">
      <c r="A52" s="282" t="s">
        <v>365</v>
      </c>
      <c r="B52" s="302">
        <f>'Ind T6'!L17</f>
        <v>4.2904950494737512E-2</v>
      </c>
      <c r="C52" s="299" t="str">
        <f>CONCATENATE("(",ROUND((B52/$H53)*100,1),")")</f>
        <v>(9.3)</v>
      </c>
      <c r="D52" s="302">
        <f>'Ind T6'!M17</f>
        <v>1.0345874587538209E-2</v>
      </c>
      <c r="E52" s="299" t="str">
        <f>CONCATENATE("(",ROUND((D52/$H53)*100,1),")")</f>
        <v>(2.2)</v>
      </c>
      <c r="F52" s="302">
        <f>'Ind T6'!N17</f>
        <v>0</v>
      </c>
      <c r="G52" s="299" t="str">
        <f>CONCATENATE("(",ROUND((F52/$H53)*100,1),")")</f>
        <v>(0)</v>
      </c>
      <c r="H52" s="302">
        <f t="shared" ref="H52" si="51">SUM(B52,D52,F52)</f>
        <v>5.3250825082275723E-2</v>
      </c>
      <c r="I52" s="299" t="str">
        <f>CONCATENATE("(",ROUND((H52/$H53)*100,1),")")</f>
        <v>(11.6)</v>
      </c>
      <c r="K52" s="302">
        <f t="shared" ref="K52:K53" si="52">B57-B52</f>
        <v>-4.8522024308782913E-3</v>
      </c>
      <c r="L52" s="302">
        <f t="shared" ref="L52:L53" si="53">D57-D52</f>
        <v>-9.4639100202326826E-4</v>
      </c>
      <c r="M52" s="302">
        <f t="shared" ref="M52:M53" si="54">F57-F52</f>
        <v>0</v>
      </c>
      <c r="N52" s="302">
        <f t="shared" ref="N52:N53" si="55">SUM(K52:M52)</f>
        <v>-5.7985934329015595E-3</v>
      </c>
    </row>
    <row r="53" spans="1:14" x14ac:dyDescent="0.2">
      <c r="A53" s="282" t="s">
        <v>363</v>
      </c>
      <c r="B53" s="302">
        <f>SUM(B51:B52)</f>
        <v>0.2925752475246734</v>
      </c>
      <c r="C53" s="299" t="str">
        <f>CONCATENATE("(",ROUND((B53/$H53)*100,1),")")</f>
        <v>(63.5)</v>
      </c>
      <c r="D53" s="302">
        <f>SUM(D51:D52)</f>
        <v>1.2171617161803556E-2</v>
      </c>
      <c r="E53" s="299" t="str">
        <f>CONCATENATE("(",ROUND((D53/$H53)*100,1),")")</f>
        <v>(2.6)</v>
      </c>
      <c r="F53" s="302">
        <f>SUM(F51:F52)</f>
        <v>0.15625313531352297</v>
      </c>
      <c r="G53" s="299" t="str">
        <f>CONCATENATE("(",ROUND((F53/$H53)*100,1),")")</f>
        <v>(33.9)</v>
      </c>
      <c r="H53" s="302">
        <f>SUM(H51:H52)</f>
        <v>0.46099999999999991</v>
      </c>
      <c r="I53" s="299" t="str">
        <f>CONCATENATE("(",ROUND((H53/$H53)*100,1),")")</f>
        <v>(100)</v>
      </c>
      <c r="K53" s="302">
        <f t="shared" si="52"/>
        <v>-3.196698488990618E-2</v>
      </c>
      <c r="L53" s="302">
        <f t="shared" si="53"/>
        <v>-1.1044832627498963E-3</v>
      </c>
      <c r="M53" s="302">
        <f t="shared" si="54"/>
        <v>-1.6928531847344774E-2</v>
      </c>
      <c r="N53" s="302">
        <f t="shared" si="55"/>
        <v>-5.0000000000000849E-2</v>
      </c>
    </row>
    <row r="54" spans="1:14" x14ac:dyDescent="0.2">
      <c r="B54" s="302"/>
      <c r="C54" s="284"/>
      <c r="D54" s="302"/>
      <c r="E54" s="284"/>
      <c r="F54" s="302"/>
      <c r="G54" s="284"/>
      <c r="H54" s="302"/>
      <c r="I54" s="284"/>
    </row>
    <row r="55" spans="1:14" x14ac:dyDescent="0.2">
      <c r="A55" s="292">
        <f>$A$13</f>
        <v>2025</v>
      </c>
      <c r="B55" s="302"/>
      <c r="C55" s="284"/>
      <c r="D55" s="302"/>
      <c r="E55" s="284"/>
      <c r="F55" s="302"/>
      <c r="G55" s="284"/>
      <c r="H55" s="302"/>
      <c r="I55" s="284"/>
      <c r="K55" s="286" t="str">
        <f>CONCATENATE(A55," - ",A60)</f>
        <v>2025 - 2035</v>
      </c>
    </row>
    <row r="56" spans="1:14" x14ac:dyDescent="0.2">
      <c r="A56" s="282" t="s">
        <v>364</v>
      </c>
      <c r="B56" s="302">
        <f>'Ind T6'!Q18</f>
        <v>0.22255551457090803</v>
      </c>
      <c r="C56" s="299" t="str">
        <f>CONCATENATE("(",ROUND((B56/$H58)*100,1),")")</f>
        <v>(54.1)</v>
      </c>
      <c r="D56" s="302">
        <f>'Ind T6'!R18</f>
        <v>1.6676503135387188E-3</v>
      </c>
      <c r="E56" s="299" t="str">
        <f>CONCATENATE("(",ROUND((D56/$H58)*100,1),")")</f>
        <v>(0.4)</v>
      </c>
      <c r="F56" s="302">
        <f>'Ind T6'!S18</f>
        <v>0.1393246034661782</v>
      </c>
      <c r="G56" s="299" t="str">
        <f>CONCATENATE("(",ROUND((F56/$H58)*100,1),")")</f>
        <v>(33.9)</v>
      </c>
      <c r="H56" s="302">
        <f>SUM(B56,D56,F56)</f>
        <v>0.36354776835062497</v>
      </c>
      <c r="I56" s="299" t="str">
        <f>CONCATENATE("(",ROUND((H56/$H58)*100,1),")")</f>
        <v>(88.5)</v>
      </c>
      <c r="K56" s="302">
        <f>B61-B56</f>
        <v>-1.9926801699045649E-2</v>
      </c>
      <c r="L56" s="302">
        <f>D61-D56</f>
        <v>-6.759224428196358E-6</v>
      </c>
      <c r="M56" s="302">
        <f>F61-F56</f>
        <v>-2.0042425248857243E-2</v>
      </c>
      <c r="N56" s="302">
        <f>SUM(K56:M56)</f>
        <v>-3.9975986172331085E-2</v>
      </c>
    </row>
    <row r="57" spans="1:14" x14ac:dyDescent="0.2">
      <c r="A57" s="282" t="s">
        <v>365</v>
      </c>
      <c r="B57" s="302">
        <f>'Ind T6'!Q17</f>
        <v>3.8052748063859221E-2</v>
      </c>
      <c r="C57" s="299" t="str">
        <f>CONCATENATE("(",ROUND((B57/$H58)*100,1),")")</f>
        <v>(9.3)</v>
      </c>
      <c r="D57" s="302">
        <f>'Ind T6'!R17</f>
        <v>9.3994835855149405E-3</v>
      </c>
      <c r="E57" s="299" t="str">
        <f>CONCATENATE("(",ROUND((D57/$H58)*100,1),")")</f>
        <v>(2.3)</v>
      </c>
      <c r="F57" s="302">
        <f>'Ind T6'!S17</f>
        <v>0</v>
      </c>
      <c r="G57" s="299" t="str">
        <f>CONCATENATE("(",ROUND((F57/$H58)*100,1),")")</f>
        <v>(0)</v>
      </c>
      <c r="H57" s="302">
        <f t="shared" ref="H57" si="56">SUM(B57,D57,F57)</f>
        <v>4.7452231649374163E-2</v>
      </c>
      <c r="I57" s="299" t="str">
        <f>CONCATENATE("(",ROUND((H57/$H58)*100,1),")")</f>
        <v>(11.5)</v>
      </c>
      <c r="K57" s="302">
        <f t="shared" ref="K57:K58" si="57">B62-B57</f>
        <v>-4.5329460837556512E-3</v>
      </c>
      <c r="L57" s="302">
        <f t="shared" ref="L57:L58" si="58">D62-D57</f>
        <v>-4.9106774391241559E-4</v>
      </c>
      <c r="M57" s="302">
        <f t="shared" ref="M57:M58" si="59">F62-F57</f>
        <v>0</v>
      </c>
      <c r="N57" s="302">
        <f t="shared" ref="N57:N58" si="60">SUM(K57:M57)</f>
        <v>-5.0240138276680668E-3</v>
      </c>
    </row>
    <row r="58" spans="1:14" x14ac:dyDescent="0.2">
      <c r="A58" s="282" t="s">
        <v>363</v>
      </c>
      <c r="B58" s="302">
        <f>SUM(B56:B57)</f>
        <v>0.26060826263476722</v>
      </c>
      <c r="C58" s="299" t="str">
        <f>CONCATENATE("(",ROUND((B58/$H58)*100,1),")")</f>
        <v>(63.4)</v>
      </c>
      <c r="D58" s="302">
        <f>SUM(D56:D57)</f>
        <v>1.1067133899053659E-2</v>
      </c>
      <c r="E58" s="299" t="str">
        <f>CONCATENATE("(",ROUND((D58/$H58)*100,1),")")</f>
        <v>(2.7)</v>
      </c>
      <c r="F58" s="302">
        <f>SUM(F56:F57)</f>
        <v>0.1393246034661782</v>
      </c>
      <c r="G58" s="299" t="str">
        <f>CONCATENATE("(",ROUND((F58/$H58)*100,1),")")</f>
        <v>(33.9)</v>
      </c>
      <c r="H58" s="302">
        <f>SUM(H56:H57)</f>
        <v>0.41099999999999914</v>
      </c>
      <c r="I58" s="299" t="str">
        <f>CONCATENATE("(",ROUND((H58/$H58)*100,1),")")</f>
        <v>(100)</v>
      </c>
      <c r="K58" s="302">
        <f t="shared" si="57"/>
        <v>-2.4459747782801272E-2</v>
      </c>
      <c r="L58" s="302">
        <f t="shared" si="58"/>
        <v>-4.9782696834061238E-4</v>
      </c>
      <c r="M58" s="302">
        <f t="shared" si="59"/>
        <v>-2.0042425248857243E-2</v>
      </c>
      <c r="N58" s="302">
        <f t="shared" si="60"/>
        <v>-4.4999999999999124E-2</v>
      </c>
    </row>
    <row r="59" spans="1:14" x14ac:dyDescent="0.2">
      <c r="B59" s="302"/>
      <c r="C59" s="284"/>
      <c r="D59" s="302"/>
      <c r="E59" s="284"/>
      <c r="F59" s="302"/>
      <c r="G59" s="284"/>
      <c r="H59" s="302"/>
      <c r="I59" s="284"/>
    </row>
    <row r="60" spans="1:14" x14ac:dyDescent="0.2">
      <c r="A60" s="292">
        <f>$A$18</f>
        <v>2035</v>
      </c>
      <c r="B60" s="302"/>
      <c r="C60" s="284"/>
      <c r="D60" s="302"/>
      <c r="E60" s="284"/>
      <c r="F60" s="302"/>
      <c r="G60" s="284"/>
      <c r="H60" s="302"/>
      <c r="I60" s="284"/>
      <c r="K60" s="286" t="str">
        <f>CONCATENATE(A50," - ",A60)</f>
        <v>2020 - 2035</v>
      </c>
    </row>
    <row r="61" spans="1:14" x14ac:dyDescent="0.2">
      <c r="A61" s="282" t="s">
        <v>364</v>
      </c>
      <c r="B61" s="302">
        <f>'Ind T6'!V18</f>
        <v>0.20262871287186238</v>
      </c>
      <c r="C61" s="299" t="str">
        <f>CONCATENATE("(",ROUND((B61/$H63)*100,1),")")</f>
        <v>(55.4)</v>
      </c>
      <c r="D61" s="302">
        <f>'Ind T6'!W18</f>
        <v>1.6608910891105224E-3</v>
      </c>
      <c r="E61" s="299" t="str">
        <f>CONCATENATE("(",ROUND((D61/$H63)*100,1),")")</f>
        <v>(0.5)</v>
      </c>
      <c r="F61" s="302">
        <f>'Ind T6'!X18</f>
        <v>0.11928217821732096</v>
      </c>
      <c r="G61" s="299" t="str">
        <f>CONCATENATE("(",ROUND((F61/$H63)*100,1),")")</f>
        <v>(32.6)</v>
      </c>
      <c r="H61" s="302">
        <f>SUM(B61,D61,F61)</f>
        <v>0.32357178217829385</v>
      </c>
      <c r="I61" s="299" t="str">
        <f>CONCATENATE("(",ROUND((H61/$H63)*100,1),")")</f>
        <v>(88.4)</v>
      </c>
      <c r="K61" s="302">
        <f>B61-B51</f>
        <v>-4.7041584158073496E-2</v>
      </c>
      <c r="L61" s="302">
        <f>D61-D51</f>
        <v>-1.6485148515482401E-4</v>
      </c>
      <c r="M61" s="302">
        <f>F61-F51</f>
        <v>-3.6970957096202017E-2</v>
      </c>
      <c r="N61" s="302">
        <f>SUM(K61:M61)</f>
        <v>-8.417739273943034E-2</v>
      </c>
    </row>
    <row r="62" spans="1:14" x14ac:dyDescent="0.2">
      <c r="A62" s="282" t="s">
        <v>365</v>
      </c>
      <c r="B62" s="302">
        <f>'Ind T6'!V17</f>
        <v>3.351980198010357E-2</v>
      </c>
      <c r="C62" s="299" t="str">
        <f>CONCATENATE("(",ROUND((B62/$H63)*100,1),")")</f>
        <v>(9.2)</v>
      </c>
      <c r="D62" s="302">
        <f>'Ind T6'!W17</f>
        <v>8.9084158416025249E-3</v>
      </c>
      <c r="E62" s="299" t="str">
        <f>CONCATENATE("(",ROUND((D62/$H63)*100,1),")")</f>
        <v>(2.4)</v>
      </c>
      <c r="F62" s="302">
        <f>'Ind T6'!X17</f>
        <v>0</v>
      </c>
      <c r="G62" s="299" t="str">
        <f>CONCATENATE("(",ROUND((F62/$H63)*100,1),")")</f>
        <v>(0)</v>
      </c>
      <c r="H62" s="302">
        <f t="shared" ref="H62" si="61">SUM(B62,D62,F62)</f>
        <v>4.2428217821706096E-2</v>
      </c>
      <c r="I62" s="299" t="str">
        <f>CONCATENATE("(",ROUND((H62/$H63)*100,1),")")</f>
        <v>(11.6)</v>
      </c>
      <c r="K62" s="302">
        <f t="shared" ref="K62:K63" si="62">B62-B52</f>
        <v>-9.3851485146339425E-3</v>
      </c>
      <c r="L62" s="302">
        <f t="shared" ref="L62:L63" si="63">D62-D52</f>
        <v>-1.4374587459356838E-3</v>
      </c>
      <c r="M62" s="302">
        <f t="shared" ref="M62:M63" si="64">F62-F52</f>
        <v>0</v>
      </c>
      <c r="N62" s="302">
        <f t="shared" ref="N62:N63" si="65">SUM(K62:M62)</f>
        <v>-1.0822607260569626E-2</v>
      </c>
    </row>
    <row r="63" spans="1:14" x14ac:dyDescent="0.2">
      <c r="A63" s="282" t="s">
        <v>363</v>
      </c>
      <c r="B63" s="302">
        <f>SUM(B61:B62)</f>
        <v>0.23614851485196595</v>
      </c>
      <c r="C63" s="299" t="str">
        <f>CONCATENATE("(",ROUND((B63/$H63)*100,1),")")</f>
        <v>(64.5)</v>
      </c>
      <c r="D63" s="302">
        <f>SUM(D61:D62)</f>
        <v>1.0569306930713047E-2</v>
      </c>
      <c r="E63" s="299" t="str">
        <f>CONCATENATE("(",ROUND((D63/$H63)*100,1),")")</f>
        <v>(2.9)</v>
      </c>
      <c r="F63" s="302">
        <f>SUM(F61:F62)</f>
        <v>0.11928217821732096</v>
      </c>
      <c r="G63" s="299" t="str">
        <f>CONCATENATE("(",ROUND((F63/$H63)*100,1),")")</f>
        <v>(32.6)</v>
      </c>
      <c r="H63" s="302">
        <f>SUM(H61:H62)</f>
        <v>0.36599999999999994</v>
      </c>
      <c r="I63" s="299" t="str">
        <f>CONCATENATE("(",ROUND((H63/$H63)*100,1),")")</f>
        <v>(100)</v>
      </c>
      <c r="K63" s="302">
        <f t="shared" si="62"/>
        <v>-5.6426732672707453E-2</v>
      </c>
      <c r="L63" s="302">
        <f t="shared" si="63"/>
        <v>-1.6023102310905087E-3</v>
      </c>
      <c r="M63" s="302">
        <f t="shared" si="64"/>
        <v>-3.6970957096202017E-2</v>
      </c>
      <c r="N63" s="302">
        <f t="shared" si="65"/>
        <v>-9.4999999999999973E-2</v>
      </c>
    </row>
    <row r="64" spans="1:14" x14ac:dyDescent="0.2">
      <c r="A64" s="293"/>
      <c r="B64" s="294"/>
      <c r="C64" s="293"/>
      <c r="D64" s="294"/>
      <c r="E64" s="293"/>
      <c r="F64" s="294"/>
      <c r="G64" s="293"/>
      <c r="H64" s="294"/>
      <c r="I64" s="293"/>
      <c r="J64" s="293"/>
      <c r="K64" s="294"/>
      <c r="L64" s="294"/>
      <c r="M64" s="294"/>
      <c r="N64" s="294"/>
    </row>
    <row r="68" spans="1:14" x14ac:dyDescent="0.2">
      <c r="A68" s="288"/>
      <c r="B68" s="289" t="s">
        <v>372</v>
      </c>
      <c r="C68" s="288"/>
      <c r="D68" s="289"/>
      <c r="E68" s="288"/>
      <c r="F68" s="289" t="str">
        <f>name!B6</f>
        <v>Food drink and tobacco</v>
      </c>
      <c r="G68" s="288"/>
      <c r="H68" s="291"/>
      <c r="I68" s="288"/>
      <c r="J68" s="290"/>
      <c r="K68" s="291"/>
      <c r="L68" s="291"/>
      <c r="M68" s="291"/>
      <c r="N68" s="291"/>
    </row>
    <row r="69" spans="1:14" x14ac:dyDescent="0.2">
      <c r="N69" s="287" t="s">
        <v>370</v>
      </c>
    </row>
    <row r="70" spans="1:14" x14ac:dyDescent="0.2">
      <c r="A70" s="182" t="s">
        <v>371</v>
      </c>
      <c r="B70" s="372" t="s">
        <v>369</v>
      </c>
      <c r="C70" s="372"/>
      <c r="D70" s="372" t="s">
        <v>368</v>
      </c>
      <c r="E70" s="372"/>
      <c r="F70" s="372" t="s">
        <v>367</v>
      </c>
      <c r="G70" s="372"/>
      <c r="H70" s="372" t="s">
        <v>33</v>
      </c>
      <c r="I70" s="372"/>
      <c r="J70" s="182"/>
      <c r="K70" s="297" t="s">
        <v>345</v>
      </c>
      <c r="L70" s="297" t="s">
        <v>347</v>
      </c>
      <c r="M70" s="297" t="s">
        <v>343</v>
      </c>
      <c r="N70" s="297" t="s">
        <v>33</v>
      </c>
    </row>
    <row r="71" spans="1:14" x14ac:dyDescent="0.2">
      <c r="A71" s="292">
        <f>$A$8</f>
        <v>2020</v>
      </c>
      <c r="B71" s="287" t="s">
        <v>66</v>
      </c>
      <c r="C71" s="20" t="s">
        <v>366</v>
      </c>
      <c r="D71" s="287" t="s">
        <v>66</v>
      </c>
      <c r="E71" s="20" t="s">
        <v>366</v>
      </c>
      <c r="F71" s="287" t="s">
        <v>66</v>
      </c>
      <c r="G71" s="20" t="s">
        <v>366</v>
      </c>
      <c r="H71" s="287" t="s">
        <v>66</v>
      </c>
      <c r="I71" s="20" t="s">
        <v>366</v>
      </c>
      <c r="J71" s="182"/>
      <c r="K71" s="286" t="str">
        <f>CONCATENATE(A71," - ",A76)</f>
        <v>2020 - 2025</v>
      </c>
      <c r="L71" s="285"/>
      <c r="M71" s="285"/>
    </row>
    <row r="72" spans="1:14" x14ac:dyDescent="0.2">
      <c r="A72" s="282" t="s">
        <v>364</v>
      </c>
      <c r="B72" s="302">
        <f>'Ind T6'!L27</f>
        <v>2.3557518634499819</v>
      </c>
      <c r="C72" s="299" t="str">
        <f>CONCATENATE("(",ROUND((B72/$H74)*100,1),")")</f>
        <v>(53.2)</v>
      </c>
      <c r="D72" s="302">
        <f>'Ind T6'!M27</f>
        <v>0.18301409332739405</v>
      </c>
      <c r="E72" s="299" t="str">
        <f>CONCATENATE("(",ROUND((D72/$H74)*100,1),")")</f>
        <v>(4.1)</v>
      </c>
      <c r="F72" s="302">
        <f>'Ind T6'!N27</f>
        <v>9.053651738137912E-2</v>
      </c>
      <c r="G72" s="299" t="str">
        <f>CONCATENATE("(",ROUND((F72/$H74)*100,1),")")</f>
        <v>(2)</v>
      </c>
      <c r="H72" s="302">
        <f>SUM(B72,D72,F72)</f>
        <v>2.6293024741587554</v>
      </c>
      <c r="I72" s="299" t="str">
        <f>CONCATENATE("(",ROUND((H72/$H74)*100,1),")")</f>
        <v>(59.4)</v>
      </c>
      <c r="K72" s="302">
        <f>B77-B72</f>
        <v>0.19560324449735189</v>
      </c>
      <c r="L72" s="302">
        <f>D77-D72</f>
        <v>1.7339590219223572E-2</v>
      </c>
      <c r="M72" s="302">
        <f>F77-F72</f>
        <v>9.4323447901215746E-3</v>
      </c>
      <c r="N72" s="302">
        <f>SUM(K72:M72)</f>
        <v>0.22237517950669705</v>
      </c>
    </row>
    <row r="73" spans="1:14" x14ac:dyDescent="0.2">
      <c r="A73" s="282" t="s">
        <v>365</v>
      </c>
      <c r="B73" s="302">
        <f>'Ind T6'!L26</f>
        <v>1.0722962104510594</v>
      </c>
      <c r="C73" s="299" t="str">
        <f>CONCATENATE("(",ROUND((B73/$H74)*100,1),")")</f>
        <v>(24.2)</v>
      </c>
      <c r="D73" s="302">
        <f>'Ind T6'!M26</f>
        <v>0.58619968683028056</v>
      </c>
      <c r="E73" s="299" t="str">
        <f>CONCATENATE("(",ROUND((D73/$H74)*100,1),")")</f>
        <v>(13.2)</v>
      </c>
      <c r="F73" s="302">
        <f>'Ind T6'!N26</f>
        <v>0.13920162855991658</v>
      </c>
      <c r="G73" s="299" t="str">
        <f>CONCATENATE("(",ROUND((F73/$H74)*100,1),")")</f>
        <v>(3.1)</v>
      </c>
      <c r="H73" s="302">
        <f t="shared" ref="H73" si="66">SUM(B73,D73,F73)</f>
        <v>1.7976975258412566</v>
      </c>
      <c r="I73" s="299" t="str">
        <f>CONCATENATE("(",ROUND((H73/$H74)*100,1),")")</f>
        <v>(40.6)</v>
      </c>
      <c r="K73" s="302">
        <f t="shared" ref="K73:K74" si="67">B78-B73</f>
        <v>0.14577099370386448</v>
      </c>
      <c r="L73" s="302">
        <f t="shared" ref="L73:L74" si="68">D78-D73</f>
        <v>5.4377488284153563E-2</v>
      </c>
      <c r="M73" s="302">
        <f t="shared" ref="M73:M74" si="69">F78-F73</f>
        <v>1.7476338505268751E-2</v>
      </c>
      <c r="N73" s="302">
        <f t="shared" ref="N73:N74" si="70">SUM(K73:M73)</f>
        <v>0.2176248204932868</v>
      </c>
    </row>
    <row r="74" spans="1:14" x14ac:dyDescent="0.2">
      <c r="A74" s="282" t="s">
        <v>363</v>
      </c>
      <c r="B74" s="302">
        <f>SUM(B72:B73)</f>
        <v>3.4280480739010413</v>
      </c>
      <c r="C74" s="299" t="str">
        <f>CONCATENATE("(",ROUND((B74/$H74)*100,1),")")</f>
        <v>(77.4)</v>
      </c>
      <c r="D74" s="302">
        <f>SUM(D72:D73)</f>
        <v>0.76921378015767461</v>
      </c>
      <c r="E74" s="299" t="str">
        <f>CONCATENATE("(",ROUND((D74/$H74)*100,1),")")</f>
        <v>(17.4)</v>
      </c>
      <c r="F74" s="302">
        <f>SUM(F72:F73)</f>
        <v>0.22973814594129571</v>
      </c>
      <c r="G74" s="299" t="str">
        <f>CONCATENATE("(",ROUND((F74/$H74)*100,1),")")</f>
        <v>(5.2)</v>
      </c>
      <c r="H74" s="302">
        <f>SUM(H72:H73)</f>
        <v>4.427000000000012</v>
      </c>
      <c r="I74" s="299" t="str">
        <f>CONCATENATE("(",ROUND((H74/$H74)*100,1),")")</f>
        <v>(100)</v>
      </c>
      <c r="K74" s="302">
        <f t="shared" si="67"/>
        <v>0.34137423820121615</v>
      </c>
      <c r="L74" s="302">
        <f t="shared" si="68"/>
        <v>7.1717078503377163E-2</v>
      </c>
      <c r="M74" s="302">
        <f t="shared" si="69"/>
        <v>2.6908683295390312E-2</v>
      </c>
      <c r="N74" s="302">
        <f t="shared" si="70"/>
        <v>0.43999999999998363</v>
      </c>
    </row>
    <row r="75" spans="1:14" x14ac:dyDescent="0.2">
      <c r="B75" s="302"/>
      <c r="C75" s="284"/>
      <c r="D75" s="302"/>
      <c r="E75" s="284"/>
      <c r="F75" s="302"/>
      <c r="G75" s="284"/>
      <c r="H75" s="302"/>
      <c r="I75" s="284"/>
    </row>
    <row r="76" spans="1:14" x14ac:dyDescent="0.2">
      <c r="A76" s="292">
        <f>$A$13</f>
        <v>2025</v>
      </c>
      <c r="B76" s="302"/>
      <c r="C76" s="284"/>
      <c r="D76" s="302"/>
      <c r="E76" s="284"/>
      <c r="F76" s="302"/>
      <c r="G76" s="284"/>
      <c r="H76" s="302"/>
      <c r="I76" s="284"/>
      <c r="K76" s="286" t="str">
        <f>CONCATENATE(A76," - ",A81)</f>
        <v>2025 - 2035</v>
      </c>
    </row>
    <row r="77" spans="1:14" x14ac:dyDescent="0.2">
      <c r="A77" s="282" t="s">
        <v>364</v>
      </c>
      <c r="B77" s="302">
        <f>'Ind T6'!Q27</f>
        <v>2.5513551079473338</v>
      </c>
      <c r="C77" s="299" t="str">
        <f>CONCATENATE("(",ROUND((B77/$H79)*100,1),")")</f>
        <v>(52.4)</v>
      </c>
      <c r="D77" s="302">
        <f>'Ind T6'!R27</f>
        <v>0.20035368354661762</v>
      </c>
      <c r="E77" s="299" t="str">
        <f>CONCATENATE("(",ROUND((D77/$H79)*100,1),")")</f>
        <v>(4.1)</v>
      </c>
      <c r="F77" s="302">
        <f>'Ind T6'!S27</f>
        <v>9.9968862171500694E-2</v>
      </c>
      <c r="G77" s="299" t="str">
        <f>CONCATENATE("(",ROUND((F77/$H79)*100,1),")")</f>
        <v>(2.1)</v>
      </c>
      <c r="H77" s="302">
        <f>SUM(B77,D77,F77)</f>
        <v>2.851677653665452</v>
      </c>
      <c r="I77" s="299" t="str">
        <f>CONCATENATE("(",ROUND((H77/$H79)*100,1),")")</f>
        <v>(58.6)</v>
      </c>
      <c r="K77" s="302">
        <f>B82-B77</f>
        <v>0.19780110275151275</v>
      </c>
      <c r="L77" s="302">
        <f>D82-D77</f>
        <v>2.0427010320787781E-2</v>
      </c>
      <c r="M77" s="302">
        <f>F82-F77</f>
        <v>1.4094233280014218E-2</v>
      </c>
      <c r="N77" s="302">
        <f>SUM(K77:M77)</f>
        <v>0.23232234635231475</v>
      </c>
    </row>
    <row r="78" spans="1:14" x14ac:dyDescent="0.2">
      <c r="A78" s="282" t="s">
        <v>365</v>
      </c>
      <c r="B78" s="302">
        <f>'Ind T6'!Q26</f>
        <v>1.2180672041549239</v>
      </c>
      <c r="C78" s="299" t="str">
        <f>CONCATENATE("(",ROUND((B78/$H79)*100,1),")")</f>
        <v>(25)</v>
      </c>
      <c r="D78" s="302">
        <f>'Ind T6'!R26</f>
        <v>0.64057717511443413</v>
      </c>
      <c r="E78" s="299" t="str">
        <f>CONCATENATE("(",ROUND((D78/$H79)*100,1),")")</f>
        <v>(13.2)</v>
      </c>
      <c r="F78" s="302">
        <f>'Ind T6'!S26</f>
        <v>0.15667796706518533</v>
      </c>
      <c r="G78" s="299" t="str">
        <f>CONCATENATE("(",ROUND((F78/$H79)*100,1),")")</f>
        <v>(3.2)</v>
      </c>
      <c r="H78" s="302">
        <f t="shared" ref="H78" si="71">SUM(B78,D78,F78)</f>
        <v>2.0153223463345435</v>
      </c>
      <c r="I78" s="299" t="str">
        <f>CONCATENATE("(",ROUND((H78/$H79)*100,1),")")</f>
        <v>(41.4)</v>
      </c>
      <c r="K78" s="302">
        <f t="shared" ref="K78:K79" si="72">B83-B78</f>
        <v>0.21499768887800963</v>
      </c>
      <c r="L78" s="302">
        <f t="shared" ref="L78:L79" si="73">D83-D78</f>
        <v>5.9739740213112125E-2</v>
      </c>
      <c r="M78" s="302">
        <f t="shared" ref="M78:M79" si="74">F83-F78</f>
        <v>2.2940224556574018E-2</v>
      </c>
      <c r="N78" s="302">
        <f t="shared" ref="N78:N79" si="75">SUM(K78:M78)</f>
        <v>0.29767765364769577</v>
      </c>
    </row>
    <row r="79" spans="1:14" x14ac:dyDescent="0.2">
      <c r="A79" s="282" t="s">
        <v>363</v>
      </c>
      <c r="B79" s="302">
        <f>SUM(B77:B78)</f>
        <v>3.7694223121022574</v>
      </c>
      <c r="C79" s="299" t="str">
        <f>CONCATENATE("(",ROUND((B79/$H79)*100,1),")")</f>
        <v>(77.4)</v>
      </c>
      <c r="D79" s="302">
        <f>SUM(D77:D78)</f>
        <v>0.84093085866105177</v>
      </c>
      <c r="E79" s="299" t="str">
        <f>CONCATENATE("(",ROUND((D79/$H79)*100,1),")")</f>
        <v>(17.3)</v>
      </c>
      <c r="F79" s="302">
        <f>SUM(F77:F78)</f>
        <v>0.25664682923668602</v>
      </c>
      <c r="G79" s="299" t="str">
        <f>CONCATENATE("(",ROUND((F79/$H79)*100,1),")")</f>
        <v>(5.3)</v>
      </c>
      <c r="H79" s="302">
        <f>SUM(H77:H78)</f>
        <v>4.8669999999999956</v>
      </c>
      <c r="I79" s="299" t="str">
        <f>CONCATENATE("(",ROUND((H79/$H79)*100,1),")")</f>
        <v>(100)</v>
      </c>
      <c r="K79" s="302">
        <f t="shared" si="72"/>
        <v>0.41279879162952238</v>
      </c>
      <c r="L79" s="302">
        <f t="shared" si="73"/>
        <v>8.0166750533899878E-2</v>
      </c>
      <c r="M79" s="302">
        <f t="shared" si="74"/>
        <v>3.7034457836588208E-2</v>
      </c>
      <c r="N79" s="302">
        <f t="shared" si="75"/>
        <v>0.53000000000001046</v>
      </c>
    </row>
    <row r="80" spans="1:14" x14ac:dyDescent="0.2">
      <c r="B80" s="302"/>
      <c r="C80" s="284"/>
      <c r="D80" s="302"/>
      <c r="E80" s="284"/>
      <c r="F80" s="302"/>
      <c r="G80" s="284"/>
      <c r="H80" s="302"/>
      <c r="I80" s="284"/>
    </row>
    <row r="81" spans="1:14" x14ac:dyDescent="0.2">
      <c r="A81" s="292">
        <f>$A$18</f>
        <v>2035</v>
      </c>
      <c r="B81" s="302"/>
      <c r="C81" s="284"/>
      <c r="D81" s="302"/>
      <c r="E81" s="284"/>
      <c r="F81" s="302"/>
      <c r="G81" s="284"/>
      <c r="H81" s="302"/>
      <c r="I81" s="284"/>
      <c r="K81" s="286" t="str">
        <f>CONCATENATE(A71," - ",A81)</f>
        <v>2020 - 2035</v>
      </c>
    </row>
    <row r="82" spans="1:14" x14ac:dyDescent="0.2">
      <c r="A82" s="282" t="s">
        <v>364</v>
      </c>
      <c r="B82" s="302">
        <f>'Ind T6'!V27</f>
        <v>2.7491562106988465</v>
      </c>
      <c r="C82" s="299" t="str">
        <f>CONCATENATE("(",ROUND((B82/$H84)*100,1),")")</f>
        <v>(50.9)</v>
      </c>
      <c r="D82" s="302">
        <f>'Ind T6'!W27</f>
        <v>0.2207806938674054</v>
      </c>
      <c r="E82" s="299" t="str">
        <f>CONCATENATE("(",ROUND((D82/$H84)*100,1),")")</f>
        <v>(4.1)</v>
      </c>
      <c r="F82" s="302">
        <f>'Ind T6'!X27</f>
        <v>0.11406309545151491</v>
      </c>
      <c r="G82" s="299" t="str">
        <f>CONCATENATE("(",ROUND((F82/$H84)*100,1),")")</f>
        <v>(2.1)</v>
      </c>
      <c r="H82" s="302">
        <f>SUM(B82,D82,F82)</f>
        <v>3.0840000000177668</v>
      </c>
      <c r="I82" s="299" t="str">
        <f>CONCATENATE("(",ROUND((H82/$H84)*100,1),")")</f>
        <v>(57.1)</v>
      </c>
      <c r="K82" s="302">
        <f>B82-B72</f>
        <v>0.39340434724886464</v>
      </c>
      <c r="L82" s="302">
        <f>D82-D72</f>
        <v>3.7766600540011352E-2</v>
      </c>
      <c r="M82" s="302">
        <f>F82-F72</f>
        <v>2.3526578070135792E-2</v>
      </c>
      <c r="N82" s="302">
        <f>SUM(K82:M82)</f>
        <v>0.4546975258590118</v>
      </c>
    </row>
    <row r="83" spans="1:14" x14ac:dyDescent="0.2">
      <c r="A83" s="282" t="s">
        <v>365</v>
      </c>
      <c r="B83" s="302">
        <f>'Ind T6'!V26</f>
        <v>1.4330648930329335</v>
      </c>
      <c r="C83" s="299" t="str">
        <f>CONCATENATE("(",ROUND((B83/$H84)*100,1),")")</f>
        <v>(26.6)</v>
      </c>
      <c r="D83" s="302">
        <f>'Ind T6'!W26</f>
        <v>0.70031691532754625</v>
      </c>
      <c r="E83" s="299" t="str">
        <f>CONCATENATE("(",ROUND((D83/$H84)*100,1),")")</f>
        <v>(13)</v>
      </c>
      <c r="F83" s="302">
        <f>'Ind T6'!X26</f>
        <v>0.17961819162175935</v>
      </c>
      <c r="G83" s="299" t="str">
        <f>CONCATENATE("(",ROUND((F83/$H84)*100,1),")")</f>
        <v>(3.3)</v>
      </c>
      <c r="H83" s="302">
        <f t="shared" ref="H83" si="76">SUM(B83,D83,F83)</f>
        <v>2.3129999999822393</v>
      </c>
      <c r="I83" s="299" t="str">
        <f>CONCATENATE("(",ROUND((H83/$H84)*100,1),")")</f>
        <v>(42.9)</v>
      </c>
      <c r="K83" s="302">
        <f t="shared" ref="K83:K84" si="77">B83-B73</f>
        <v>0.36076868258187411</v>
      </c>
      <c r="L83" s="302">
        <f t="shared" ref="L83:L84" si="78">D83-D73</f>
        <v>0.11411722849726569</v>
      </c>
      <c r="M83" s="302">
        <f t="shared" ref="M83:M84" si="79">F83-F73</f>
        <v>4.041656306184277E-2</v>
      </c>
      <c r="N83" s="302">
        <f t="shared" ref="N83:N84" si="80">SUM(K83:M83)</f>
        <v>0.51530247414098262</v>
      </c>
    </row>
    <row r="84" spans="1:14" x14ac:dyDescent="0.2">
      <c r="A84" s="282" t="s">
        <v>363</v>
      </c>
      <c r="B84" s="302">
        <f>SUM(B82:B83)</f>
        <v>4.1822211037317798</v>
      </c>
      <c r="C84" s="299" t="str">
        <f>CONCATENATE("(",ROUND((B84/$H84)*100,1),")")</f>
        <v>(77.5)</v>
      </c>
      <c r="D84" s="302">
        <f>SUM(D82:D83)</f>
        <v>0.92109760919495165</v>
      </c>
      <c r="E84" s="299" t="str">
        <f>CONCATENATE("(",ROUND((D84/$H84)*100,1),")")</f>
        <v>(17.1)</v>
      </c>
      <c r="F84" s="302">
        <f>SUM(F82:F83)</f>
        <v>0.29368128707327423</v>
      </c>
      <c r="G84" s="299" t="str">
        <f>CONCATENATE("(",ROUND((F84/$H84)*100,1),")")</f>
        <v>(5.4)</v>
      </c>
      <c r="H84" s="302">
        <f>SUM(H82:H83)</f>
        <v>5.3970000000000056</v>
      </c>
      <c r="I84" s="299" t="str">
        <f>CONCATENATE("(",ROUND((H84/$H84)*100,1),")")</f>
        <v>(100)</v>
      </c>
      <c r="K84" s="302">
        <f t="shared" si="77"/>
        <v>0.75417302983073853</v>
      </c>
      <c r="L84" s="302">
        <f t="shared" si="78"/>
        <v>0.15188382903727704</v>
      </c>
      <c r="M84" s="302">
        <f t="shared" si="79"/>
        <v>6.394314113197852E-2</v>
      </c>
      <c r="N84" s="302">
        <f t="shared" si="80"/>
        <v>0.96999999999999409</v>
      </c>
    </row>
    <row r="85" spans="1:14" x14ac:dyDescent="0.2">
      <c r="A85" s="293"/>
      <c r="B85" s="294"/>
      <c r="C85" s="293"/>
      <c r="D85" s="294"/>
      <c r="E85" s="293"/>
      <c r="F85" s="294"/>
      <c r="G85" s="293"/>
      <c r="H85" s="294"/>
      <c r="I85" s="293"/>
      <c r="J85" s="293"/>
      <c r="K85" s="294"/>
      <c r="L85" s="294"/>
      <c r="M85" s="294"/>
      <c r="N85" s="294"/>
    </row>
    <row r="89" spans="1:14" x14ac:dyDescent="0.2">
      <c r="A89" s="288"/>
      <c r="B89" s="289" t="s">
        <v>372</v>
      </c>
      <c r="C89" s="288"/>
      <c r="D89" s="289"/>
      <c r="E89" s="288"/>
      <c r="F89" s="289" t="str">
        <f>name!B7</f>
        <v>Engineering</v>
      </c>
      <c r="G89" s="288"/>
      <c r="H89" s="291"/>
      <c r="I89" s="288"/>
      <c r="J89" s="290"/>
      <c r="K89" s="291"/>
      <c r="L89" s="291"/>
      <c r="M89" s="291"/>
      <c r="N89" s="291"/>
    </row>
    <row r="90" spans="1:14" x14ac:dyDescent="0.2">
      <c r="N90" s="287" t="s">
        <v>370</v>
      </c>
    </row>
    <row r="91" spans="1:14" x14ac:dyDescent="0.2">
      <c r="A91" s="182" t="s">
        <v>371</v>
      </c>
      <c r="B91" s="372" t="s">
        <v>369</v>
      </c>
      <c r="C91" s="372"/>
      <c r="D91" s="372" t="s">
        <v>368</v>
      </c>
      <c r="E91" s="372"/>
      <c r="F91" s="372" t="s">
        <v>367</v>
      </c>
      <c r="G91" s="372"/>
      <c r="H91" s="372" t="s">
        <v>33</v>
      </c>
      <c r="I91" s="372"/>
      <c r="J91" s="182"/>
      <c r="K91" s="297" t="s">
        <v>345</v>
      </c>
      <c r="L91" s="297" t="s">
        <v>347</v>
      </c>
      <c r="M91" s="297" t="s">
        <v>343</v>
      </c>
      <c r="N91" s="297" t="s">
        <v>33</v>
      </c>
    </row>
    <row r="92" spans="1:14" x14ac:dyDescent="0.2">
      <c r="A92" s="292">
        <f>$A$8</f>
        <v>2020</v>
      </c>
      <c r="B92" s="287" t="s">
        <v>66</v>
      </c>
      <c r="C92" s="20" t="s">
        <v>366</v>
      </c>
      <c r="D92" s="287" t="s">
        <v>66</v>
      </c>
      <c r="E92" s="20" t="s">
        <v>366</v>
      </c>
      <c r="F92" s="287" t="s">
        <v>66</v>
      </c>
      <c r="G92" s="20" t="s">
        <v>366</v>
      </c>
      <c r="H92" s="287" t="s">
        <v>66</v>
      </c>
      <c r="I92" s="20" t="s">
        <v>366</v>
      </c>
      <c r="J92" s="182"/>
      <c r="K92" s="286" t="str">
        <f>CONCATENATE(A92," - ",A97)</f>
        <v>2020 - 2025</v>
      </c>
      <c r="L92" s="285"/>
      <c r="M92" s="285"/>
    </row>
    <row r="93" spans="1:14" x14ac:dyDescent="0.2">
      <c r="A93" s="282" t="s">
        <v>364</v>
      </c>
      <c r="B93" s="302">
        <f>'Ind T6'!L36</f>
        <v>8.54980675334245</v>
      </c>
      <c r="C93" s="299" t="str">
        <f>CONCATENATE("(",ROUND((B93/$H95)*100,1),")")</f>
        <v>(68.7)</v>
      </c>
      <c r="D93" s="302">
        <f>'Ind T6'!M36</f>
        <v>0.2787701923639796</v>
      </c>
      <c r="E93" s="299" t="str">
        <f>CONCATENATE("(",ROUND((D93/$H95)*100,1),")")</f>
        <v>(2.2)</v>
      </c>
      <c r="F93" s="302">
        <f>'Ind T6'!N36</f>
        <v>0.4429572327815306</v>
      </c>
      <c r="G93" s="299" t="str">
        <f>CONCATENATE("(",ROUND((F93/$H95)*100,1),")")</f>
        <v>(3.6)</v>
      </c>
      <c r="H93" s="302">
        <f>SUM(B93,D93,F93)</f>
        <v>9.2715341784879612</v>
      </c>
      <c r="I93" s="299" t="str">
        <f>CONCATENATE("(",ROUND((H93/$H95)*100,1),")")</f>
        <v>(74.5)</v>
      </c>
      <c r="K93" s="302">
        <f>B98-B93</f>
        <v>-0.24865962906482508</v>
      </c>
      <c r="L93" s="302">
        <f>D98-D93</f>
        <v>-3.0055355946049245E-3</v>
      </c>
      <c r="M93" s="302">
        <f>F98-F93</f>
        <v>7.8047802066084637E-3</v>
      </c>
      <c r="N93" s="302">
        <f>SUM(K93:M93)</f>
        <v>-0.24386038445282154</v>
      </c>
    </row>
    <row r="94" spans="1:14" x14ac:dyDescent="0.2">
      <c r="A94" s="282" t="s">
        <v>365</v>
      </c>
      <c r="B94" s="302">
        <f>'Ind T6'!L35</f>
        <v>2.151820342356682</v>
      </c>
      <c r="C94" s="299" t="str">
        <f>CONCATENATE("(",ROUND((B94/$H95)*100,1),")")</f>
        <v>(17.3)</v>
      </c>
      <c r="D94" s="302">
        <f>'Ind T6'!M35</f>
        <v>0.71623621978972163</v>
      </c>
      <c r="E94" s="299" t="str">
        <f>CONCATENATE("(",ROUND((D94/$H95)*100,1),")")</f>
        <v>(5.8)</v>
      </c>
      <c r="F94" s="302">
        <f>'Ind T6'!N35</f>
        <v>0.30640925936564378</v>
      </c>
      <c r="G94" s="299" t="str">
        <f>CONCATENATE("(",ROUND((F94/$H95)*100,1),")")</f>
        <v>(2.5)</v>
      </c>
      <c r="H94" s="302">
        <f t="shared" ref="H94" si="81">SUM(B94,D94,F94)</f>
        <v>3.1744658215120474</v>
      </c>
      <c r="I94" s="299" t="str">
        <f>CONCATENATE("(",ROUND((H94/$H95)*100,1),")")</f>
        <v>(25.5)</v>
      </c>
      <c r="K94" s="302">
        <f t="shared" ref="K94:K95" si="82">B99-B94</f>
        <v>-0.16987785625848972</v>
      </c>
      <c r="L94" s="302">
        <f t="shared" ref="L94:L95" si="83">D99-D94</f>
        <v>-2.2927499920776362E-2</v>
      </c>
      <c r="M94" s="302">
        <f t="shared" ref="M94:M95" si="84">F99-F94</f>
        <v>-6.3342593679267534E-3</v>
      </c>
      <c r="N94" s="302">
        <f t="shared" ref="N94:N95" si="85">SUM(K94:M94)</f>
        <v>-0.19913961554719284</v>
      </c>
    </row>
    <row r="95" spans="1:14" x14ac:dyDescent="0.2">
      <c r="A95" s="282" t="s">
        <v>363</v>
      </c>
      <c r="B95" s="302">
        <f>SUM(B93:B94)</f>
        <v>10.701627095699132</v>
      </c>
      <c r="C95" s="299" t="str">
        <f>CONCATENATE("(",ROUND((B95/$H95)*100,1),")")</f>
        <v>(86)</v>
      </c>
      <c r="D95" s="302">
        <f>SUM(D93:D94)</f>
        <v>0.99500641215370123</v>
      </c>
      <c r="E95" s="299" t="str">
        <f>CONCATENATE("(",ROUND((D95/$H95)*100,1),")")</f>
        <v>(8)</v>
      </c>
      <c r="F95" s="302">
        <f>SUM(F93:F94)</f>
        <v>0.74936649214717432</v>
      </c>
      <c r="G95" s="299" t="str">
        <f>CONCATENATE("(",ROUND((F95/$H95)*100,1),")")</f>
        <v>(6)</v>
      </c>
      <c r="H95" s="302">
        <f>SUM(H93:H94)</f>
        <v>12.446000000000009</v>
      </c>
      <c r="I95" s="299" t="str">
        <f>CONCATENATE("(",ROUND((H95/$H95)*100,1),")")</f>
        <v>(100)</v>
      </c>
      <c r="K95" s="302">
        <f t="shared" si="82"/>
        <v>-0.41853748532331458</v>
      </c>
      <c r="L95" s="302">
        <f t="shared" si="83"/>
        <v>-2.5933035515381286E-2</v>
      </c>
      <c r="M95" s="302">
        <f t="shared" si="84"/>
        <v>1.4705208386818214E-3</v>
      </c>
      <c r="N95" s="302">
        <f t="shared" si="85"/>
        <v>-0.44300000000001405</v>
      </c>
    </row>
    <row r="96" spans="1:14" x14ac:dyDescent="0.2">
      <c r="B96" s="302"/>
      <c r="C96" s="284"/>
      <c r="D96" s="302"/>
      <c r="E96" s="284"/>
      <c r="F96" s="302"/>
      <c r="G96" s="284"/>
      <c r="H96" s="302"/>
      <c r="I96" s="284"/>
    </row>
    <row r="97" spans="1:14" x14ac:dyDescent="0.2">
      <c r="A97" s="292">
        <f>$A$13</f>
        <v>2025</v>
      </c>
      <c r="B97" s="302"/>
      <c r="C97" s="284"/>
      <c r="D97" s="302"/>
      <c r="E97" s="284"/>
      <c r="F97" s="302"/>
      <c r="G97" s="284"/>
      <c r="H97" s="302"/>
      <c r="I97" s="284"/>
      <c r="K97" s="286" t="str">
        <f>CONCATENATE(A97," - ",A102)</f>
        <v>2025 - 2035</v>
      </c>
    </row>
    <row r="98" spans="1:14" x14ac:dyDescent="0.2">
      <c r="A98" s="282" t="s">
        <v>364</v>
      </c>
      <c r="B98" s="302">
        <f>'Ind T6'!Q36</f>
        <v>8.3011471242776249</v>
      </c>
      <c r="C98" s="299" t="str">
        <f>CONCATENATE("(",ROUND((B98/$H100)*100,1),")")</f>
        <v>(69.2)</v>
      </c>
      <c r="D98" s="302">
        <f>'Ind T6'!R36</f>
        <v>0.27576465676937467</v>
      </c>
      <c r="E98" s="299" t="str">
        <f>CONCATENATE("(",ROUND((D98/$H100)*100,1),")")</f>
        <v>(2.3)</v>
      </c>
      <c r="F98" s="302">
        <f>'Ind T6'!S36</f>
        <v>0.45076201298813906</v>
      </c>
      <c r="G98" s="299" t="str">
        <f>CONCATENATE("(",ROUND((F98/$H100)*100,1),")")</f>
        <v>(3.8)</v>
      </c>
      <c r="H98" s="302">
        <f>SUM(B98,D98,F98)</f>
        <v>9.0276737940351399</v>
      </c>
      <c r="I98" s="299" t="str">
        <f>CONCATENATE("(",ROUND((H98/$H100)*100,1),")")</f>
        <v>(75.2)</v>
      </c>
      <c r="K98" s="302">
        <f>B103-B98</f>
        <v>-1.5867097363255001</v>
      </c>
      <c r="L98" s="302">
        <f>D103-D98</f>
        <v>-4.1855736097878321E-2</v>
      </c>
      <c r="M98" s="302">
        <f>F103-F98</f>
        <v>-5.8026047410204507E-2</v>
      </c>
      <c r="N98" s="302">
        <f>SUM(K98:M98)</f>
        <v>-1.686591519833583</v>
      </c>
    </row>
    <row r="99" spans="1:14" x14ac:dyDescent="0.2">
      <c r="A99" s="282" t="s">
        <v>365</v>
      </c>
      <c r="B99" s="302">
        <f>'Ind T6'!Q35</f>
        <v>1.9819424860981922</v>
      </c>
      <c r="C99" s="299" t="str">
        <f>CONCATENATE("(",ROUND((B99/$H100)*100,1),")")</f>
        <v>(16.5)</v>
      </c>
      <c r="D99" s="302">
        <f>'Ind T6'!R35</f>
        <v>0.69330871986894527</v>
      </c>
      <c r="E99" s="299" t="str">
        <f>CONCATENATE("(",ROUND((D99/$H100)*100,1),")")</f>
        <v>(5.8)</v>
      </c>
      <c r="F99" s="302">
        <f>'Ind T6'!S35</f>
        <v>0.30007499999771703</v>
      </c>
      <c r="G99" s="299" t="str">
        <f>CONCATENATE("(",ROUND((F99/$H100)*100,1),")")</f>
        <v>(2.5)</v>
      </c>
      <c r="H99" s="302">
        <f t="shared" ref="H99" si="86">SUM(B99,D99,F99)</f>
        <v>2.9753262059648544</v>
      </c>
      <c r="I99" s="299" t="str">
        <f>CONCATENATE("(",ROUND((H99/$H100)*100,1),")")</f>
        <v>(24.8)</v>
      </c>
      <c r="K99" s="302">
        <f t="shared" ref="K99:K100" si="87">B104-B99</f>
        <v>-0.47568454754002132</v>
      </c>
      <c r="L99" s="302">
        <f t="shared" ref="L99:L100" si="88">D104-D99</f>
        <v>-0.13731780389689008</v>
      </c>
      <c r="M99" s="302">
        <f t="shared" ref="M99:M100" si="89">F104-F99</f>
        <v>-3.9406128729470802E-2</v>
      </c>
      <c r="N99" s="302">
        <f t="shared" ref="N99:N100" si="90">SUM(K99:M99)</f>
        <v>-0.6524084801663822</v>
      </c>
    </row>
    <row r="100" spans="1:14" x14ac:dyDescent="0.2">
      <c r="A100" s="282" t="s">
        <v>363</v>
      </c>
      <c r="B100" s="302">
        <f>SUM(B98:B99)</f>
        <v>10.283089610375818</v>
      </c>
      <c r="C100" s="299" t="str">
        <f>CONCATENATE("(",ROUND((B100/$H100)*100,1),")")</f>
        <v>(85.7)</v>
      </c>
      <c r="D100" s="302">
        <f>SUM(D98:D99)</f>
        <v>0.96907337663831994</v>
      </c>
      <c r="E100" s="299" t="str">
        <f>CONCATENATE("(",ROUND((D100/$H100)*100,1),")")</f>
        <v>(8.1)</v>
      </c>
      <c r="F100" s="302">
        <f>SUM(F98:F99)</f>
        <v>0.75083701298585614</v>
      </c>
      <c r="G100" s="299" t="str">
        <f>CONCATENATE("(",ROUND((F100/$H100)*100,1),")")</f>
        <v>(6.3)</v>
      </c>
      <c r="H100" s="302">
        <f>SUM(H98:H99)</f>
        <v>12.002999999999995</v>
      </c>
      <c r="I100" s="299" t="str">
        <f>CONCATENATE("(",ROUND((H100/$H100)*100,1),")")</f>
        <v>(100)</v>
      </c>
      <c r="K100" s="302">
        <f t="shared" si="87"/>
        <v>-2.0623942838655225</v>
      </c>
      <c r="L100" s="302">
        <f t="shared" si="88"/>
        <v>-0.17917353999476837</v>
      </c>
      <c r="M100" s="302">
        <f t="shared" si="89"/>
        <v>-9.7432176139675364E-2</v>
      </c>
      <c r="N100" s="302">
        <f t="shared" si="90"/>
        <v>-2.3389999999999662</v>
      </c>
    </row>
    <row r="101" spans="1:14" x14ac:dyDescent="0.2">
      <c r="B101" s="302"/>
      <c r="C101" s="284"/>
      <c r="D101" s="302"/>
      <c r="E101" s="284"/>
      <c r="F101" s="302"/>
      <c r="G101" s="284"/>
      <c r="H101" s="302"/>
      <c r="I101" s="284"/>
    </row>
    <row r="102" spans="1:14" x14ac:dyDescent="0.2">
      <c r="A102" s="292">
        <f>$A$18</f>
        <v>2035</v>
      </c>
      <c r="B102" s="302"/>
      <c r="C102" s="284"/>
      <c r="D102" s="302"/>
      <c r="E102" s="284"/>
      <c r="F102" s="302"/>
      <c r="G102" s="284"/>
      <c r="H102" s="302"/>
      <c r="I102" s="284"/>
      <c r="K102" s="286" t="str">
        <f>CONCATENATE(A92," - ",A102)</f>
        <v>2020 - 2035</v>
      </c>
    </row>
    <row r="103" spans="1:14" x14ac:dyDescent="0.2">
      <c r="A103" s="282" t="s">
        <v>364</v>
      </c>
      <c r="B103" s="302">
        <f>'Ind T6'!V36</f>
        <v>6.7144373879521249</v>
      </c>
      <c r="C103" s="299" t="str">
        <f>CONCATENATE("(",ROUND((B103/$H105)*100,1),")")</f>
        <v>(69.5)</v>
      </c>
      <c r="D103" s="302">
        <f>'Ind T6'!W36</f>
        <v>0.23390892067149635</v>
      </c>
      <c r="E103" s="299" t="str">
        <f>CONCATENATE("(",ROUND((D103/$H105)*100,1),")")</f>
        <v>(2.4)</v>
      </c>
      <c r="F103" s="302">
        <f>'Ind T6'!X36</f>
        <v>0.39273596557793455</v>
      </c>
      <c r="G103" s="299" t="str">
        <f>CONCATENATE("(",ROUND((F103/$H105)*100,1),")")</f>
        <v>(4.1)</v>
      </c>
      <c r="H103" s="302">
        <f>SUM(B103,D103,F103)</f>
        <v>7.3410822742015558</v>
      </c>
      <c r="I103" s="299" t="str">
        <f>CONCATENATE("(",ROUND((H103/$H105)*100,1),")")</f>
        <v>(76)</v>
      </c>
      <c r="K103" s="302">
        <f>B103-B93</f>
        <v>-1.8353693653903251</v>
      </c>
      <c r="L103" s="302">
        <f>D103-D93</f>
        <v>-4.4861271692483246E-2</v>
      </c>
      <c r="M103" s="302">
        <f>F103-F93</f>
        <v>-5.0221267203596043E-2</v>
      </c>
      <c r="N103" s="302">
        <f>SUM(K103:M103)</f>
        <v>-1.9304519042864043</v>
      </c>
    </row>
    <row r="104" spans="1:14" x14ac:dyDescent="0.2">
      <c r="A104" s="282" t="s">
        <v>365</v>
      </c>
      <c r="B104" s="302">
        <f>'Ind T6'!V35</f>
        <v>1.5062579385581709</v>
      </c>
      <c r="C104" s="299" t="str">
        <f>CONCATENATE("(",ROUND((B104/$H105)*100,1),")")</f>
        <v>(15.6)</v>
      </c>
      <c r="D104" s="302">
        <f>'Ind T6'!W35</f>
        <v>0.55599091597205519</v>
      </c>
      <c r="E104" s="299" t="str">
        <f>CONCATENATE("(",ROUND((D104/$H105)*100,1),")")</f>
        <v>(5.8)</v>
      </c>
      <c r="F104" s="302">
        <f>'Ind T6'!X35</f>
        <v>0.26066887126824623</v>
      </c>
      <c r="G104" s="299" t="str">
        <f>CONCATENATE("(",ROUND((F104/$H105)*100,1),")")</f>
        <v>(2.7)</v>
      </c>
      <c r="H104" s="302">
        <f t="shared" ref="H104" si="91">SUM(B104,D104,F104)</f>
        <v>2.3229177257984723</v>
      </c>
      <c r="I104" s="299" t="str">
        <f>CONCATENATE("(",ROUND((H104/$H105)*100,1),")")</f>
        <v>(24)</v>
      </c>
      <c r="K104" s="302">
        <f t="shared" ref="K104:K105" si="92">B104-B94</f>
        <v>-0.64556240379851104</v>
      </c>
      <c r="L104" s="302">
        <f t="shared" ref="L104:L105" si="93">D104-D94</f>
        <v>-0.16024530381766644</v>
      </c>
      <c r="M104" s="302">
        <f t="shared" ref="M104:M105" si="94">F104-F94</f>
        <v>-4.5740388097397555E-2</v>
      </c>
      <c r="N104" s="302">
        <f t="shared" ref="N104:N105" si="95">SUM(K104:M104)</f>
        <v>-0.85154809571357504</v>
      </c>
    </row>
    <row r="105" spans="1:14" x14ac:dyDescent="0.2">
      <c r="A105" s="282" t="s">
        <v>363</v>
      </c>
      <c r="B105" s="302">
        <f>SUM(B103:B104)</f>
        <v>8.2206953265102953</v>
      </c>
      <c r="C105" s="299" t="str">
        <f>CONCATENATE("(",ROUND((B105/$H105)*100,1),")")</f>
        <v>(85.1)</v>
      </c>
      <c r="D105" s="302">
        <f>SUM(D103:D104)</f>
        <v>0.78989983664355157</v>
      </c>
      <c r="E105" s="299" t="str">
        <f>CONCATENATE("(",ROUND((D105/$H105)*100,1),")")</f>
        <v>(8.2)</v>
      </c>
      <c r="F105" s="302">
        <f>SUM(F103:F104)</f>
        <v>0.65340483684618078</v>
      </c>
      <c r="G105" s="299" t="str">
        <f>CONCATENATE("(",ROUND((F105/$H105)*100,1),")")</f>
        <v>(6.8)</v>
      </c>
      <c r="H105" s="302">
        <f>SUM(H103:H104)</f>
        <v>9.6640000000000281</v>
      </c>
      <c r="I105" s="299" t="str">
        <f>CONCATENATE("(",ROUND((H105/$H105)*100,1),")")</f>
        <v>(100)</v>
      </c>
      <c r="K105" s="302">
        <f t="shared" si="92"/>
        <v>-2.4809317691888371</v>
      </c>
      <c r="L105" s="302">
        <f t="shared" si="93"/>
        <v>-0.20510657551014966</v>
      </c>
      <c r="M105" s="302">
        <f t="shared" si="94"/>
        <v>-9.5961655300993542E-2</v>
      </c>
      <c r="N105" s="302">
        <f t="shared" si="95"/>
        <v>-2.78199999999998</v>
      </c>
    </row>
    <row r="106" spans="1:14" x14ac:dyDescent="0.2">
      <c r="A106" s="293"/>
      <c r="B106" s="294"/>
      <c r="C106" s="293"/>
      <c r="D106" s="294"/>
      <c r="E106" s="293"/>
      <c r="F106" s="294"/>
      <c r="G106" s="293"/>
      <c r="H106" s="294"/>
      <c r="I106" s="293"/>
      <c r="J106" s="293"/>
      <c r="K106" s="294"/>
      <c r="L106" s="294"/>
      <c r="M106" s="294"/>
      <c r="N106" s="294"/>
    </row>
    <row r="107" spans="1:14" x14ac:dyDescent="0.2">
      <c r="A107" s="295"/>
    </row>
    <row r="109" spans="1:14" x14ac:dyDescent="0.2">
      <c r="C109" s="182"/>
      <c r="E109" s="182"/>
      <c r="G109" s="182"/>
      <c r="I109" s="182"/>
    </row>
    <row r="110" spans="1:14" x14ac:dyDescent="0.2">
      <c r="A110" s="288"/>
      <c r="B110" s="289" t="s">
        <v>372</v>
      </c>
      <c r="C110" s="288"/>
      <c r="D110" s="289"/>
      <c r="E110" s="288"/>
      <c r="F110" s="289" t="str">
        <f>name!B8</f>
        <v>Rest of manufacturing</v>
      </c>
      <c r="G110" s="288"/>
      <c r="H110" s="291"/>
      <c r="I110" s="288"/>
      <c r="J110" s="290"/>
      <c r="K110" s="291"/>
      <c r="L110" s="291"/>
      <c r="M110" s="291"/>
      <c r="N110" s="291"/>
    </row>
    <row r="111" spans="1:14" x14ac:dyDescent="0.2">
      <c r="N111" s="287" t="s">
        <v>370</v>
      </c>
    </row>
    <row r="112" spans="1:14" x14ac:dyDescent="0.2">
      <c r="A112" s="182" t="s">
        <v>371</v>
      </c>
      <c r="B112" s="372" t="s">
        <v>369</v>
      </c>
      <c r="C112" s="372"/>
      <c r="D112" s="372" t="s">
        <v>368</v>
      </c>
      <c r="E112" s="372"/>
      <c r="F112" s="372" t="s">
        <v>367</v>
      </c>
      <c r="G112" s="372"/>
      <c r="H112" s="372" t="s">
        <v>33</v>
      </c>
      <c r="I112" s="372"/>
      <c r="J112" s="182"/>
      <c r="K112" s="297" t="s">
        <v>345</v>
      </c>
      <c r="L112" s="297" t="s">
        <v>347</v>
      </c>
      <c r="M112" s="297" t="s">
        <v>343</v>
      </c>
      <c r="N112" s="297" t="s">
        <v>33</v>
      </c>
    </row>
    <row r="113" spans="1:14" x14ac:dyDescent="0.2">
      <c r="A113" s="292">
        <f>$A$8</f>
        <v>2020</v>
      </c>
      <c r="B113" s="287" t="s">
        <v>66</v>
      </c>
      <c r="C113" s="20" t="s">
        <v>366</v>
      </c>
      <c r="D113" s="287" t="s">
        <v>66</v>
      </c>
      <c r="E113" s="20" t="s">
        <v>366</v>
      </c>
      <c r="F113" s="287" t="s">
        <v>66</v>
      </c>
      <c r="G113" s="20" t="s">
        <v>366</v>
      </c>
      <c r="H113" s="287" t="s">
        <v>66</v>
      </c>
      <c r="I113" s="20" t="s">
        <v>366</v>
      </c>
      <c r="J113" s="182"/>
      <c r="K113" s="286" t="str">
        <f>CONCATENATE(A113," - ",A118)</f>
        <v>2020 - 2025</v>
      </c>
      <c r="L113" s="285"/>
      <c r="M113" s="285"/>
    </row>
    <row r="114" spans="1:14" x14ac:dyDescent="0.2">
      <c r="A114" s="282" t="s">
        <v>364</v>
      </c>
      <c r="B114" s="302">
        <f>'Ind T6'!L45</f>
        <v>21.303931965401578</v>
      </c>
      <c r="C114" s="299" t="str">
        <f>CONCATENATE("(",ROUND((B114/$H116)*100,1),")")</f>
        <v>(65.9)</v>
      </c>
      <c r="D114" s="302">
        <f>'Ind T6'!M45</f>
        <v>0.90597704234493692</v>
      </c>
      <c r="E114" s="299" t="str">
        <f>CONCATENATE("(",ROUND((D114/$H116)*100,1),")")</f>
        <v>(2.8)</v>
      </c>
      <c r="F114" s="302">
        <f>'Ind T6'!N45</f>
        <v>2.1544434902225431</v>
      </c>
      <c r="G114" s="299" t="str">
        <f>CONCATENATE("(",ROUND((F114/$H116)*100,1),")")</f>
        <v>(6.7)</v>
      </c>
      <c r="H114" s="302">
        <f>SUM(B114,D114,F114)</f>
        <v>24.364352497969058</v>
      </c>
      <c r="I114" s="299" t="str">
        <f>CONCATENATE("(",ROUND((H114/$H116)*100,1),")")</f>
        <v>(75.3)</v>
      </c>
      <c r="K114" s="302">
        <f>B119-B114</f>
        <v>-1.5350603519684789</v>
      </c>
      <c r="L114" s="302">
        <f>D119-D114</f>
        <v>-6.0709143358530171E-2</v>
      </c>
      <c r="M114" s="302">
        <f>F119-F114</f>
        <v>-0.1491942841788112</v>
      </c>
      <c r="N114" s="302">
        <f>SUM(K114:M114)</f>
        <v>-1.7449637795058202</v>
      </c>
    </row>
    <row r="115" spans="1:14" x14ac:dyDescent="0.2">
      <c r="A115" s="282" t="s">
        <v>365</v>
      </c>
      <c r="B115" s="302">
        <f>'Ind T6'!L44</f>
        <v>4.9751875565050199</v>
      </c>
      <c r="C115" s="299" t="str">
        <f>CONCATENATE("(",ROUND((B115/$H116)*100,1),")")</f>
        <v>(15.4)</v>
      </c>
      <c r="D115" s="302">
        <f>'Ind T6'!M44</f>
        <v>2.0045217282770502</v>
      </c>
      <c r="E115" s="299" t="str">
        <f>CONCATENATE("(",ROUND((D115/$H116)*100,1),")")</f>
        <v>(6.2)</v>
      </c>
      <c r="F115" s="302">
        <f>'Ind T6'!N44</f>
        <v>0.99093821724890629</v>
      </c>
      <c r="G115" s="299" t="str">
        <f>CONCATENATE("(",ROUND((F115/$H116)*100,1),")")</f>
        <v>(3.1)</v>
      </c>
      <c r="H115" s="302">
        <f t="shared" ref="H115" si="96">SUM(B115,D115,F115)</f>
        <v>7.9706475020309764</v>
      </c>
      <c r="I115" s="299" t="str">
        <f>CONCATENATE("(",ROUND((H115/$H116)*100,1),")")</f>
        <v>(24.7)</v>
      </c>
      <c r="K115" s="302">
        <f t="shared" ref="K115:K116" si="97">B120-B115</f>
        <v>-0.32144323442976663</v>
      </c>
      <c r="L115" s="302">
        <f t="shared" ref="L115:L116" si="98">D120-D115</f>
        <v>-0.12611206090509719</v>
      </c>
      <c r="M115" s="302">
        <f t="shared" ref="M115:M116" si="99">F120-F115</f>
        <v>-9.6480925159391884E-2</v>
      </c>
      <c r="N115" s="302">
        <f t="shared" ref="N115:N116" si="100">SUM(K115:M115)</f>
        <v>-0.54403622049425571</v>
      </c>
    </row>
    <row r="116" spans="1:14" x14ac:dyDescent="0.2">
      <c r="A116" s="282" t="s">
        <v>363</v>
      </c>
      <c r="B116" s="302">
        <f>SUM(B114:B115)</f>
        <v>26.279119521906598</v>
      </c>
      <c r="C116" s="299" t="str">
        <f>CONCATENATE("(",ROUND((B116/$H116)*100,1),")")</f>
        <v>(81.3)</v>
      </c>
      <c r="D116" s="302">
        <f>SUM(D114:D115)</f>
        <v>2.9104987706219871</v>
      </c>
      <c r="E116" s="299" t="str">
        <f>CONCATENATE("(",ROUND((D116/$H116)*100,1),")")</f>
        <v>(9)</v>
      </c>
      <c r="F116" s="302">
        <f>SUM(F114:F115)</f>
        <v>3.1453817074714494</v>
      </c>
      <c r="G116" s="299" t="str">
        <f>CONCATENATE("(",ROUND((F116/$H116)*100,1),")")</f>
        <v>(9.7)</v>
      </c>
      <c r="H116" s="302">
        <f>SUM(H114:H115)</f>
        <v>32.335000000000036</v>
      </c>
      <c r="I116" s="299" t="str">
        <f>CONCATENATE("(",ROUND((H116/$H116)*100,1),")")</f>
        <v>(100)</v>
      </c>
      <c r="K116" s="302">
        <f t="shared" si="97"/>
        <v>-1.8565035863982438</v>
      </c>
      <c r="L116" s="302">
        <f t="shared" si="98"/>
        <v>-0.18682120426362747</v>
      </c>
      <c r="M116" s="302">
        <f t="shared" si="99"/>
        <v>-0.24567520933820308</v>
      </c>
      <c r="N116" s="302">
        <f t="shared" si="100"/>
        <v>-2.2890000000000743</v>
      </c>
    </row>
    <row r="117" spans="1:14" x14ac:dyDescent="0.2">
      <c r="B117" s="302"/>
      <c r="C117" s="284"/>
      <c r="D117" s="302"/>
      <c r="E117" s="284"/>
      <c r="F117" s="302"/>
      <c r="G117" s="284"/>
      <c r="H117" s="302"/>
      <c r="I117" s="284"/>
    </row>
    <row r="118" spans="1:14" x14ac:dyDescent="0.2">
      <c r="A118" s="292">
        <f>$A$13</f>
        <v>2025</v>
      </c>
      <c r="B118" s="302"/>
      <c r="C118" s="284"/>
      <c r="D118" s="302"/>
      <c r="E118" s="284"/>
      <c r="F118" s="302"/>
      <c r="G118" s="284"/>
      <c r="H118" s="302"/>
      <c r="I118" s="284"/>
      <c r="K118" s="286" t="str">
        <f>CONCATENATE(A118," - ",A123)</f>
        <v>2025 - 2035</v>
      </c>
    </row>
    <row r="119" spans="1:14" x14ac:dyDescent="0.2">
      <c r="A119" s="282" t="s">
        <v>364</v>
      </c>
      <c r="B119" s="302">
        <f>'Ind T6'!Q45</f>
        <v>19.768871613433099</v>
      </c>
      <c r="C119" s="299" t="str">
        <f>CONCATENATE("(",ROUND((B119/$H121)*100,1),")")</f>
        <v>(65.8)</v>
      </c>
      <c r="D119" s="302">
        <f>'Ind T6'!R45</f>
        <v>0.84526789898640675</v>
      </c>
      <c r="E119" s="299" t="str">
        <f>CONCATENATE("(",ROUND((D119/$H121)*100,1),")")</f>
        <v>(2.8)</v>
      </c>
      <c r="F119" s="302">
        <f>'Ind T6'!S45</f>
        <v>2.0052492060437319</v>
      </c>
      <c r="G119" s="299" t="str">
        <f>CONCATENATE("(",ROUND((F119/$H121)*100,1),")")</f>
        <v>(6.7)</v>
      </c>
      <c r="H119" s="302">
        <f>SUM(B119,D119,F119)</f>
        <v>22.619388718463238</v>
      </c>
      <c r="I119" s="299" t="str">
        <f>CONCATENATE("(",ROUND((H119/$H121)*100,1),")")</f>
        <v>(75.3)</v>
      </c>
      <c r="K119" s="302">
        <f>B124-B119</f>
        <v>-2.2305686282866048</v>
      </c>
      <c r="L119" s="302">
        <f>D124-D119</f>
        <v>-8.0955583026526057E-2</v>
      </c>
      <c r="M119" s="302">
        <f>F124-F119</f>
        <v>-0.13716927746159779</v>
      </c>
      <c r="N119" s="302">
        <f>SUM(K119:M119)</f>
        <v>-2.4486934887747287</v>
      </c>
    </row>
    <row r="120" spans="1:14" x14ac:dyDescent="0.2">
      <c r="A120" s="282" t="s">
        <v>365</v>
      </c>
      <c r="B120" s="302">
        <f>'Ind T6'!Q44</f>
        <v>4.6537443220752532</v>
      </c>
      <c r="C120" s="299" t="str">
        <f>CONCATENATE("(",ROUND((B120/$H121)*100,1),")")</f>
        <v>(15.5)</v>
      </c>
      <c r="D120" s="302">
        <f>'Ind T6'!R44</f>
        <v>1.878409667371953</v>
      </c>
      <c r="E120" s="299" t="str">
        <f>CONCATENATE("(",ROUND((D120/$H121)*100,1),")")</f>
        <v>(6.3)</v>
      </c>
      <c r="F120" s="302">
        <f>'Ind T6'!S44</f>
        <v>0.89445729208951441</v>
      </c>
      <c r="G120" s="299" t="str">
        <f>CONCATENATE("(",ROUND((F120/$H121)*100,1),")")</f>
        <v>(3)</v>
      </c>
      <c r="H120" s="302">
        <f t="shared" ref="H120" si="101">SUM(B120,D120,F120)</f>
        <v>7.4266112815367205</v>
      </c>
      <c r="I120" s="299" t="str">
        <f>CONCATENATE("(",ROUND((H120/$H121)*100,1),")")</f>
        <v>(24.7)</v>
      </c>
      <c r="K120" s="302">
        <f t="shared" ref="K120:K121" si="102">B125-B120</f>
        <v>-0.37736891720292487</v>
      </c>
      <c r="L120" s="302">
        <f t="shared" ref="L120:L121" si="103">D125-D120</f>
        <v>-0.15200391427668514</v>
      </c>
      <c r="M120" s="302">
        <f t="shared" ref="M120:M121" si="104">F125-F120</f>
        <v>-8.8933679745553218E-2</v>
      </c>
      <c r="N120" s="302">
        <f t="shared" ref="N120:N121" si="105">SUM(K120:M120)</f>
        <v>-0.61830651122516322</v>
      </c>
    </row>
    <row r="121" spans="1:14" x14ac:dyDescent="0.2">
      <c r="A121" s="282" t="s">
        <v>363</v>
      </c>
      <c r="B121" s="302">
        <f>SUM(B119:B120)</f>
        <v>24.422615935508354</v>
      </c>
      <c r="C121" s="299" t="str">
        <f>CONCATENATE("(",ROUND((B121/$H121)*100,1),")")</f>
        <v>(81.3)</v>
      </c>
      <c r="D121" s="302">
        <f>SUM(D119:D120)</f>
        <v>2.7236775663583597</v>
      </c>
      <c r="E121" s="299" t="str">
        <f>CONCATENATE("(",ROUND((D121/$H121)*100,1),")")</f>
        <v>(9.1)</v>
      </c>
      <c r="F121" s="302">
        <f>SUM(F119:F120)</f>
        <v>2.8997064981332463</v>
      </c>
      <c r="G121" s="299" t="str">
        <f>CONCATENATE("(",ROUND((F121/$H121)*100,1),")")</f>
        <v>(9.7)</v>
      </c>
      <c r="H121" s="302">
        <f>SUM(H119:H120)</f>
        <v>30.045999999999957</v>
      </c>
      <c r="I121" s="299" t="str">
        <f>CONCATENATE("(",ROUND((H121/$H121)*100,1),")")</f>
        <v>(100)</v>
      </c>
      <c r="K121" s="302">
        <f t="shared" si="102"/>
        <v>-2.6079375454895306</v>
      </c>
      <c r="L121" s="302">
        <f t="shared" si="103"/>
        <v>-0.23295949730321119</v>
      </c>
      <c r="M121" s="302">
        <f t="shared" si="104"/>
        <v>-0.2261029572071509</v>
      </c>
      <c r="N121" s="302">
        <f t="shared" si="105"/>
        <v>-3.0669999999998927</v>
      </c>
    </row>
    <row r="122" spans="1:14" x14ac:dyDescent="0.2">
      <c r="B122" s="302"/>
      <c r="C122" s="284"/>
      <c r="D122" s="302"/>
      <c r="E122" s="284"/>
      <c r="F122" s="302"/>
      <c r="G122" s="284"/>
      <c r="H122" s="302"/>
      <c r="I122" s="284"/>
    </row>
    <row r="123" spans="1:14" x14ac:dyDescent="0.2">
      <c r="A123" s="292">
        <f>$A$18</f>
        <v>2035</v>
      </c>
      <c r="B123" s="302"/>
      <c r="C123" s="284"/>
      <c r="D123" s="302"/>
      <c r="E123" s="284"/>
      <c r="F123" s="302"/>
      <c r="G123" s="284"/>
      <c r="H123" s="302"/>
      <c r="I123" s="284"/>
      <c r="K123" s="286" t="str">
        <f>CONCATENATE(A113," - ",A123)</f>
        <v>2020 - 2035</v>
      </c>
    </row>
    <row r="124" spans="1:14" x14ac:dyDescent="0.2">
      <c r="A124" s="282" t="s">
        <v>364</v>
      </c>
      <c r="B124" s="302">
        <f>'Ind T6'!V45</f>
        <v>17.538302985146494</v>
      </c>
      <c r="C124" s="299" t="str">
        <f>CONCATENATE("(",ROUND((B124/$H126)*100,1),")")</f>
        <v>(65)</v>
      </c>
      <c r="D124" s="302">
        <f>'Ind T6'!W45</f>
        <v>0.76431231595988069</v>
      </c>
      <c r="E124" s="299" t="str">
        <f>CONCATENATE("(",ROUND((D124/$H126)*100,1),")")</f>
        <v>(2.8)</v>
      </c>
      <c r="F124" s="302">
        <f>'Ind T6'!X45</f>
        <v>1.8680799285821341</v>
      </c>
      <c r="G124" s="299" t="str">
        <f>CONCATENATE("(",ROUND((F124/$H126)*100,1),")")</f>
        <v>(6.9)</v>
      </c>
      <c r="H124" s="302">
        <f>SUM(B124,D124,F124)</f>
        <v>20.170695229688508</v>
      </c>
      <c r="I124" s="299" t="str">
        <f>CONCATENATE("(",ROUND((H124/$H126)*100,1),")")</f>
        <v>(74.8)</v>
      </c>
      <c r="K124" s="302">
        <f>B124-B114</f>
        <v>-3.7656289802550837</v>
      </c>
      <c r="L124" s="302">
        <f>D124-D114</f>
        <v>-0.14166472638505623</v>
      </c>
      <c r="M124" s="302">
        <f>F124-F114</f>
        <v>-0.28636356164040899</v>
      </c>
      <c r="N124" s="302">
        <f>SUM(K124:M124)</f>
        <v>-4.1936572682805489</v>
      </c>
    </row>
    <row r="125" spans="1:14" x14ac:dyDescent="0.2">
      <c r="A125" s="282" t="s">
        <v>365</v>
      </c>
      <c r="B125" s="302">
        <f>'Ind T6'!V44</f>
        <v>4.2763754048723284</v>
      </c>
      <c r="C125" s="299" t="str">
        <f>CONCATENATE("(",ROUND((B125/$H126)*100,1),")")</f>
        <v>(15.9)</v>
      </c>
      <c r="D125" s="302">
        <f>'Ind T6'!W44</f>
        <v>1.7264057530952679</v>
      </c>
      <c r="E125" s="299" t="str">
        <f>CONCATENATE("(",ROUND((D125/$H126)*100,1),")")</f>
        <v>(6.4)</v>
      </c>
      <c r="F125" s="302">
        <f>'Ind T6'!X44</f>
        <v>0.80552361234396119</v>
      </c>
      <c r="G125" s="299" t="str">
        <f>CONCATENATE("(",ROUND((F125/$H126)*100,1),")")</f>
        <v>(3)</v>
      </c>
      <c r="H125" s="302">
        <f t="shared" ref="H125" si="106">SUM(B125,D125,F125)</f>
        <v>6.8083047703115573</v>
      </c>
      <c r="I125" s="299" t="str">
        <f>CONCATENATE("(",ROUND((H125/$H126)*100,1),")")</f>
        <v>(25.2)</v>
      </c>
      <c r="K125" s="302">
        <f t="shared" ref="K125:K126" si="107">B125-B115</f>
        <v>-0.6988121516326915</v>
      </c>
      <c r="L125" s="302">
        <f t="shared" ref="L125:L126" si="108">D125-D115</f>
        <v>-0.27811597518178233</v>
      </c>
      <c r="M125" s="302">
        <f t="shared" ref="M125:M126" si="109">F125-F115</f>
        <v>-0.1854146049049451</v>
      </c>
      <c r="N125" s="302">
        <f t="shared" ref="N125:N126" si="110">SUM(K125:M125)</f>
        <v>-1.162342731719419</v>
      </c>
    </row>
    <row r="126" spans="1:14" x14ac:dyDescent="0.2">
      <c r="A126" s="282" t="s">
        <v>363</v>
      </c>
      <c r="B126" s="302">
        <f>SUM(B124:B125)</f>
        <v>21.814678390018823</v>
      </c>
      <c r="C126" s="299" t="str">
        <f>CONCATENATE("(",ROUND((B126/$H126)*100,1),")")</f>
        <v>(80.9)</v>
      </c>
      <c r="D126" s="302">
        <f>SUM(D124:D125)</f>
        <v>2.4907180690551485</v>
      </c>
      <c r="E126" s="299" t="str">
        <f>CONCATENATE("(",ROUND((D126/$H126)*100,1),")")</f>
        <v>(9.2)</v>
      </c>
      <c r="F126" s="302">
        <f>SUM(F124:F125)</f>
        <v>2.6736035409260954</v>
      </c>
      <c r="G126" s="299" t="str">
        <f>CONCATENATE("(",ROUND((F126/$H126)*100,1),")")</f>
        <v>(9.9)</v>
      </c>
      <c r="H126" s="302">
        <f>SUM(H124:H125)</f>
        <v>26.979000000000067</v>
      </c>
      <c r="I126" s="299" t="str">
        <f>CONCATENATE("(",ROUND((H126/$H126)*100,1),")")</f>
        <v>(100)</v>
      </c>
      <c r="K126" s="302">
        <f t="shared" si="107"/>
        <v>-4.4644411318877744</v>
      </c>
      <c r="L126" s="302">
        <f t="shared" si="108"/>
        <v>-0.41978070156683867</v>
      </c>
      <c r="M126" s="302">
        <f t="shared" si="109"/>
        <v>-0.47177816654535398</v>
      </c>
      <c r="N126" s="302">
        <f t="shared" si="110"/>
        <v>-5.355999999999967</v>
      </c>
    </row>
    <row r="127" spans="1:14" x14ac:dyDescent="0.2">
      <c r="A127" s="293"/>
      <c r="B127" s="294"/>
      <c r="C127" s="293"/>
      <c r="D127" s="294"/>
      <c r="E127" s="293"/>
      <c r="F127" s="294"/>
      <c r="G127" s="293"/>
      <c r="H127" s="294"/>
      <c r="I127" s="293"/>
      <c r="J127" s="293"/>
      <c r="K127" s="294"/>
      <c r="L127" s="294"/>
      <c r="M127" s="294"/>
      <c r="N127" s="294"/>
    </row>
    <row r="131" spans="1:14" x14ac:dyDescent="0.2">
      <c r="A131" s="288"/>
      <c r="B131" s="289" t="s">
        <v>372</v>
      </c>
      <c r="C131" s="288"/>
      <c r="D131" s="289"/>
      <c r="E131" s="288"/>
      <c r="F131" s="289" t="str">
        <f>name!B9</f>
        <v>Electricity and gas</v>
      </c>
      <c r="G131" s="288"/>
      <c r="H131" s="291"/>
      <c r="I131" s="288"/>
      <c r="J131" s="290"/>
      <c r="K131" s="291"/>
      <c r="L131" s="291"/>
      <c r="M131" s="291"/>
      <c r="N131" s="291"/>
    </row>
    <row r="132" spans="1:14" x14ac:dyDescent="0.2">
      <c r="N132" s="287" t="s">
        <v>370</v>
      </c>
    </row>
    <row r="133" spans="1:14" x14ac:dyDescent="0.2">
      <c r="A133" s="182" t="s">
        <v>371</v>
      </c>
      <c r="B133" s="372" t="s">
        <v>369</v>
      </c>
      <c r="C133" s="372"/>
      <c r="D133" s="372" t="s">
        <v>368</v>
      </c>
      <c r="E133" s="372"/>
      <c r="F133" s="372" t="s">
        <v>367</v>
      </c>
      <c r="G133" s="372"/>
      <c r="H133" s="372" t="s">
        <v>33</v>
      </c>
      <c r="I133" s="372"/>
      <c r="J133" s="182"/>
      <c r="K133" s="297" t="s">
        <v>345</v>
      </c>
      <c r="L133" s="297" t="s">
        <v>347</v>
      </c>
      <c r="M133" s="297" t="s">
        <v>343</v>
      </c>
      <c r="N133" s="297" t="s">
        <v>33</v>
      </c>
    </row>
    <row r="134" spans="1:14" x14ac:dyDescent="0.2">
      <c r="A134" s="292">
        <f>$A$8</f>
        <v>2020</v>
      </c>
      <c r="B134" s="287" t="s">
        <v>66</v>
      </c>
      <c r="C134" s="20" t="s">
        <v>366</v>
      </c>
      <c r="D134" s="287" t="s">
        <v>66</v>
      </c>
      <c r="E134" s="20" t="s">
        <v>366</v>
      </c>
      <c r="F134" s="287" t="s">
        <v>66</v>
      </c>
      <c r="G134" s="20" t="s">
        <v>366</v>
      </c>
      <c r="H134" s="287" t="s">
        <v>66</v>
      </c>
      <c r="I134" s="20" t="s">
        <v>366</v>
      </c>
      <c r="J134" s="182"/>
      <c r="K134" s="286" t="str">
        <f>CONCATENATE(A134," - ",A139)</f>
        <v>2020 - 2025</v>
      </c>
      <c r="L134" s="285"/>
      <c r="M134" s="285"/>
    </row>
    <row r="135" spans="1:14" x14ac:dyDescent="0.2">
      <c r="A135" s="282" t="s">
        <v>364</v>
      </c>
      <c r="B135" s="302">
        <f>'Ind T6'!L54</f>
        <v>2.4724140673983674</v>
      </c>
      <c r="C135" s="299" t="str">
        <f>CONCATENATE("(",ROUND((B135/$H137)*100,1),")")</f>
        <v>(65.2)</v>
      </c>
      <c r="D135" s="302">
        <f>'Ind T6'!M54</f>
        <v>3.7963826669536974E-2</v>
      </c>
      <c r="E135" s="299" t="str">
        <f>CONCATENATE("(",ROUND((D135/$H137)*100,1),")")</f>
        <v>(1)</v>
      </c>
      <c r="F135" s="302">
        <f>'Ind T6'!N54</f>
        <v>0</v>
      </c>
      <c r="G135" s="299" t="str">
        <f>CONCATENATE("(",ROUND((F135/$H137)*100,1),")")</f>
        <v>(0)</v>
      </c>
      <c r="H135" s="302">
        <f>SUM(B135,D135,F135)</f>
        <v>2.5103778940679042</v>
      </c>
      <c r="I135" s="299" t="str">
        <f>CONCATENATE("(",ROUND((H135/$H137)*100,1),")")</f>
        <v>(66.2)</v>
      </c>
      <c r="K135" s="302">
        <f>B140-B135</f>
        <v>-8.3708347000926331E-2</v>
      </c>
      <c r="L135" s="302">
        <f>D140-D135</f>
        <v>-4.8214925040915291E-4</v>
      </c>
      <c r="M135" s="302">
        <f>F140-F135</f>
        <v>0</v>
      </c>
      <c r="N135" s="302">
        <f>SUM(K135:M135)</f>
        <v>-8.4190496251335484E-2</v>
      </c>
    </row>
    <row r="136" spans="1:14" x14ac:dyDescent="0.2">
      <c r="A136" s="282" t="s">
        <v>365</v>
      </c>
      <c r="B136" s="302">
        <f>'Ind T6'!L53</f>
        <v>0.75975306677992949</v>
      </c>
      <c r="C136" s="299" t="str">
        <f>CONCATENATE("(",ROUND((B136/$H137)*100,1),")")</f>
        <v>(20)</v>
      </c>
      <c r="D136" s="302">
        <f>'Ind T6'!M53</f>
        <v>0.20681549090028223</v>
      </c>
      <c r="E136" s="299" t="str">
        <f>CONCATENATE("(",ROUND((D136/$H137)*100,1),")")</f>
        <v>(5.5)</v>
      </c>
      <c r="F136" s="302">
        <f>'Ind T6'!N53</f>
        <v>0.31705354825188842</v>
      </c>
      <c r="G136" s="299" t="str">
        <f>CONCATENATE("(",ROUND((F136/$H137)*100,1),")")</f>
        <v>(8.4)</v>
      </c>
      <c r="H136" s="302">
        <f t="shared" ref="H136" si="111">SUM(B136,D136,F136)</f>
        <v>1.2836221059321</v>
      </c>
      <c r="I136" s="299" t="str">
        <f>CONCATENATE("(",ROUND((H136/$H137)*100,1),")")</f>
        <v>(33.8)</v>
      </c>
      <c r="K136" s="302">
        <f t="shared" ref="K136:K137" si="112">B141-B136</f>
        <v>-1.4073281810452531E-2</v>
      </c>
      <c r="L136" s="302">
        <f t="shared" ref="L136:L137" si="113">D141-D136</f>
        <v>-5.6480070200639054E-3</v>
      </c>
      <c r="M136" s="302">
        <f t="shared" ref="M136:M137" si="114">F141-F136</f>
        <v>-1.3088214918151875E-2</v>
      </c>
      <c r="N136" s="302">
        <f t="shared" ref="N136:N137" si="115">SUM(K136:M136)</f>
        <v>-3.2809503748668312E-2</v>
      </c>
    </row>
    <row r="137" spans="1:14" x14ac:dyDescent="0.2">
      <c r="A137" s="282" t="s">
        <v>363</v>
      </c>
      <c r="B137" s="302">
        <f>SUM(B135:B136)</f>
        <v>3.2321671341782969</v>
      </c>
      <c r="C137" s="299" t="str">
        <f>CONCATENATE("(",ROUND((B137/$H137)*100,1),")")</f>
        <v>(85.2)</v>
      </c>
      <c r="D137" s="302">
        <f>SUM(D135:D136)</f>
        <v>0.24477931756981919</v>
      </c>
      <c r="E137" s="299" t="str">
        <f>CONCATENATE("(",ROUND((D137/$H137)*100,1),")")</f>
        <v>(6.5)</v>
      </c>
      <c r="F137" s="302">
        <f>SUM(F135:F136)</f>
        <v>0.31705354825188842</v>
      </c>
      <c r="G137" s="299" t="str">
        <f>CONCATENATE("(",ROUND((F137/$H137)*100,1),")")</f>
        <v>(8.4)</v>
      </c>
      <c r="H137" s="302">
        <f>SUM(H135:H136)</f>
        <v>3.794000000000004</v>
      </c>
      <c r="I137" s="299" t="str">
        <f>CONCATENATE("(",ROUND((H137/$H137)*100,1),")")</f>
        <v>(100)</v>
      </c>
      <c r="K137" s="302">
        <f t="shared" si="112"/>
        <v>-9.7781628811378862E-2</v>
      </c>
      <c r="L137" s="302">
        <f t="shared" si="113"/>
        <v>-6.1301562704730306E-3</v>
      </c>
      <c r="M137" s="302">
        <f t="shared" si="114"/>
        <v>-1.3088214918151875E-2</v>
      </c>
      <c r="N137" s="302">
        <f t="shared" si="115"/>
        <v>-0.11700000000000377</v>
      </c>
    </row>
    <row r="138" spans="1:14" x14ac:dyDescent="0.2">
      <c r="B138" s="302"/>
      <c r="C138" s="284"/>
      <c r="D138" s="302"/>
      <c r="E138" s="284"/>
      <c r="F138" s="302"/>
      <c r="G138" s="284"/>
      <c r="H138" s="302"/>
      <c r="I138" s="284"/>
    </row>
    <row r="139" spans="1:14" x14ac:dyDescent="0.2">
      <c r="A139" s="292">
        <f>$A$13</f>
        <v>2025</v>
      </c>
      <c r="B139" s="302"/>
      <c r="C139" s="284"/>
      <c r="D139" s="302"/>
      <c r="E139" s="284"/>
      <c r="F139" s="302"/>
      <c r="G139" s="284"/>
      <c r="H139" s="302"/>
      <c r="I139" s="284"/>
      <c r="K139" s="286" t="str">
        <f>CONCATENATE(A139," - ",A144)</f>
        <v>2025 - 2035</v>
      </c>
    </row>
    <row r="140" spans="1:14" x14ac:dyDescent="0.2">
      <c r="A140" s="282" t="s">
        <v>364</v>
      </c>
      <c r="B140" s="302">
        <f>'Ind T6'!Q54</f>
        <v>2.3887057203974411</v>
      </c>
      <c r="C140" s="299" t="str">
        <f>CONCATENATE("(",ROUND((B140/$H142)*100,1),")")</f>
        <v>(65)</v>
      </c>
      <c r="D140" s="302">
        <f>'Ind T6'!R54</f>
        <v>3.7481677419127821E-2</v>
      </c>
      <c r="E140" s="299" t="str">
        <f>CONCATENATE("(",ROUND((D140/$H142)*100,1),")")</f>
        <v>(1)</v>
      </c>
      <c r="F140" s="302">
        <f>'Ind T6'!S54</f>
        <v>0</v>
      </c>
      <c r="G140" s="299" t="str">
        <f>CONCATENATE("(",ROUND((F140/$H142)*100,1),")")</f>
        <v>(0)</v>
      </c>
      <c r="H140" s="302">
        <f>SUM(B140,D140,F140)</f>
        <v>2.4261873978165691</v>
      </c>
      <c r="I140" s="299" t="str">
        <f>CONCATENATE("(",ROUND((H140/$H142)*100,1),")")</f>
        <v>(66)</v>
      </c>
      <c r="K140" s="302">
        <f>B145-B140</f>
        <v>1.0766541454971801E-3</v>
      </c>
      <c r="L140" s="302">
        <f>D145-D140</f>
        <v>1.6405552506888674E-3</v>
      </c>
      <c r="M140" s="302">
        <f>F145-F140</f>
        <v>0</v>
      </c>
      <c r="N140" s="302">
        <f>SUM(K140:M140)</f>
        <v>2.7172093961860475E-3</v>
      </c>
    </row>
    <row r="141" spans="1:14" x14ac:dyDescent="0.2">
      <c r="A141" s="282" t="s">
        <v>365</v>
      </c>
      <c r="B141" s="302">
        <f>'Ind T6'!Q53</f>
        <v>0.74567978496947696</v>
      </c>
      <c r="C141" s="299" t="str">
        <f>CONCATENATE("(",ROUND((B141/$H142)*100,1),")")</f>
        <v>(20.3)</v>
      </c>
      <c r="D141" s="302">
        <f>'Ind T6'!R53</f>
        <v>0.20116748388021832</v>
      </c>
      <c r="E141" s="299" t="str">
        <f>CONCATENATE("(",ROUND((D141/$H142)*100,1),")")</f>
        <v>(5.5)</v>
      </c>
      <c r="F141" s="302">
        <f>'Ind T6'!S53</f>
        <v>0.30396533333373654</v>
      </c>
      <c r="G141" s="299" t="str">
        <f>CONCATENATE("(",ROUND((F141/$H142)*100,1),")")</f>
        <v>(8.3)</v>
      </c>
      <c r="H141" s="302">
        <f t="shared" ref="H141" si="116">SUM(B141,D141,F141)</f>
        <v>1.2508126021834318</v>
      </c>
      <c r="I141" s="299" t="str">
        <f>CONCATENATE("(",ROUND((H141/$H142)*100,1),")")</f>
        <v>(34)</v>
      </c>
      <c r="K141" s="302">
        <f t="shared" ref="K141:K142" si="117">B146-B141</f>
        <v>2.4410479158187504E-2</v>
      </c>
      <c r="L141" s="302">
        <f t="shared" ref="L141:L142" si="118">D146-D141</f>
        <v>2.6799389769768533E-3</v>
      </c>
      <c r="M141" s="302">
        <f t="shared" ref="M141:M142" si="119">F146-F141</f>
        <v>-8.0762753134916432E-4</v>
      </c>
      <c r="N141" s="302">
        <f t="shared" ref="N141:N142" si="120">SUM(K141:M141)</f>
        <v>2.6282790603815193E-2</v>
      </c>
    </row>
    <row r="142" spans="1:14" x14ac:dyDescent="0.2">
      <c r="A142" s="282" t="s">
        <v>363</v>
      </c>
      <c r="B142" s="302">
        <f>SUM(B140:B141)</f>
        <v>3.1343855053669181</v>
      </c>
      <c r="C142" s="299" t="str">
        <f>CONCATENATE("(",ROUND((B142/$H142)*100,1),")")</f>
        <v>(85.2)</v>
      </c>
      <c r="D142" s="302">
        <f>SUM(D140:D141)</f>
        <v>0.23864916129934616</v>
      </c>
      <c r="E142" s="299" t="str">
        <f>CONCATENATE("(",ROUND((D142/$H142)*100,1),")")</f>
        <v>(6.5)</v>
      </c>
      <c r="F142" s="302">
        <f>SUM(F140:F141)</f>
        <v>0.30396533333373654</v>
      </c>
      <c r="G142" s="299" t="str">
        <f>CONCATENATE("(",ROUND((F142/$H142)*100,1),")")</f>
        <v>(8.3)</v>
      </c>
      <c r="H142" s="302">
        <f>SUM(H140:H141)</f>
        <v>3.6770000000000009</v>
      </c>
      <c r="I142" s="299" t="str">
        <f>CONCATENATE("(",ROUND((H142/$H142)*100,1),")")</f>
        <v>(100)</v>
      </c>
      <c r="K142" s="302">
        <f t="shared" si="117"/>
        <v>2.5487133303684573E-2</v>
      </c>
      <c r="L142" s="302">
        <f t="shared" si="118"/>
        <v>4.3204942276656999E-3</v>
      </c>
      <c r="M142" s="302">
        <f t="shared" si="119"/>
        <v>-8.0762753134916432E-4</v>
      </c>
      <c r="N142" s="302">
        <f t="shared" si="120"/>
        <v>2.9000000000001108E-2</v>
      </c>
    </row>
    <row r="143" spans="1:14" x14ac:dyDescent="0.2">
      <c r="B143" s="302"/>
      <c r="C143" s="284"/>
      <c r="D143" s="302"/>
      <c r="E143" s="284"/>
      <c r="F143" s="302"/>
      <c r="G143" s="284"/>
      <c r="H143" s="302"/>
      <c r="I143" s="284"/>
    </row>
    <row r="144" spans="1:14" x14ac:dyDescent="0.2">
      <c r="A144" s="292">
        <f>$A$18</f>
        <v>2035</v>
      </c>
      <c r="B144" s="302"/>
      <c r="C144" s="284"/>
      <c r="D144" s="302"/>
      <c r="E144" s="284"/>
      <c r="F144" s="302"/>
      <c r="G144" s="284"/>
      <c r="H144" s="302"/>
      <c r="I144" s="284"/>
      <c r="K144" s="286" t="str">
        <f>CONCATENATE(A134," - ",A144)</f>
        <v>2020 - 2035</v>
      </c>
    </row>
    <row r="145" spans="1:14" x14ac:dyDescent="0.2">
      <c r="A145" s="282" t="s">
        <v>364</v>
      </c>
      <c r="B145" s="302">
        <f>'Ind T6'!V54</f>
        <v>2.3897823745429383</v>
      </c>
      <c r="C145" s="299" t="str">
        <f>CONCATENATE("(",ROUND((B145/$H147)*100,1),")")</f>
        <v>(64.5)</v>
      </c>
      <c r="D145" s="302">
        <f>'Ind T6'!W54</f>
        <v>3.9122232669816688E-2</v>
      </c>
      <c r="E145" s="299" t="str">
        <f>CONCATENATE("(",ROUND((D145/$H147)*100,1),")")</f>
        <v>(1.1)</v>
      </c>
      <c r="F145" s="302">
        <f>'Ind T6'!X54</f>
        <v>0</v>
      </c>
      <c r="G145" s="299" t="str">
        <f>CONCATENATE("(",ROUND((F145/$H147)*100,1),")")</f>
        <v>(0)</v>
      </c>
      <c r="H145" s="302">
        <f>SUM(B145,D145,F145)</f>
        <v>2.4289046072127549</v>
      </c>
      <c r="I145" s="299" t="str">
        <f>CONCATENATE("(",ROUND((H145/$H147)*100,1),")")</f>
        <v>(65.5)</v>
      </c>
      <c r="K145" s="302">
        <f>B145-B135</f>
        <v>-8.2631692855429151E-2</v>
      </c>
      <c r="L145" s="302">
        <f>D145-D135</f>
        <v>1.1584060002797145E-3</v>
      </c>
      <c r="M145" s="302">
        <f>F145-F135</f>
        <v>0</v>
      </c>
      <c r="N145" s="302">
        <f>SUM(K145:M145)</f>
        <v>-8.1473286855149429E-2</v>
      </c>
    </row>
    <row r="146" spans="1:14" x14ac:dyDescent="0.2">
      <c r="A146" s="282" t="s">
        <v>365</v>
      </c>
      <c r="B146" s="302">
        <f>'Ind T6'!V53</f>
        <v>0.77009026412766446</v>
      </c>
      <c r="C146" s="299" t="str">
        <f>CONCATENATE("(",ROUND((B146/$H147)*100,1),")")</f>
        <v>(20.8)</v>
      </c>
      <c r="D146" s="302">
        <f>'Ind T6'!W53</f>
        <v>0.20384742285719518</v>
      </c>
      <c r="E146" s="299" t="str">
        <f>CONCATENATE("(",ROUND((D146/$H147)*100,1),")")</f>
        <v>(5.5)</v>
      </c>
      <c r="F146" s="302">
        <f>'Ind T6'!X53</f>
        <v>0.30315770580238738</v>
      </c>
      <c r="G146" s="299" t="str">
        <f>CONCATENATE("(",ROUND((F146/$H147)*100,1),")")</f>
        <v>(8.2)</v>
      </c>
      <c r="H146" s="302">
        <f t="shared" ref="H146" si="121">SUM(B146,D146,F146)</f>
        <v>1.277095392787247</v>
      </c>
      <c r="I146" s="299" t="str">
        <f>CONCATENATE("(",ROUND((H146/$H147)*100,1),")")</f>
        <v>(34.5)</v>
      </c>
      <c r="K146" s="302">
        <f t="shared" ref="K146:K147" si="122">B146-B136</f>
        <v>1.0337197347734972E-2</v>
      </c>
      <c r="L146" s="302">
        <f t="shared" ref="L146:L147" si="123">D146-D136</f>
        <v>-2.9680680430870521E-3</v>
      </c>
      <c r="M146" s="302">
        <f t="shared" ref="M146:M147" si="124">F146-F136</f>
        <v>-1.3895842449501039E-2</v>
      </c>
      <c r="N146" s="302">
        <f t="shared" ref="N146:N147" si="125">SUM(K146:M146)</f>
        <v>-6.526713144853119E-3</v>
      </c>
    </row>
    <row r="147" spans="1:14" x14ac:dyDescent="0.2">
      <c r="A147" s="282" t="s">
        <v>363</v>
      </c>
      <c r="B147" s="302">
        <f>SUM(B145:B146)</f>
        <v>3.1598726386706026</v>
      </c>
      <c r="C147" s="299" t="str">
        <f>CONCATENATE("(",ROUND((B147/$H147)*100,1),")")</f>
        <v>(85.3)</v>
      </c>
      <c r="D147" s="302">
        <f>SUM(D145:D146)</f>
        <v>0.24296965552701186</v>
      </c>
      <c r="E147" s="299" t="str">
        <f>CONCATENATE("(",ROUND((D147/$H147)*100,1),")")</f>
        <v>(6.6)</v>
      </c>
      <c r="F147" s="302">
        <f>SUM(F145:F146)</f>
        <v>0.30315770580238738</v>
      </c>
      <c r="G147" s="299" t="str">
        <f>CONCATENATE("(",ROUND((F147/$H147)*100,1),")")</f>
        <v>(8.2)</v>
      </c>
      <c r="H147" s="302">
        <f>SUM(H145:H146)</f>
        <v>3.7060000000000022</v>
      </c>
      <c r="I147" s="299" t="str">
        <f>CONCATENATE("(",ROUND((H147/$H147)*100,1),")")</f>
        <v>(100)</v>
      </c>
      <c r="K147" s="302">
        <f t="shared" si="122"/>
        <v>-7.229449550769429E-2</v>
      </c>
      <c r="L147" s="302">
        <f t="shared" si="123"/>
        <v>-1.8096620428073307E-3</v>
      </c>
      <c r="M147" s="302">
        <f t="shared" si="124"/>
        <v>-1.3895842449501039E-2</v>
      </c>
      <c r="N147" s="302">
        <f t="shared" si="125"/>
        <v>-8.8000000000002659E-2</v>
      </c>
    </row>
    <row r="148" spans="1:14" x14ac:dyDescent="0.2">
      <c r="A148" s="293"/>
      <c r="B148" s="294"/>
      <c r="C148" s="293"/>
      <c r="D148" s="294"/>
      <c r="E148" s="293"/>
      <c r="F148" s="294"/>
      <c r="G148" s="293"/>
      <c r="H148" s="294"/>
      <c r="I148" s="293"/>
      <c r="J148" s="293"/>
      <c r="K148" s="294"/>
      <c r="L148" s="294"/>
      <c r="M148" s="294"/>
      <c r="N148" s="294"/>
    </row>
    <row r="151" spans="1:14" x14ac:dyDescent="0.2">
      <c r="C151" s="182"/>
      <c r="E151" s="182"/>
      <c r="G151" s="182"/>
      <c r="I151" s="182"/>
    </row>
    <row r="152" spans="1:14" x14ac:dyDescent="0.2">
      <c r="A152" s="288"/>
      <c r="B152" s="289" t="s">
        <v>372</v>
      </c>
      <c r="C152" s="288"/>
      <c r="D152" s="289"/>
      <c r="E152" s="288"/>
      <c r="F152" s="289" t="str">
        <f>name!B10</f>
        <v>Water and sewerage</v>
      </c>
      <c r="G152" s="288"/>
      <c r="H152" s="291"/>
      <c r="I152" s="288"/>
      <c r="J152" s="290"/>
      <c r="K152" s="291"/>
      <c r="L152" s="291"/>
      <c r="M152" s="291"/>
      <c r="N152" s="291"/>
    </row>
    <row r="153" spans="1:14" x14ac:dyDescent="0.2">
      <c r="N153" s="287" t="s">
        <v>370</v>
      </c>
    </row>
    <row r="154" spans="1:14" x14ac:dyDescent="0.2">
      <c r="A154" s="182" t="s">
        <v>371</v>
      </c>
      <c r="B154" s="372" t="s">
        <v>369</v>
      </c>
      <c r="C154" s="372"/>
      <c r="D154" s="372" t="s">
        <v>368</v>
      </c>
      <c r="E154" s="372"/>
      <c r="F154" s="372" t="s">
        <v>367</v>
      </c>
      <c r="G154" s="372"/>
      <c r="H154" s="372" t="s">
        <v>33</v>
      </c>
      <c r="I154" s="372"/>
      <c r="J154" s="182"/>
      <c r="K154" s="297" t="s">
        <v>345</v>
      </c>
      <c r="L154" s="297" t="s">
        <v>347</v>
      </c>
      <c r="M154" s="297" t="s">
        <v>343</v>
      </c>
      <c r="N154" s="297" t="s">
        <v>33</v>
      </c>
    </row>
    <row r="155" spans="1:14" x14ac:dyDescent="0.2">
      <c r="A155" s="292">
        <f>$A$8</f>
        <v>2020</v>
      </c>
      <c r="B155" s="287" t="s">
        <v>66</v>
      </c>
      <c r="C155" s="20" t="s">
        <v>366</v>
      </c>
      <c r="D155" s="287" t="s">
        <v>66</v>
      </c>
      <c r="E155" s="20" t="s">
        <v>366</v>
      </c>
      <c r="F155" s="287" t="s">
        <v>66</v>
      </c>
      <c r="G155" s="20" t="s">
        <v>366</v>
      </c>
      <c r="H155" s="287" t="s">
        <v>66</v>
      </c>
      <c r="I155" s="20" t="s">
        <v>366</v>
      </c>
      <c r="J155" s="182"/>
      <c r="K155" s="286" t="str">
        <f>CONCATENATE(A155," - ",A160)</f>
        <v>2020 - 2025</v>
      </c>
      <c r="L155" s="285"/>
      <c r="M155" s="285"/>
    </row>
    <row r="156" spans="1:14" x14ac:dyDescent="0.2">
      <c r="A156" s="282" t="s">
        <v>364</v>
      </c>
      <c r="B156" s="302">
        <f>'Ind T6'!L63</f>
        <v>2.8358757013163021</v>
      </c>
      <c r="C156" s="299" t="str">
        <f>CONCATENATE("(",ROUND((B156/$H158)*100,1),")")</f>
        <v>(67.3)</v>
      </c>
      <c r="D156" s="302">
        <f>'Ind T6'!M63</f>
        <v>0.39041260345460826</v>
      </c>
      <c r="E156" s="299" t="str">
        <f>CONCATENATE("(",ROUND((D156/$H158)*100,1),")")</f>
        <v>(9.3)</v>
      </c>
      <c r="F156" s="302">
        <f>'Ind T6'!N63</f>
        <v>0.18156600849246299</v>
      </c>
      <c r="G156" s="299" t="str">
        <f>CONCATENATE("(",ROUND((F156/$H158)*100,1),")")</f>
        <v>(4.3)</v>
      </c>
      <c r="H156" s="302">
        <f>SUM(B156,D156,F156)</f>
        <v>3.407854313263373</v>
      </c>
      <c r="I156" s="299" t="str">
        <f>CONCATENATE("(",ROUND((H156/$H158)*100,1),")")</f>
        <v>(80.9)</v>
      </c>
      <c r="K156" s="302">
        <f>B161-B156</f>
        <v>0.18759119421697124</v>
      </c>
      <c r="L156" s="302">
        <f>D161-D156</f>
        <v>3.0531861826335771E-2</v>
      </c>
      <c r="M156" s="302">
        <f>F161-F156</f>
        <v>6.0713569949971402E-3</v>
      </c>
      <c r="N156" s="302">
        <f>SUM(K156:M156)</f>
        <v>0.22419441303830415</v>
      </c>
    </row>
    <row r="157" spans="1:14" x14ac:dyDescent="0.2">
      <c r="A157" s="282" t="s">
        <v>365</v>
      </c>
      <c r="B157" s="302">
        <f>'Ind T6'!L62</f>
        <v>0.63933163881477839</v>
      </c>
      <c r="C157" s="299" t="str">
        <f>CONCATENATE("(",ROUND((B157/$H158)*100,1),")")</f>
        <v>(15.2)</v>
      </c>
      <c r="D157" s="302">
        <f>'Ind T6'!M62</f>
        <v>0.15337171817391335</v>
      </c>
      <c r="E157" s="299" t="str">
        <f>CONCATENATE("(",ROUND((D157/$H158)*100,1),")")</f>
        <v>(3.6)</v>
      </c>
      <c r="F157" s="302">
        <f>'Ind T6'!N62</f>
        <v>1.0442329747932213E-2</v>
      </c>
      <c r="G157" s="299" t="str">
        <f>CONCATENATE("(",ROUND((F157/$H158)*100,1),")")</f>
        <v>(0.2)</v>
      </c>
      <c r="H157" s="302">
        <f t="shared" ref="H157" si="126">SUM(B157,D157,F157)</f>
        <v>0.80314568673662401</v>
      </c>
      <c r="I157" s="299" t="str">
        <f>CONCATENATE("(",ROUND((H157/$H158)*100,1),")")</f>
        <v>(19.1)</v>
      </c>
      <c r="K157" s="302">
        <f t="shared" ref="K157:K158" si="127">B162-B157</f>
        <v>7.389912598323245E-2</v>
      </c>
      <c r="L157" s="302">
        <f t="shared" ref="L157:L158" si="128">D162-D157</f>
        <v>1.325756953951901E-2</v>
      </c>
      <c r="M157" s="302">
        <f t="shared" ref="M157:M158" si="129">F162-F157</f>
        <v>6.4889143895506193E-4</v>
      </c>
      <c r="N157" s="302">
        <f t="shared" ref="N157:N158" si="130">SUM(K157:M157)</f>
        <v>8.7805586961706525E-2</v>
      </c>
    </row>
    <row r="158" spans="1:14" x14ac:dyDescent="0.2">
      <c r="A158" s="282" t="s">
        <v>363</v>
      </c>
      <c r="B158" s="302">
        <f>SUM(B156:B157)</f>
        <v>3.4752073401310803</v>
      </c>
      <c r="C158" s="299" t="str">
        <f>CONCATENATE("(",ROUND((B158/$H158)*100,1),")")</f>
        <v>(82.5)</v>
      </c>
      <c r="D158" s="302">
        <f>SUM(D156:D157)</f>
        <v>0.54378432162852164</v>
      </c>
      <c r="E158" s="299" t="str">
        <f>CONCATENATE("(",ROUND((D158/$H158)*100,1),")")</f>
        <v>(12.9)</v>
      </c>
      <c r="F158" s="302">
        <f>SUM(F156:F157)</f>
        <v>0.1920083382403952</v>
      </c>
      <c r="G158" s="299" t="str">
        <f>CONCATENATE("(",ROUND((F158/$H158)*100,1),")")</f>
        <v>(4.6)</v>
      </c>
      <c r="H158" s="302">
        <f>SUM(H156:H157)</f>
        <v>4.2109999999999967</v>
      </c>
      <c r="I158" s="299" t="str">
        <f>CONCATENATE("(",ROUND((H158/$H158)*100,1),")")</f>
        <v>(100)</v>
      </c>
      <c r="K158" s="302">
        <f t="shared" si="127"/>
        <v>0.26149032020020391</v>
      </c>
      <c r="L158" s="302">
        <f t="shared" si="128"/>
        <v>4.3789431365854781E-2</v>
      </c>
      <c r="M158" s="302">
        <f t="shared" si="129"/>
        <v>6.7202484339521917E-3</v>
      </c>
      <c r="N158" s="302">
        <f t="shared" si="130"/>
        <v>0.31200000000001088</v>
      </c>
    </row>
    <row r="159" spans="1:14" x14ac:dyDescent="0.2">
      <c r="B159" s="302"/>
      <c r="C159" s="284"/>
      <c r="D159" s="302"/>
      <c r="E159" s="284"/>
      <c r="F159" s="302"/>
      <c r="G159" s="284"/>
      <c r="H159" s="302"/>
      <c r="I159" s="284"/>
    </row>
    <row r="160" spans="1:14" x14ac:dyDescent="0.2">
      <c r="A160" s="292">
        <f>$A$13</f>
        <v>2025</v>
      </c>
      <c r="B160" s="302"/>
      <c r="C160" s="284"/>
      <c r="D160" s="302"/>
      <c r="E160" s="284"/>
      <c r="F160" s="302"/>
      <c r="G160" s="284"/>
      <c r="H160" s="302"/>
      <c r="I160" s="284"/>
      <c r="K160" s="286" t="str">
        <f>CONCATENATE(A160," - ",A165)</f>
        <v>2025 - 2035</v>
      </c>
    </row>
    <row r="161" spans="1:14" x14ac:dyDescent="0.2">
      <c r="A161" s="282" t="s">
        <v>364</v>
      </c>
      <c r="B161" s="302">
        <f>'Ind T6'!Q63</f>
        <v>3.0234668955332733</v>
      </c>
      <c r="C161" s="299" t="str">
        <f>CONCATENATE("(",ROUND((B161/$H163)*100,1),")")</f>
        <v>(66.8)</v>
      </c>
      <c r="D161" s="302">
        <f>'Ind T6'!R63</f>
        <v>0.42094446528094404</v>
      </c>
      <c r="E161" s="299" t="str">
        <f>CONCATENATE("(",ROUND((D161/$H163)*100,1),")")</f>
        <v>(9.3)</v>
      </c>
      <c r="F161" s="302">
        <f>'Ind T6'!S63</f>
        <v>0.18763736548746013</v>
      </c>
      <c r="G161" s="299" t="str">
        <f>CONCATENATE("(",ROUND((F161/$H163)*100,1),")")</f>
        <v>(4.1)</v>
      </c>
      <c r="H161" s="302">
        <f>SUM(B161,D161,F161)</f>
        <v>3.6320487263016776</v>
      </c>
      <c r="I161" s="299" t="str">
        <f>CONCATENATE("(",ROUND((H161/$H163)*100,1),")")</f>
        <v>(80.3)</v>
      </c>
      <c r="K161" s="302">
        <f>B166-B161</f>
        <v>0.30492868560396369</v>
      </c>
      <c r="L161" s="302">
        <f>D166-D161</f>
        <v>4.9698231469161913E-2</v>
      </c>
      <c r="M161" s="302">
        <f>F166-F161</f>
        <v>5.0523591061497342E-3</v>
      </c>
      <c r="N161" s="302">
        <f>SUM(K161:M161)</f>
        <v>0.35967927617927531</v>
      </c>
    </row>
    <row r="162" spans="1:14" x14ac:dyDescent="0.2">
      <c r="A162" s="282" t="s">
        <v>365</v>
      </c>
      <c r="B162" s="302">
        <f>'Ind T6'!Q62</f>
        <v>0.71323076479801084</v>
      </c>
      <c r="C162" s="299" t="str">
        <f>CONCATENATE("(",ROUND((B162/$H163)*100,1),")")</f>
        <v>(15.8)</v>
      </c>
      <c r="D162" s="302">
        <f>'Ind T6'!R62</f>
        <v>0.16662928771343236</v>
      </c>
      <c r="E162" s="299" t="str">
        <f>CONCATENATE("(",ROUND((D162/$H163)*100,1),")")</f>
        <v>(3.7)</v>
      </c>
      <c r="F162" s="302">
        <f>'Ind T6'!S62</f>
        <v>1.1091221186887275E-2</v>
      </c>
      <c r="G162" s="299" t="str">
        <f>CONCATENATE("(",ROUND((F162/$H163)*100,1),")")</f>
        <v>(0.2)</v>
      </c>
      <c r="H162" s="302">
        <f t="shared" ref="H162" si="131">SUM(B162,D162,F162)</f>
        <v>0.89095127369833049</v>
      </c>
      <c r="I162" s="299" t="str">
        <f>CONCATENATE("(",ROUND((H162/$H163)*100,1),")")</f>
        <v>(19.7)</v>
      </c>
      <c r="K162" s="302">
        <f t="shared" ref="K162:K163" si="132">B167-B162</f>
        <v>0.14396472857891296</v>
      </c>
      <c r="L162" s="302">
        <f t="shared" ref="L162:L163" si="133">D167-D162</f>
        <v>2.3452998118225016E-2</v>
      </c>
      <c r="M162" s="302">
        <f t="shared" ref="M162:M163" si="134">F167-F162</f>
        <v>9.0299712357614671E-4</v>
      </c>
      <c r="N162" s="302">
        <f t="shared" ref="N162:N163" si="135">SUM(K162:M162)</f>
        <v>0.16832072382071411</v>
      </c>
    </row>
    <row r="163" spans="1:14" x14ac:dyDescent="0.2">
      <c r="A163" s="282" t="s">
        <v>363</v>
      </c>
      <c r="B163" s="302">
        <f>SUM(B161:B162)</f>
        <v>3.7366976603312843</v>
      </c>
      <c r="C163" s="299" t="str">
        <f>CONCATENATE("(",ROUND((B163/$H163)*100,1),")")</f>
        <v>(82.6)</v>
      </c>
      <c r="D163" s="302">
        <f>SUM(D161:D162)</f>
        <v>0.58757375299437642</v>
      </c>
      <c r="E163" s="299" t="str">
        <f>CONCATENATE("(",ROUND((D163/$H163)*100,1),")")</f>
        <v>(13)</v>
      </c>
      <c r="F163" s="302">
        <f>SUM(F161:F162)</f>
        <v>0.1987285866743474</v>
      </c>
      <c r="G163" s="299" t="str">
        <f>CONCATENATE("(",ROUND((F163/$H163)*100,1),")")</f>
        <v>(4.4)</v>
      </c>
      <c r="H163" s="302">
        <f>SUM(H161:H162)</f>
        <v>4.5230000000000086</v>
      </c>
      <c r="I163" s="299" t="str">
        <f>CONCATENATE("(",ROUND((H163/$H163)*100,1),")")</f>
        <v>(100)</v>
      </c>
      <c r="K163" s="302">
        <f t="shared" si="132"/>
        <v>0.44889341418287643</v>
      </c>
      <c r="L163" s="302">
        <f t="shared" si="133"/>
        <v>7.3151229587386957E-2</v>
      </c>
      <c r="M163" s="302">
        <f t="shared" si="134"/>
        <v>5.9553562297259E-3</v>
      </c>
      <c r="N163" s="302">
        <f t="shared" si="135"/>
        <v>0.52799999999998926</v>
      </c>
    </row>
    <row r="164" spans="1:14" x14ac:dyDescent="0.2">
      <c r="B164" s="302"/>
      <c r="C164" s="284"/>
      <c r="D164" s="302"/>
      <c r="E164" s="284"/>
      <c r="F164" s="302"/>
      <c r="G164" s="284"/>
      <c r="H164" s="302"/>
      <c r="I164" s="284"/>
    </row>
    <row r="165" spans="1:14" x14ac:dyDescent="0.2">
      <c r="A165" s="292">
        <f>$A$18</f>
        <v>2035</v>
      </c>
      <c r="B165" s="302"/>
      <c r="C165" s="284"/>
      <c r="D165" s="302"/>
      <c r="E165" s="284"/>
      <c r="F165" s="302"/>
      <c r="G165" s="284"/>
      <c r="H165" s="302"/>
      <c r="I165" s="284"/>
      <c r="K165" s="286" t="str">
        <f>CONCATENATE(A155," - ",A165)</f>
        <v>2020 - 2035</v>
      </c>
    </row>
    <row r="166" spans="1:14" x14ac:dyDescent="0.2">
      <c r="A166" s="282" t="s">
        <v>364</v>
      </c>
      <c r="B166" s="302">
        <f>'Ind T6'!V63</f>
        <v>3.328395581137237</v>
      </c>
      <c r="C166" s="299" t="str">
        <f>CONCATENATE("(",ROUND((B166/$H168)*100,1),")")</f>
        <v>(65.9)</v>
      </c>
      <c r="D166" s="302">
        <f>'Ind T6'!W63</f>
        <v>0.47064269675010595</v>
      </c>
      <c r="E166" s="299" t="str">
        <f>CONCATENATE("(",ROUND((D166/$H168)*100,1),")")</f>
        <v>(9.3)</v>
      </c>
      <c r="F166" s="302">
        <f>'Ind T6'!X63</f>
        <v>0.19268972459360986</v>
      </c>
      <c r="G166" s="299" t="str">
        <f>CONCATENATE("(",ROUND((F166/$H168)*100,1),")")</f>
        <v>(3.8)</v>
      </c>
      <c r="H166" s="302">
        <f>SUM(B166,D166,F166)</f>
        <v>3.9917280024809525</v>
      </c>
      <c r="I166" s="299" t="str">
        <f>CONCATENATE("(",ROUND((H166/$H168)*100,1),")")</f>
        <v>(79)</v>
      </c>
      <c r="K166" s="302">
        <f>B166-B156</f>
        <v>0.49251987982093492</v>
      </c>
      <c r="L166" s="302">
        <f>D166-D156</f>
        <v>8.0230093295497684E-2</v>
      </c>
      <c r="M166" s="302">
        <f>F166-F156</f>
        <v>1.1123716101146874E-2</v>
      </c>
      <c r="N166" s="302">
        <f>SUM(K166:M166)</f>
        <v>0.58387368921757954</v>
      </c>
    </row>
    <row r="167" spans="1:14" x14ac:dyDescent="0.2">
      <c r="A167" s="282" t="s">
        <v>365</v>
      </c>
      <c r="B167" s="302">
        <f>'Ind T6'!V62</f>
        <v>0.8571954933769238</v>
      </c>
      <c r="C167" s="299" t="str">
        <f>CONCATENATE("(",ROUND((B167/$H168)*100,1),")")</f>
        <v>(17)</v>
      </c>
      <c r="D167" s="302">
        <f>'Ind T6'!W62</f>
        <v>0.19008228583165737</v>
      </c>
      <c r="E167" s="299" t="str">
        <f>CONCATENATE("(",ROUND((D167/$H168)*100,1),")")</f>
        <v>(3.8)</v>
      </c>
      <c r="F167" s="302">
        <f>'Ind T6'!X62</f>
        <v>1.1994218310463422E-2</v>
      </c>
      <c r="G167" s="299" t="str">
        <f>CONCATENATE("(",ROUND((F167/$H168)*100,1),")")</f>
        <v>(0.2)</v>
      </c>
      <c r="H167" s="302">
        <f t="shared" ref="H167" si="136">SUM(B167,D167,F167)</f>
        <v>1.0592719975190446</v>
      </c>
      <c r="I167" s="299" t="str">
        <f>CONCATENATE("(",ROUND((H167/$H168)*100,1),")")</f>
        <v>(21)</v>
      </c>
      <c r="K167" s="302">
        <f t="shared" ref="K167:K168" si="137">B167-B157</f>
        <v>0.21786385456214541</v>
      </c>
      <c r="L167" s="302">
        <f t="shared" ref="L167:L168" si="138">D167-D157</f>
        <v>3.6710567657744025E-2</v>
      </c>
      <c r="M167" s="302">
        <f t="shared" ref="M167:M168" si="139">F167-F157</f>
        <v>1.5518885625312086E-3</v>
      </c>
      <c r="N167" s="302">
        <f t="shared" ref="N167:N168" si="140">SUM(K167:M167)</f>
        <v>0.25612631078242065</v>
      </c>
    </row>
    <row r="168" spans="1:14" x14ac:dyDescent="0.2">
      <c r="A168" s="282" t="s">
        <v>363</v>
      </c>
      <c r="B168" s="302">
        <f>SUM(B166:B167)</f>
        <v>4.1855910745141607</v>
      </c>
      <c r="C168" s="299" t="str">
        <f>CONCATENATE("(",ROUND((B168/$H168)*100,1),")")</f>
        <v>(82.9)</v>
      </c>
      <c r="D168" s="302">
        <f>SUM(D166:D167)</f>
        <v>0.66072498258176338</v>
      </c>
      <c r="E168" s="299" t="str">
        <f>CONCATENATE("(",ROUND((D168/$H168)*100,1),")")</f>
        <v>(13.1)</v>
      </c>
      <c r="F168" s="302">
        <f>SUM(F166:F167)</f>
        <v>0.2046839429040733</v>
      </c>
      <c r="G168" s="299" t="str">
        <f>CONCATENATE("(",ROUND((F168/$H168)*100,1),")")</f>
        <v>(4.1)</v>
      </c>
      <c r="H168" s="302">
        <f>SUM(H166:H167)</f>
        <v>5.0509999999999966</v>
      </c>
      <c r="I168" s="299" t="str">
        <f>CONCATENATE("(",ROUND((H168/$H168)*100,1),")")</f>
        <v>(100)</v>
      </c>
      <c r="K168" s="302">
        <f t="shared" si="137"/>
        <v>0.71038373438308033</v>
      </c>
      <c r="L168" s="302">
        <f t="shared" si="138"/>
        <v>0.11694066095324174</v>
      </c>
      <c r="M168" s="302">
        <f t="shared" si="139"/>
        <v>1.2675604663678092E-2</v>
      </c>
      <c r="N168" s="302">
        <f t="shared" si="140"/>
        <v>0.84000000000000019</v>
      </c>
    </row>
    <row r="169" spans="1:14" x14ac:dyDescent="0.2">
      <c r="A169" s="293"/>
      <c r="B169" s="294"/>
      <c r="C169" s="293"/>
      <c r="D169" s="294"/>
      <c r="E169" s="293"/>
      <c r="F169" s="294"/>
      <c r="G169" s="293"/>
      <c r="H169" s="294"/>
      <c r="I169" s="293"/>
      <c r="J169" s="293"/>
      <c r="K169" s="294"/>
      <c r="L169" s="294"/>
      <c r="M169" s="294"/>
      <c r="N169" s="294"/>
    </row>
    <row r="173" spans="1:14" x14ac:dyDescent="0.2">
      <c r="A173" s="288"/>
      <c r="B173" s="289" t="s">
        <v>372</v>
      </c>
      <c r="C173" s="288"/>
      <c r="D173" s="289"/>
      <c r="E173" s="288"/>
      <c r="F173" s="289" t="str">
        <f>name!B11</f>
        <v>Construction</v>
      </c>
      <c r="G173" s="288"/>
      <c r="H173" s="291"/>
      <c r="I173" s="288"/>
      <c r="J173" s="290"/>
      <c r="K173" s="291"/>
      <c r="L173" s="291"/>
      <c r="M173" s="291"/>
      <c r="N173" s="291"/>
    </row>
    <row r="174" spans="1:14" x14ac:dyDescent="0.2">
      <c r="N174" s="287" t="s">
        <v>370</v>
      </c>
    </row>
    <row r="175" spans="1:14" x14ac:dyDescent="0.2">
      <c r="A175" s="182" t="s">
        <v>371</v>
      </c>
      <c r="B175" s="372" t="s">
        <v>369</v>
      </c>
      <c r="C175" s="372"/>
      <c r="D175" s="372" t="s">
        <v>368</v>
      </c>
      <c r="E175" s="372"/>
      <c r="F175" s="372" t="s">
        <v>367</v>
      </c>
      <c r="G175" s="372"/>
      <c r="H175" s="372" t="s">
        <v>33</v>
      </c>
      <c r="I175" s="372"/>
      <c r="J175" s="182"/>
      <c r="K175" s="297" t="s">
        <v>345</v>
      </c>
      <c r="L175" s="297" t="s">
        <v>347</v>
      </c>
      <c r="M175" s="297" t="s">
        <v>343</v>
      </c>
      <c r="N175" s="297" t="s">
        <v>33</v>
      </c>
    </row>
    <row r="176" spans="1:14" x14ac:dyDescent="0.2">
      <c r="A176" s="292">
        <f>$A$8</f>
        <v>2020</v>
      </c>
      <c r="B176" s="287" t="s">
        <v>66</v>
      </c>
      <c r="C176" s="20" t="s">
        <v>366</v>
      </c>
      <c r="D176" s="287" t="s">
        <v>66</v>
      </c>
      <c r="E176" s="20" t="s">
        <v>366</v>
      </c>
      <c r="F176" s="287" t="s">
        <v>66</v>
      </c>
      <c r="G176" s="20" t="s">
        <v>366</v>
      </c>
      <c r="H176" s="287" t="s">
        <v>66</v>
      </c>
      <c r="I176" s="20" t="s">
        <v>366</v>
      </c>
      <c r="J176" s="182"/>
      <c r="K176" s="286" t="str">
        <f>CONCATENATE(A176," - ",A181)</f>
        <v>2020 - 2025</v>
      </c>
      <c r="L176" s="285"/>
      <c r="M176" s="285"/>
    </row>
    <row r="177" spans="1:14" x14ac:dyDescent="0.2">
      <c r="A177" s="282" t="s">
        <v>364</v>
      </c>
      <c r="B177" s="302">
        <f>'Ind T6'!L72</f>
        <v>27.190168637582349</v>
      </c>
      <c r="C177" s="299" t="str">
        <f>CONCATENATE("(",ROUND((B177/$H179)*100,1),")")</f>
        <v>(43.7)</v>
      </c>
      <c r="D177" s="302">
        <f>'Ind T6'!M72</f>
        <v>2.010814167558665</v>
      </c>
      <c r="E177" s="299" t="str">
        <f>CONCATENATE("(",ROUND((D177/$H179)*100,1),")")</f>
        <v>(3.2)</v>
      </c>
      <c r="F177" s="302">
        <f>'Ind T6'!N72</f>
        <v>22.248076251041258</v>
      </c>
      <c r="G177" s="299" t="str">
        <f>CONCATENATE("(",ROUND((F177/$H179)*100,1),")")</f>
        <v>(35.8)</v>
      </c>
      <c r="H177" s="302">
        <f>SUM(B177,D177,F177)</f>
        <v>51.449059056182271</v>
      </c>
      <c r="I177" s="299" t="str">
        <f>CONCATENATE("(",ROUND((H177/$H179)*100,1),")")</f>
        <v>(82.7)</v>
      </c>
      <c r="K177" s="302">
        <f>B182-B177</f>
        <v>1.5964134081378916</v>
      </c>
      <c r="L177" s="302">
        <f>D182-D177</f>
        <v>0.18460664042223529</v>
      </c>
      <c r="M177" s="302">
        <f>F182-F177</f>
        <v>1.8463319087357668</v>
      </c>
      <c r="N177" s="302">
        <f>SUM(K177:M177)</f>
        <v>3.6273519572958937</v>
      </c>
    </row>
    <row r="178" spans="1:14" x14ac:dyDescent="0.2">
      <c r="A178" s="282" t="s">
        <v>365</v>
      </c>
      <c r="B178" s="302">
        <f>'Ind T6'!L71</f>
        <v>5.067538636397364</v>
      </c>
      <c r="C178" s="299" t="str">
        <f>CONCATENATE("(",ROUND((B178/$H179)*100,1),")")</f>
        <v>(8.1)</v>
      </c>
      <c r="D178" s="302">
        <f>'Ind T6'!M71</f>
        <v>3.989785632770054</v>
      </c>
      <c r="E178" s="299" t="str">
        <f>CONCATENATE("(",ROUND((D178/$H179)*100,1),")")</f>
        <v>(6.4)</v>
      </c>
      <c r="F178" s="302">
        <f>'Ind T6'!N71</f>
        <v>1.6726166746502145</v>
      </c>
      <c r="G178" s="299" t="str">
        <f>CONCATENATE("(",ROUND((F178/$H179)*100,1),")")</f>
        <v>(2.7)</v>
      </c>
      <c r="H178" s="302">
        <f t="shared" ref="H178" si="141">SUM(B178,D178,F178)</f>
        <v>10.729940943817633</v>
      </c>
      <c r="I178" s="299" t="str">
        <f>CONCATENATE("(",ROUND((H178/$H179)*100,1),")")</f>
        <v>(17.3)</v>
      </c>
      <c r="K178" s="302">
        <f t="shared" ref="K178:K179" si="142">B183-B178</f>
        <v>0.38960990367521031</v>
      </c>
      <c r="L178" s="302">
        <f t="shared" ref="L178:L179" si="143">D183-D178</f>
        <v>0.33524981473711657</v>
      </c>
      <c r="M178" s="302">
        <f t="shared" ref="M178:M179" si="144">F183-F178</f>
        <v>0.13678832429207044</v>
      </c>
      <c r="N178" s="302">
        <f t="shared" ref="N178:N179" si="145">SUM(K178:M178)</f>
        <v>0.86164804270439732</v>
      </c>
    </row>
    <row r="179" spans="1:14" x14ac:dyDescent="0.2">
      <c r="A179" s="282" t="s">
        <v>363</v>
      </c>
      <c r="B179" s="302">
        <f>SUM(B177:B178)</f>
        <v>32.257707273979712</v>
      </c>
      <c r="C179" s="299" t="str">
        <f>CONCATENATE("(",ROUND((B179/$H179)*100,1),")")</f>
        <v>(51.9)</v>
      </c>
      <c r="D179" s="302">
        <f>SUM(D177:D178)</f>
        <v>6.0005998003287191</v>
      </c>
      <c r="E179" s="299" t="str">
        <f>CONCATENATE("(",ROUND((D179/$H179)*100,1),")")</f>
        <v>(9.7)</v>
      </c>
      <c r="F179" s="302">
        <f>SUM(F177:F178)</f>
        <v>23.920692925691473</v>
      </c>
      <c r="G179" s="299" t="str">
        <f>CONCATENATE("(",ROUND((F179/$H179)*100,1),")")</f>
        <v>(38.5)</v>
      </c>
      <c r="H179" s="302">
        <f>SUM(H177:H178)</f>
        <v>62.178999999999903</v>
      </c>
      <c r="I179" s="299" t="str">
        <f>CONCATENATE("(",ROUND((H179/$H179)*100,1),")")</f>
        <v>(100)</v>
      </c>
      <c r="K179" s="302">
        <f t="shared" si="142"/>
        <v>1.9860233118131063</v>
      </c>
      <c r="L179" s="302">
        <f t="shared" si="143"/>
        <v>0.51985645515935186</v>
      </c>
      <c r="M179" s="302">
        <f t="shared" si="144"/>
        <v>1.9831202330278366</v>
      </c>
      <c r="N179" s="302">
        <f t="shared" si="145"/>
        <v>4.4890000000002948</v>
      </c>
    </row>
    <row r="180" spans="1:14" x14ac:dyDescent="0.2">
      <c r="B180" s="302"/>
      <c r="C180" s="284"/>
      <c r="D180" s="302"/>
      <c r="E180" s="284"/>
      <c r="F180" s="302"/>
      <c r="G180" s="284"/>
      <c r="H180" s="302"/>
      <c r="I180" s="284"/>
    </row>
    <row r="181" spans="1:14" x14ac:dyDescent="0.2">
      <c r="A181" s="292">
        <f>$A$13</f>
        <v>2025</v>
      </c>
      <c r="B181" s="302"/>
      <c r="C181" s="284"/>
      <c r="D181" s="302"/>
      <c r="E181" s="284"/>
      <c r="F181" s="302"/>
      <c r="G181" s="284"/>
      <c r="H181" s="302"/>
      <c r="I181" s="284"/>
      <c r="K181" s="286" t="str">
        <f>CONCATENATE(A181," - ",A186)</f>
        <v>2025 - 2035</v>
      </c>
    </row>
    <row r="182" spans="1:14" x14ac:dyDescent="0.2">
      <c r="A182" s="282" t="s">
        <v>364</v>
      </c>
      <c r="B182" s="302">
        <f>'Ind T6'!Q72</f>
        <v>28.786582045720241</v>
      </c>
      <c r="C182" s="299" t="str">
        <f>CONCATENATE("(",ROUND((B182/$H184)*100,1),")")</f>
        <v>(43.2)</v>
      </c>
      <c r="D182" s="302">
        <f>'Ind T6'!R72</f>
        <v>2.1954208079809003</v>
      </c>
      <c r="E182" s="299" t="str">
        <f>CONCATENATE("(",ROUND((D182/$H184)*100,1),")")</f>
        <v>(3.3)</v>
      </c>
      <c r="F182" s="302">
        <f>'Ind T6'!S72</f>
        <v>24.094408159777025</v>
      </c>
      <c r="G182" s="299" t="str">
        <f>CONCATENATE("(",ROUND((F182/$H184)*100,1),")")</f>
        <v>(36.1)</v>
      </c>
      <c r="H182" s="302">
        <f>SUM(B182,D182,F182)</f>
        <v>55.076411013478165</v>
      </c>
      <c r="I182" s="299" t="str">
        <f>CONCATENATE("(",ROUND((H182/$H184)*100,1),")")</f>
        <v>(82.6)</v>
      </c>
      <c r="K182" s="302">
        <f>B187-B182</f>
        <v>1.5275974876341145</v>
      </c>
      <c r="L182" s="302">
        <f>D187-D182</f>
        <v>0.27879497916562235</v>
      </c>
      <c r="M182" s="302">
        <f>F187-F182</f>
        <v>2.6852028576559022</v>
      </c>
      <c r="N182" s="302">
        <f>SUM(K182:M182)</f>
        <v>4.4915953244556395</v>
      </c>
    </row>
    <row r="183" spans="1:14" x14ac:dyDescent="0.2">
      <c r="A183" s="282" t="s">
        <v>365</v>
      </c>
      <c r="B183" s="302">
        <f>'Ind T6'!Q71</f>
        <v>5.4571485400725743</v>
      </c>
      <c r="C183" s="299" t="str">
        <f>CONCATENATE("(",ROUND((B183/$H184)*100,1),")")</f>
        <v>(8.2)</v>
      </c>
      <c r="D183" s="302">
        <f>'Ind T6'!R71</f>
        <v>4.3250354475071706</v>
      </c>
      <c r="E183" s="299" t="str">
        <f>CONCATENATE("(",ROUND((D183/$H184)*100,1),")")</f>
        <v>(6.5)</v>
      </c>
      <c r="F183" s="302">
        <f>'Ind T6'!S71</f>
        <v>1.8094049989422849</v>
      </c>
      <c r="G183" s="299" t="str">
        <f>CONCATENATE("(",ROUND((F183/$H184)*100,1),")")</f>
        <v>(2.7)</v>
      </c>
      <c r="H183" s="302">
        <f t="shared" ref="H183" si="146">SUM(B183,D183,F183)</f>
        <v>11.59158898652203</v>
      </c>
      <c r="I183" s="299" t="str">
        <f>CONCATENATE("(",ROUND((H183/$H184)*100,1),")")</f>
        <v>(17.4)</v>
      </c>
      <c r="K183" s="302">
        <f t="shared" ref="K183:K184" si="147">B188-B183</f>
        <v>0.55841003912528642</v>
      </c>
      <c r="L183" s="302">
        <f t="shared" ref="L183:L184" si="148">D188-D183</f>
        <v>0.49593274409901866</v>
      </c>
      <c r="M183" s="302">
        <f t="shared" ref="M183:M184" si="149">F188-F183</f>
        <v>0.24106189231979358</v>
      </c>
      <c r="N183" s="302">
        <f t="shared" ref="N183:N184" si="150">SUM(K183:M183)</f>
        <v>1.2954046755440987</v>
      </c>
    </row>
    <row r="184" spans="1:14" x14ac:dyDescent="0.2">
      <c r="A184" s="282" t="s">
        <v>363</v>
      </c>
      <c r="B184" s="302">
        <f>SUM(B182:B183)</f>
        <v>34.243730585792818</v>
      </c>
      <c r="C184" s="299" t="str">
        <f>CONCATENATE("(",ROUND((B184/$H184)*100,1),")")</f>
        <v>(51.4)</v>
      </c>
      <c r="D184" s="302">
        <f>SUM(D182:D183)</f>
        <v>6.520456255488071</v>
      </c>
      <c r="E184" s="299" t="str">
        <f>CONCATENATE("(",ROUND((D184/$H184)*100,1),")")</f>
        <v>(9.8)</v>
      </c>
      <c r="F184" s="302">
        <f>SUM(F182:F183)</f>
        <v>25.903813158719309</v>
      </c>
      <c r="G184" s="299" t="str">
        <f>CONCATENATE("(",ROUND((F184/$H184)*100,1),")")</f>
        <v>(38.9)</v>
      </c>
      <c r="H184" s="302">
        <f>SUM(H182:H183)</f>
        <v>66.668000000000191</v>
      </c>
      <c r="I184" s="299" t="str">
        <f>CONCATENATE("(",ROUND((H184/$H184)*100,1),")")</f>
        <v>(100)</v>
      </c>
      <c r="K184" s="302">
        <f t="shared" si="147"/>
        <v>2.0860075267593956</v>
      </c>
      <c r="L184" s="302">
        <f t="shared" si="148"/>
        <v>0.77472772326464145</v>
      </c>
      <c r="M184" s="302">
        <f t="shared" si="149"/>
        <v>2.9262647499756973</v>
      </c>
      <c r="N184" s="302">
        <f t="shared" si="150"/>
        <v>5.7869999999997344</v>
      </c>
    </row>
    <row r="185" spans="1:14" x14ac:dyDescent="0.2">
      <c r="B185" s="302"/>
      <c r="C185" s="284"/>
      <c r="D185" s="302"/>
      <c r="E185" s="284"/>
      <c r="F185" s="302"/>
      <c r="G185" s="284"/>
      <c r="H185" s="302"/>
      <c r="I185" s="284"/>
    </row>
    <row r="186" spans="1:14" x14ac:dyDescent="0.2">
      <c r="A186" s="292">
        <f>$A$18</f>
        <v>2035</v>
      </c>
      <c r="B186" s="302"/>
      <c r="C186" s="284"/>
      <c r="D186" s="302"/>
      <c r="E186" s="284"/>
      <c r="F186" s="302"/>
      <c r="G186" s="284"/>
      <c r="H186" s="302"/>
      <c r="I186" s="284"/>
      <c r="K186" s="286" t="str">
        <f>CONCATENATE(A176," - ",A186)</f>
        <v>2020 - 2035</v>
      </c>
    </row>
    <row r="187" spans="1:14" x14ac:dyDescent="0.2">
      <c r="A187" s="282" t="s">
        <v>364</v>
      </c>
      <c r="B187" s="302">
        <f>'Ind T6'!V72</f>
        <v>30.314179533354356</v>
      </c>
      <c r="C187" s="299" t="str">
        <f>CONCATENATE("(",ROUND((B187/$H189)*100,1),")")</f>
        <v>(41.8)</v>
      </c>
      <c r="D187" s="302">
        <f>'Ind T6'!W72</f>
        <v>2.4742157871465227</v>
      </c>
      <c r="E187" s="299" t="str">
        <f>CONCATENATE("(",ROUND((D187/$H189)*100,1),")")</f>
        <v>(3.4)</v>
      </c>
      <c r="F187" s="302">
        <f>'Ind T6'!X72</f>
        <v>26.779611017432927</v>
      </c>
      <c r="G187" s="299" t="str">
        <f>CONCATENATE("(",ROUND((F187/$H189)*100,1),")")</f>
        <v>(37)</v>
      </c>
      <c r="H187" s="302">
        <f>SUM(B187,D187,F187)</f>
        <v>59.568006337933802</v>
      </c>
      <c r="I187" s="299" t="str">
        <f>CONCATENATE("(",ROUND((H187/$H189)*100,1),")")</f>
        <v>(82.2)</v>
      </c>
      <c r="K187" s="302">
        <f>B187-B177</f>
        <v>3.1240108957720061</v>
      </c>
      <c r="L187" s="302">
        <f>D187-D177</f>
        <v>0.46340161958785764</v>
      </c>
      <c r="M187" s="302">
        <f>F187-F177</f>
        <v>4.531534766391669</v>
      </c>
      <c r="N187" s="302">
        <f>SUM(K187:M187)</f>
        <v>8.1189472817515327</v>
      </c>
    </row>
    <row r="188" spans="1:14" x14ac:dyDescent="0.2">
      <c r="A188" s="282" t="s">
        <v>365</v>
      </c>
      <c r="B188" s="302">
        <f>'Ind T6'!V71</f>
        <v>6.0155585791978607</v>
      </c>
      <c r="C188" s="299" t="str">
        <f>CONCATENATE("(",ROUND((B188/$H189)*100,1),")")</f>
        <v>(8.3)</v>
      </c>
      <c r="D188" s="302">
        <f>'Ind T6'!W71</f>
        <v>4.8209681916061893</v>
      </c>
      <c r="E188" s="299" t="str">
        <f>CONCATENATE("(",ROUND((D188/$H189)*100,1),")")</f>
        <v>(6.7)</v>
      </c>
      <c r="F188" s="302">
        <f>'Ind T6'!X71</f>
        <v>2.0504668912620785</v>
      </c>
      <c r="G188" s="299" t="str">
        <f>CONCATENATE("(",ROUND((F188/$H189)*100,1),")")</f>
        <v>(2.8)</v>
      </c>
      <c r="H188" s="302">
        <f t="shared" ref="H188" si="151">SUM(B188,D188,F188)</f>
        <v>12.886993662066129</v>
      </c>
      <c r="I188" s="299" t="str">
        <f>CONCATENATE("(",ROUND((H188/$H189)*100,1),")")</f>
        <v>(17.8)</v>
      </c>
      <c r="K188" s="302">
        <f t="shared" ref="K188:K189" si="152">B188-B178</f>
        <v>0.94801994280049673</v>
      </c>
      <c r="L188" s="302">
        <f t="shared" ref="L188:L189" si="153">D188-D178</f>
        <v>0.83118255883613523</v>
      </c>
      <c r="M188" s="302">
        <f t="shared" ref="M188:M189" si="154">F188-F178</f>
        <v>0.37785021661186402</v>
      </c>
      <c r="N188" s="302">
        <f t="shared" ref="N188:N189" si="155">SUM(K188:M188)</f>
        <v>2.157052718248496</v>
      </c>
    </row>
    <row r="189" spans="1:14" x14ac:dyDescent="0.2">
      <c r="A189" s="282" t="s">
        <v>363</v>
      </c>
      <c r="B189" s="302">
        <f>SUM(B187:B188)</f>
        <v>36.329738112552214</v>
      </c>
      <c r="C189" s="299" t="str">
        <f>CONCATENATE("(",ROUND((B189/$H189)*100,1),")")</f>
        <v>(50.1)</v>
      </c>
      <c r="D189" s="302">
        <f>SUM(D187:D188)</f>
        <v>7.2951839787527124</v>
      </c>
      <c r="E189" s="299" t="str">
        <f>CONCATENATE("(",ROUND((D189/$H189)*100,1),")")</f>
        <v>(10.1)</v>
      </c>
      <c r="F189" s="302">
        <f>SUM(F187:F188)</f>
        <v>28.830077908695007</v>
      </c>
      <c r="G189" s="299" t="str">
        <f>CONCATENATE("(",ROUND((F189/$H189)*100,1),")")</f>
        <v>(39.8)</v>
      </c>
      <c r="H189" s="302">
        <f>SUM(H187:H188)</f>
        <v>72.454999999999927</v>
      </c>
      <c r="I189" s="299" t="str">
        <f>CONCATENATE("(",ROUND((H189/$H189)*100,1),")")</f>
        <v>(100)</v>
      </c>
      <c r="K189" s="302">
        <f t="shared" si="152"/>
        <v>4.0720308385725019</v>
      </c>
      <c r="L189" s="302">
        <f t="shared" si="153"/>
        <v>1.2945841784239933</v>
      </c>
      <c r="M189" s="302">
        <f t="shared" si="154"/>
        <v>4.9093849830035339</v>
      </c>
      <c r="N189" s="302">
        <f t="shared" si="155"/>
        <v>10.276000000000028</v>
      </c>
    </row>
    <row r="190" spans="1:14" x14ac:dyDescent="0.2">
      <c r="A190" s="293"/>
      <c r="B190" s="294"/>
      <c r="C190" s="293"/>
      <c r="D190" s="294"/>
      <c r="E190" s="293"/>
      <c r="F190" s="294"/>
      <c r="G190" s="293"/>
      <c r="H190" s="294"/>
      <c r="I190" s="293"/>
      <c r="J190" s="293"/>
      <c r="K190" s="294"/>
      <c r="L190" s="294"/>
      <c r="M190" s="294"/>
      <c r="N190" s="294"/>
    </row>
    <row r="194" spans="1:14" x14ac:dyDescent="0.2">
      <c r="A194" s="288"/>
      <c r="B194" s="289" t="s">
        <v>372</v>
      </c>
      <c r="C194" s="288"/>
      <c r="D194" s="289"/>
      <c r="E194" s="288"/>
      <c r="F194" s="289" t="str">
        <f>name!B12</f>
        <v>Wholesale and retail trade</v>
      </c>
      <c r="G194" s="288"/>
      <c r="H194" s="291"/>
      <c r="I194" s="288"/>
      <c r="J194" s="290"/>
      <c r="K194" s="291"/>
      <c r="L194" s="291"/>
      <c r="M194" s="291"/>
      <c r="N194" s="291"/>
    </row>
    <row r="195" spans="1:14" x14ac:dyDescent="0.2">
      <c r="N195" s="287" t="s">
        <v>370</v>
      </c>
    </row>
    <row r="196" spans="1:14" x14ac:dyDescent="0.2">
      <c r="A196" s="182" t="s">
        <v>371</v>
      </c>
      <c r="B196" s="372" t="s">
        <v>369</v>
      </c>
      <c r="C196" s="372"/>
      <c r="D196" s="372" t="s">
        <v>368</v>
      </c>
      <c r="E196" s="372"/>
      <c r="F196" s="372" t="s">
        <v>367</v>
      </c>
      <c r="G196" s="372"/>
      <c r="H196" s="372" t="s">
        <v>33</v>
      </c>
      <c r="I196" s="372"/>
      <c r="J196" s="182"/>
      <c r="K196" s="297" t="s">
        <v>345</v>
      </c>
      <c r="L196" s="297" t="s">
        <v>347</v>
      </c>
      <c r="M196" s="297" t="s">
        <v>343</v>
      </c>
      <c r="N196" s="297" t="s">
        <v>33</v>
      </c>
    </row>
    <row r="197" spans="1:14" x14ac:dyDescent="0.2">
      <c r="A197" s="292">
        <f>$A$8</f>
        <v>2020</v>
      </c>
      <c r="B197" s="287" t="s">
        <v>66</v>
      </c>
      <c r="C197" s="20" t="s">
        <v>366</v>
      </c>
      <c r="D197" s="287" t="s">
        <v>66</v>
      </c>
      <c r="E197" s="20" t="s">
        <v>366</v>
      </c>
      <c r="F197" s="287" t="s">
        <v>66</v>
      </c>
      <c r="G197" s="20" t="s">
        <v>366</v>
      </c>
      <c r="H197" s="287" t="s">
        <v>66</v>
      </c>
      <c r="I197" s="20" t="s">
        <v>366</v>
      </c>
      <c r="J197" s="182"/>
      <c r="K197" s="286" t="str">
        <f>CONCATENATE(A197," - ",A202)</f>
        <v>2020 - 2025</v>
      </c>
      <c r="L197" s="285"/>
      <c r="M197" s="285"/>
    </row>
    <row r="198" spans="1:14" x14ac:dyDescent="0.2">
      <c r="A198" s="282" t="s">
        <v>364</v>
      </c>
      <c r="B198" s="302">
        <f>'Ind T6'!L81</f>
        <v>48.509363458293763</v>
      </c>
      <c r="C198" s="299" t="str">
        <f>CONCATENATE("(",ROUND((B198/$H200)*100,1),")")</f>
        <v>(35.2)</v>
      </c>
      <c r="D198" s="302">
        <f>'Ind T6'!M81</f>
        <v>17.516092854011834</v>
      </c>
      <c r="E198" s="299" t="str">
        <f>CONCATENATE("(",ROUND((D198/$H200)*100,1),")")</f>
        <v>(12.7)</v>
      </c>
      <c r="F198" s="302">
        <f>'Ind T6'!N81</f>
        <v>3.968399873508873</v>
      </c>
      <c r="G198" s="299" t="str">
        <f>CONCATENATE("(",ROUND((F198/$H200)*100,1),")")</f>
        <v>(2.9)</v>
      </c>
      <c r="H198" s="302">
        <f>SUM(B198,D198,F198)</f>
        <v>69.993856185814465</v>
      </c>
      <c r="I198" s="299" t="str">
        <f>CONCATENATE("(",ROUND((H198/$H200)*100,1),")")</f>
        <v>(50.8)</v>
      </c>
      <c r="K198" s="302">
        <f>B203-B198</f>
        <v>1.0035726231177193</v>
      </c>
      <c r="L198" s="302">
        <f>D203-D198</f>
        <v>6.0479437938322889E-2</v>
      </c>
      <c r="M198" s="302">
        <f>F203-F198</f>
        <v>6.8506215791793501E-2</v>
      </c>
      <c r="N198" s="302">
        <f>SUM(K198:M198)</f>
        <v>1.1325582768478357</v>
      </c>
    </row>
    <row r="199" spans="1:14" x14ac:dyDescent="0.2">
      <c r="A199" s="282" t="s">
        <v>365</v>
      </c>
      <c r="B199" s="302">
        <f>'Ind T6'!L80</f>
        <v>30.35625866481077</v>
      </c>
      <c r="C199" s="299" t="str">
        <f>CONCATENATE("(",ROUND((B199/$H200)*100,1),")")</f>
        <v>(22)</v>
      </c>
      <c r="D199" s="302">
        <f>'Ind T6'!M80</f>
        <v>34.283737784515864</v>
      </c>
      <c r="E199" s="299" t="str">
        <f>CONCATENATE("(",ROUND((D199/$H200)*100,1),")")</f>
        <v>(24.9)</v>
      </c>
      <c r="F199" s="302">
        <f>'Ind T6'!N80</f>
        <v>3.1651473648588735</v>
      </c>
      <c r="G199" s="299" t="str">
        <f>CONCATENATE("(",ROUND((F199/$H200)*100,1),")")</f>
        <v>(2.3)</v>
      </c>
      <c r="H199" s="302">
        <f t="shared" ref="H199" si="156">SUM(B199,D199,F199)</f>
        <v>67.805143814185499</v>
      </c>
      <c r="I199" s="299" t="str">
        <f>CONCATENATE("(",ROUND((H199/$H200)*100,1),")")</f>
        <v>(49.2)</v>
      </c>
      <c r="K199" s="302">
        <f t="shared" ref="K199:K200" si="157">B204-B199</f>
        <v>1.423916941570873</v>
      </c>
      <c r="L199" s="302">
        <f t="shared" ref="L199:L200" si="158">D204-D199</f>
        <v>-1.1756879550384625</v>
      </c>
      <c r="M199" s="302">
        <f t="shared" ref="M199:M200" si="159">F204-F199</f>
        <v>0.10821273661980468</v>
      </c>
      <c r="N199" s="302">
        <f t="shared" ref="N199:N200" si="160">SUM(K199:M199)</f>
        <v>0.35644172315221523</v>
      </c>
    </row>
    <row r="200" spans="1:14" x14ac:dyDescent="0.2">
      <c r="A200" s="282" t="s">
        <v>363</v>
      </c>
      <c r="B200" s="302">
        <f>SUM(B198:B199)</f>
        <v>78.865622123104529</v>
      </c>
      <c r="C200" s="299" t="str">
        <f>CONCATENATE("(",ROUND((B200/$H200)*100,1),")")</f>
        <v>(57.2)</v>
      </c>
      <c r="D200" s="302">
        <f>SUM(D198:D199)</f>
        <v>51.799830638527695</v>
      </c>
      <c r="E200" s="299" t="str">
        <f>CONCATENATE("(",ROUND((D200/$H200)*100,1),")")</f>
        <v>(37.6)</v>
      </c>
      <c r="F200" s="302">
        <f>SUM(F198:F199)</f>
        <v>7.133547238367747</v>
      </c>
      <c r="G200" s="299" t="str">
        <f>CONCATENATE("(",ROUND((F200/$H200)*100,1),")")</f>
        <v>(5.2)</v>
      </c>
      <c r="H200" s="302">
        <f>SUM(H198:H199)</f>
        <v>137.79899999999998</v>
      </c>
      <c r="I200" s="299" t="str">
        <f>CONCATENATE("(",ROUND((H200/$H200)*100,1),")")</f>
        <v>(100)</v>
      </c>
      <c r="K200" s="302">
        <f t="shared" si="157"/>
        <v>2.4274895646885994</v>
      </c>
      <c r="L200" s="302">
        <f t="shared" si="158"/>
        <v>-1.115208517100136</v>
      </c>
      <c r="M200" s="302">
        <f t="shared" si="159"/>
        <v>0.17671895241159774</v>
      </c>
      <c r="N200" s="302">
        <f t="shared" si="160"/>
        <v>1.4890000000000612</v>
      </c>
    </row>
    <row r="201" spans="1:14" x14ac:dyDescent="0.2">
      <c r="B201" s="302"/>
      <c r="C201" s="284"/>
      <c r="D201" s="302"/>
      <c r="E201" s="284"/>
      <c r="F201" s="302"/>
      <c r="G201" s="284"/>
      <c r="H201" s="302"/>
      <c r="I201" s="284"/>
    </row>
    <row r="202" spans="1:14" x14ac:dyDescent="0.2">
      <c r="A202" s="292">
        <f>$A$13</f>
        <v>2025</v>
      </c>
      <c r="B202" s="302"/>
      <c r="C202" s="284"/>
      <c r="D202" s="302"/>
      <c r="E202" s="284"/>
      <c r="F202" s="302"/>
      <c r="G202" s="284"/>
      <c r="H202" s="302"/>
      <c r="I202" s="284"/>
      <c r="K202" s="286" t="str">
        <f>CONCATENATE(A202," - ",A207)</f>
        <v>2025 - 2035</v>
      </c>
    </row>
    <row r="203" spans="1:14" x14ac:dyDescent="0.2">
      <c r="A203" s="282" t="s">
        <v>364</v>
      </c>
      <c r="B203" s="302">
        <f>'Ind T6'!Q81</f>
        <v>49.512936081411482</v>
      </c>
      <c r="C203" s="299" t="str">
        <f>CONCATENATE("(",ROUND((B203/$H205)*100,1),")")</f>
        <v>(35.5)</v>
      </c>
      <c r="D203" s="302">
        <f>'Ind T6'!R81</f>
        <v>17.576572291950157</v>
      </c>
      <c r="E203" s="299" t="str">
        <f>CONCATENATE("(",ROUND((D203/$H205)*100,1),")")</f>
        <v>(12.6)</v>
      </c>
      <c r="F203" s="302">
        <f>'Ind T6'!S81</f>
        <v>4.0369060893006665</v>
      </c>
      <c r="G203" s="299" t="str">
        <f>CONCATENATE("(",ROUND((F203/$H205)*100,1),")")</f>
        <v>(2.9)</v>
      </c>
      <c r="H203" s="302">
        <f>SUM(B203,D203,F203)</f>
        <v>71.126414462662311</v>
      </c>
      <c r="I203" s="299" t="str">
        <f>CONCATENATE("(",ROUND((H203/$H205)*100,1),")")</f>
        <v>(51.1)</v>
      </c>
      <c r="K203" s="302">
        <f>B208-B203</f>
        <v>1.1681860858596309</v>
      </c>
      <c r="L203" s="302">
        <f>D208-D203</f>
        <v>0.21079832214895688</v>
      </c>
      <c r="M203" s="302">
        <f>F208-F203</f>
        <v>0.10048931913470938</v>
      </c>
      <c r="N203" s="302">
        <f>SUM(K203:M203)</f>
        <v>1.4794737271432972</v>
      </c>
    </row>
    <row r="204" spans="1:14" x14ac:dyDescent="0.2">
      <c r="A204" s="282" t="s">
        <v>365</v>
      </c>
      <c r="B204" s="302">
        <f>'Ind T6'!Q80</f>
        <v>31.780175606381643</v>
      </c>
      <c r="C204" s="299" t="str">
        <f>CONCATENATE("(",ROUND((B204/$H205)*100,1),")")</f>
        <v>(22.8)</v>
      </c>
      <c r="D204" s="302">
        <f>'Ind T6'!R80</f>
        <v>33.108049829477402</v>
      </c>
      <c r="E204" s="299" t="str">
        <f>CONCATENATE("(",ROUND((D204/$H205)*100,1),")")</f>
        <v>(23.8)</v>
      </c>
      <c r="F204" s="302">
        <f>'Ind T6'!S80</f>
        <v>3.2733601014786782</v>
      </c>
      <c r="G204" s="299" t="str">
        <f>CONCATENATE("(",ROUND((F204/$H205)*100,1),")")</f>
        <v>(2.4)</v>
      </c>
      <c r="H204" s="302">
        <f t="shared" ref="H204" si="161">SUM(B204,D204,F204)</f>
        <v>68.161585537337714</v>
      </c>
      <c r="I204" s="299" t="str">
        <f>CONCATENATE("(",ROUND((H204/$H205)*100,1),")")</f>
        <v>(48.9)</v>
      </c>
      <c r="K204" s="302">
        <f t="shared" ref="K204:K205" si="162">B209-B204</f>
        <v>2.6138150720441651</v>
      </c>
      <c r="L204" s="302">
        <f t="shared" ref="L204:L205" si="163">D209-D204</f>
        <v>-2.179281405759852</v>
      </c>
      <c r="M204" s="302">
        <f t="shared" ref="M204:M205" si="164">F209-F204</f>
        <v>0.22799260657227949</v>
      </c>
      <c r="N204" s="302">
        <f t="shared" ref="N204:N205" si="165">SUM(K204:M204)</f>
        <v>0.6625262728565926</v>
      </c>
    </row>
    <row r="205" spans="1:14" x14ac:dyDescent="0.2">
      <c r="A205" s="282" t="s">
        <v>363</v>
      </c>
      <c r="B205" s="302">
        <f>SUM(B203:B204)</f>
        <v>81.293111687793129</v>
      </c>
      <c r="C205" s="299" t="str">
        <f>CONCATENATE("(",ROUND((B205/$H205)*100,1),")")</f>
        <v>(58.4)</v>
      </c>
      <c r="D205" s="302">
        <f>SUM(D203:D204)</f>
        <v>50.684622121427559</v>
      </c>
      <c r="E205" s="299" t="str">
        <f>CONCATENATE("(",ROUND((D205/$H205)*100,1),")")</f>
        <v>(36.4)</v>
      </c>
      <c r="F205" s="302">
        <f>SUM(F203:F204)</f>
        <v>7.3102661907793447</v>
      </c>
      <c r="G205" s="299" t="str">
        <f>CONCATENATE("(",ROUND((F205/$H205)*100,1),")")</f>
        <v>(5.2)</v>
      </c>
      <c r="H205" s="302">
        <f>SUM(H203:H204)</f>
        <v>139.28800000000001</v>
      </c>
      <c r="I205" s="299" t="str">
        <f>CONCATENATE("(",ROUND((H205/$H205)*100,1),")")</f>
        <v>(100)</v>
      </c>
      <c r="K205" s="302">
        <f t="shared" si="162"/>
        <v>3.7820011579037924</v>
      </c>
      <c r="L205" s="302">
        <f t="shared" si="163"/>
        <v>-1.9684830836108986</v>
      </c>
      <c r="M205" s="302">
        <f t="shared" si="164"/>
        <v>0.32848192570698842</v>
      </c>
      <c r="N205" s="302">
        <f t="shared" si="165"/>
        <v>2.1419999999998822</v>
      </c>
    </row>
    <row r="206" spans="1:14" x14ac:dyDescent="0.2">
      <c r="B206" s="302"/>
      <c r="C206" s="284"/>
      <c r="D206" s="302"/>
      <c r="E206" s="284"/>
      <c r="F206" s="302"/>
      <c r="G206" s="284"/>
      <c r="H206" s="302"/>
      <c r="I206" s="284"/>
    </row>
    <row r="207" spans="1:14" x14ac:dyDescent="0.2">
      <c r="A207" s="292">
        <f>$A$18</f>
        <v>2035</v>
      </c>
      <c r="B207" s="302"/>
      <c r="C207" s="284"/>
      <c r="D207" s="302"/>
      <c r="E207" s="284"/>
      <c r="F207" s="302"/>
      <c r="G207" s="284"/>
      <c r="H207" s="302"/>
      <c r="I207" s="284"/>
      <c r="K207" s="286" t="str">
        <f>CONCATENATE(A197," - ",A207)</f>
        <v>2020 - 2035</v>
      </c>
    </row>
    <row r="208" spans="1:14" x14ac:dyDescent="0.2">
      <c r="A208" s="282" t="s">
        <v>364</v>
      </c>
      <c r="B208" s="302">
        <f>'Ind T6'!V81</f>
        <v>50.681122167271113</v>
      </c>
      <c r="C208" s="299" t="str">
        <f>CONCATENATE("(",ROUND((B208/$H210)*100,1),")")</f>
        <v>(35.8)</v>
      </c>
      <c r="D208" s="302">
        <f>'Ind T6'!W81</f>
        <v>17.787370614099114</v>
      </c>
      <c r="E208" s="299" t="str">
        <f>CONCATENATE("(",ROUND((D208/$H210)*100,1),")")</f>
        <v>(12.6)</v>
      </c>
      <c r="F208" s="302">
        <f>'Ind T6'!X81</f>
        <v>4.1373954084353759</v>
      </c>
      <c r="G208" s="299" t="str">
        <f>CONCATENATE("(",ROUND((F208/$H210)*100,1),")")</f>
        <v>(2.9)</v>
      </c>
      <c r="H208" s="302">
        <f>SUM(B208,D208,F208)</f>
        <v>72.605888189805611</v>
      </c>
      <c r="I208" s="299" t="str">
        <f>CONCATENATE("(",ROUND((H208/$H210)*100,1),")")</f>
        <v>(51.3)</v>
      </c>
      <c r="K208" s="302">
        <f>B208-B198</f>
        <v>2.1717587089773502</v>
      </c>
      <c r="L208" s="302">
        <f>D208-D198</f>
        <v>0.27127776008727977</v>
      </c>
      <c r="M208" s="302">
        <f>F208-F198</f>
        <v>0.16899553492650288</v>
      </c>
      <c r="N208" s="302">
        <f>SUM(K208:M208)</f>
        <v>2.6120320039911329</v>
      </c>
    </row>
    <row r="209" spans="1:14" x14ac:dyDescent="0.2">
      <c r="A209" s="282" t="s">
        <v>365</v>
      </c>
      <c r="B209" s="302">
        <f>'Ind T6'!V80</f>
        <v>34.393990678425808</v>
      </c>
      <c r="C209" s="299" t="str">
        <f>CONCATENATE("(",ROUND((B209/$H210)*100,1),")")</f>
        <v>(24.3)</v>
      </c>
      <c r="D209" s="302">
        <f>'Ind T6'!W80</f>
        <v>30.92876842371755</v>
      </c>
      <c r="E209" s="299" t="str">
        <f>CONCATENATE("(",ROUND((D209/$H210)*100,1),")")</f>
        <v>(21.9)</v>
      </c>
      <c r="F209" s="302">
        <f>'Ind T6'!X80</f>
        <v>3.5013527080509577</v>
      </c>
      <c r="G209" s="299" t="str">
        <f>CONCATENATE("(",ROUND((F209/$H210)*100,1),")")</f>
        <v>(2.5)</v>
      </c>
      <c r="H209" s="302">
        <f t="shared" ref="H209" si="166">SUM(B209,D209,F209)</f>
        <v>68.82411181019431</v>
      </c>
      <c r="I209" s="299" t="str">
        <f>CONCATENATE("(",ROUND((H209/$H210)*100,1),")")</f>
        <v>(48.7)</v>
      </c>
      <c r="K209" s="302">
        <f t="shared" ref="K209:K210" si="167">B209-B199</f>
        <v>4.0377320136150381</v>
      </c>
      <c r="L209" s="302">
        <f t="shared" ref="L209:L210" si="168">D209-D199</f>
        <v>-3.3549693607983144</v>
      </c>
      <c r="M209" s="302">
        <f t="shared" ref="M209:M210" si="169">F209-F199</f>
        <v>0.33620534319208417</v>
      </c>
      <c r="N209" s="302">
        <f t="shared" ref="N209:N210" si="170">SUM(K209:M209)</f>
        <v>1.0189679960088078</v>
      </c>
    </row>
    <row r="210" spans="1:14" x14ac:dyDescent="0.2">
      <c r="A210" s="282" t="s">
        <v>363</v>
      </c>
      <c r="B210" s="302">
        <f>SUM(B208:B209)</f>
        <v>85.075112845696921</v>
      </c>
      <c r="C210" s="299" t="str">
        <f>CONCATENATE("(",ROUND((B210/$H210)*100,1),")")</f>
        <v>(60.2)</v>
      </c>
      <c r="D210" s="302">
        <f>SUM(D208:D209)</f>
        <v>48.71613903781666</v>
      </c>
      <c r="E210" s="299" t="str">
        <f>CONCATENATE("(",ROUND((D210/$H210)*100,1),")")</f>
        <v>(34.4)</v>
      </c>
      <c r="F210" s="302">
        <f>SUM(F208:F209)</f>
        <v>7.6387481164863331</v>
      </c>
      <c r="G210" s="299" t="str">
        <f>CONCATENATE("(",ROUND((F210/$H210)*100,1),")")</f>
        <v>(5.4)</v>
      </c>
      <c r="H210" s="302">
        <f>SUM(H208:H209)</f>
        <v>141.42999999999992</v>
      </c>
      <c r="I210" s="299" t="str">
        <f>CONCATENATE("(",ROUND((H210/$H210)*100,1),")")</f>
        <v>(100)</v>
      </c>
      <c r="K210" s="302">
        <f t="shared" si="167"/>
        <v>6.2094907225923919</v>
      </c>
      <c r="L210" s="302">
        <f t="shared" si="168"/>
        <v>-3.0836916007110347</v>
      </c>
      <c r="M210" s="302">
        <f t="shared" si="169"/>
        <v>0.50520087811858616</v>
      </c>
      <c r="N210" s="302">
        <f t="shared" si="170"/>
        <v>3.6309999999999434</v>
      </c>
    </row>
    <row r="211" spans="1:14" x14ac:dyDescent="0.2">
      <c r="A211" s="293"/>
      <c r="B211" s="294"/>
      <c r="C211" s="293"/>
      <c r="D211" s="294"/>
      <c r="E211" s="293"/>
      <c r="F211" s="294"/>
      <c r="G211" s="293"/>
      <c r="H211" s="294"/>
      <c r="I211" s="293"/>
      <c r="J211" s="293"/>
      <c r="K211" s="294"/>
      <c r="L211" s="294"/>
      <c r="M211" s="294"/>
      <c r="N211" s="294"/>
    </row>
    <row r="215" spans="1:14" x14ac:dyDescent="0.2">
      <c r="A215" s="288"/>
      <c r="B215" s="289" t="s">
        <v>372</v>
      </c>
      <c r="C215" s="288"/>
      <c r="D215" s="289"/>
      <c r="E215" s="288"/>
      <c r="F215" s="289" t="str">
        <f>name!B13</f>
        <v>Transport and storage</v>
      </c>
      <c r="G215" s="288"/>
      <c r="H215" s="291"/>
      <c r="I215" s="288"/>
      <c r="J215" s="290"/>
      <c r="K215" s="291"/>
      <c r="L215" s="291"/>
      <c r="M215" s="291"/>
      <c r="N215" s="291"/>
    </row>
    <row r="216" spans="1:14" x14ac:dyDescent="0.2">
      <c r="N216" s="287" t="s">
        <v>370</v>
      </c>
    </row>
    <row r="217" spans="1:14" x14ac:dyDescent="0.2">
      <c r="A217" s="182" t="s">
        <v>371</v>
      </c>
      <c r="B217" s="372" t="s">
        <v>369</v>
      </c>
      <c r="C217" s="372"/>
      <c r="D217" s="372" t="s">
        <v>368</v>
      </c>
      <c r="E217" s="372"/>
      <c r="F217" s="372" t="s">
        <v>367</v>
      </c>
      <c r="G217" s="372"/>
      <c r="H217" s="372" t="s">
        <v>33</v>
      </c>
      <c r="I217" s="372"/>
      <c r="J217" s="182"/>
      <c r="K217" s="297" t="s">
        <v>345</v>
      </c>
      <c r="L217" s="297" t="s">
        <v>347</v>
      </c>
      <c r="M217" s="297" t="s">
        <v>343</v>
      </c>
      <c r="N217" s="297" t="s">
        <v>33</v>
      </c>
    </row>
    <row r="218" spans="1:14" x14ac:dyDescent="0.2">
      <c r="A218" s="292">
        <f>$A$8</f>
        <v>2020</v>
      </c>
      <c r="B218" s="287" t="s">
        <v>66</v>
      </c>
      <c r="C218" s="20" t="s">
        <v>366</v>
      </c>
      <c r="D218" s="287" t="s">
        <v>66</v>
      </c>
      <c r="E218" s="20" t="s">
        <v>366</v>
      </c>
      <c r="F218" s="287" t="s">
        <v>66</v>
      </c>
      <c r="G218" s="20" t="s">
        <v>366</v>
      </c>
      <c r="H218" s="287" t="s">
        <v>66</v>
      </c>
      <c r="I218" s="20" t="s">
        <v>366</v>
      </c>
      <c r="J218" s="182"/>
      <c r="K218" s="286" t="str">
        <f>CONCATENATE(A218," - ",A223)</f>
        <v>2020 - 2025</v>
      </c>
      <c r="L218" s="285"/>
      <c r="M218" s="285"/>
    </row>
    <row r="219" spans="1:14" x14ac:dyDescent="0.2">
      <c r="A219" s="282" t="s">
        <v>364</v>
      </c>
      <c r="B219" s="302">
        <f>'Ind T6'!L90</f>
        <v>16.466603407003291</v>
      </c>
      <c r="C219" s="299" t="str">
        <f>CONCATENATE("(",ROUND((B219/$H221)*100,1),")")</f>
        <v>(56.1)</v>
      </c>
      <c r="D219" s="302">
        <f>'Ind T6'!M90</f>
        <v>2.6546674451181551</v>
      </c>
      <c r="E219" s="299" t="str">
        <f>CONCATENATE("(",ROUND((D219/$H221)*100,1),")")</f>
        <v>(9)</v>
      </c>
      <c r="F219" s="302">
        <f>'Ind T6'!N90</f>
        <v>2.8035032538713698</v>
      </c>
      <c r="G219" s="299" t="str">
        <f>CONCATENATE("(",ROUND((F219/$H221)*100,1),")")</f>
        <v>(9.6)</v>
      </c>
      <c r="H219" s="302">
        <f>SUM(B219,D219,F219)</f>
        <v>21.924774105992814</v>
      </c>
      <c r="I219" s="299" t="str">
        <f>CONCATENATE("(",ROUND((H219/$H221)*100,1),")")</f>
        <v>(74.7)</v>
      </c>
      <c r="K219" s="302">
        <f>B224-B219</f>
        <v>0.76714288332219382</v>
      </c>
      <c r="L219" s="302">
        <f>D224-D219</f>
        <v>0.15453666002706212</v>
      </c>
      <c r="M219" s="302">
        <f>F224-F219</f>
        <v>0.14572478036359371</v>
      </c>
      <c r="N219" s="302">
        <f>SUM(K219:M219)</f>
        <v>1.0674043237128497</v>
      </c>
    </row>
    <row r="220" spans="1:14" x14ac:dyDescent="0.2">
      <c r="A220" s="282" t="s">
        <v>365</v>
      </c>
      <c r="B220" s="302">
        <f>'Ind T6'!L89</f>
        <v>4.4794296711576793</v>
      </c>
      <c r="C220" s="299" t="str">
        <f>CONCATENATE("(",ROUND((B220/$H221)*100,1),")")</f>
        <v>(15.3)</v>
      </c>
      <c r="D220" s="302">
        <f>'Ind T6'!M89</f>
        <v>2.6909622556743522</v>
      </c>
      <c r="E220" s="299" t="str">
        <f>CONCATENATE("(",ROUND((D220/$H221)*100,1),")")</f>
        <v>(9.2)</v>
      </c>
      <c r="F220" s="302">
        <f>'Ind T6'!N89</f>
        <v>0.24783396717513093</v>
      </c>
      <c r="G220" s="299" t="str">
        <f>CONCATENATE("(",ROUND((F220/$H221)*100,1),")")</f>
        <v>(0.8)</v>
      </c>
      <c r="H220" s="302">
        <f t="shared" ref="H220" si="171">SUM(B220,D220,F220)</f>
        <v>7.418225894007163</v>
      </c>
      <c r="I220" s="299" t="str">
        <f>CONCATENATE("(",ROUND((H220/$H221)*100,1),")")</f>
        <v>(25.3)</v>
      </c>
      <c r="K220" s="302">
        <f t="shared" ref="K220:K221" si="172">B225-B220</f>
        <v>0.22293673323235108</v>
      </c>
      <c r="L220" s="302">
        <f t="shared" ref="L220:L221" si="173">D225-D220</f>
        <v>0.21283763935636335</v>
      </c>
      <c r="M220" s="302">
        <f t="shared" ref="M220:M221" si="174">F225-F220</f>
        <v>3.8213036983775484E-3</v>
      </c>
      <c r="N220" s="302">
        <f t="shared" ref="N220:N221" si="175">SUM(K220:M220)</f>
        <v>0.43959567628709195</v>
      </c>
    </row>
    <row r="221" spans="1:14" x14ac:dyDescent="0.2">
      <c r="A221" s="282" t="s">
        <v>363</v>
      </c>
      <c r="B221" s="302">
        <f>SUM(B219:B220)</f>
        <v>20.946033078160969</v>
      </c>
      <c r="C221" s="299" t="str">
        <f>CONCATENATE("(",ROUND((B221/$H221)*100,1),")")</f>
        <v>(71.4)</v>
      </c>
      <c r="D221" s="302">
        <f>SUM(D219:D220)</f>
        <v>5.3456297007925073</v>
      </c>
      <c r="E221" s="299" t="str">
        <f>CONCATENATE("(",ROUND((D221/$H221)*100,1),")")</f>
        <v>(18.2)</v>
      </c>
      <c r="F221" s="302">
        <f>SUM(F219:F220)</f>
        <v>3.0513372210465008</v>
      </c>
      <c r="G221" s="299" t="str">
        <f>CONCATENATE("(",ROUND((F221/$H221)*100,1),")")</f>
        <v>(10.4)</v>
      </c>
      <c r="H221" s="302">
        <f>SUM(H219:H220)</f>
        <v>29.342999999999975</v>
      </c>
      <c r="I221" s="299" t="str">
        <f>CONCATENATE("(",ROUND((H221/$H221)*100,1),")")</f>
        <v>(100)</v>
      </c>
      <c r="K221" s="302">
        <f t="shared" si="172"/>
        <v>0.99007961655454579</v>
      </c>
      <c r="L221" s="302">
        <f t="shared" si="173"/>
        <v>0.36737429938342547</v>
      </c>
      <c r="M221" s="302">
        <f t="shared" si="174"/>
        <v>0.14954608406197112</v>
      </c>
      <c r="N221" s="302">
        <f t="shared" si="175"/>
        <v>1.5069999999999424</v>
      </c>
    </row>
    <row r="222" spans="1:14" x14ac:dyDescent="0.2">
      <c r="B222" s="302"/>
      <c r="C222" s="284"/>
      <c r="D222" s="302"/>
      <c r="E222" s="284"/>
      <c r="F222" s="302"/>
      <c r="G222" s="284"/>
      <c r="H222" s="302"/>
      <c r="I222" s="284"/>
    </row>
    <row r="223" spans="1:14" x14ac:dyDescent="0.2">
      <c r="A223" s="292">
        <f>$A$13</f>
        <v>2025</v>
      </c>
      <c r="B223" s="302"/>
      <c r="C223" s="284"/>
      <c r="D223" s="302"/>
      <c r="E223" s="284"/>
      <c r="F223" s="302"/>
      <c r="G223" s="284"/>
      <c r="H223" s="302"/>
      <c r="I223" s="284"/>
      <c r="K223" s="286" t="str">
        <f>CONCATENATE(A223," - ",A228)</f>
        <v>2025 - 2035</v>
      </c>
    </row>
    <row r="224" spans="1:14" x14ac:dyDescent="0.2">
      <c r="A224" s="282" t="s">
        <v>364</v>
      </c>
      <c r="B224" s="302">
        <f>'Ind T6'!Q90</f>
        <v>17.233746290325485</v>
      </c>
      <c r="C224" s="299" t="str">
        <f>CONCATENATE("(",ROUND((B224/$H226)*100,1),")")</f>
        <v>(55.9)</v>
      </c>
      <c r="D224" s="302">
        <f>'Ind T6'!R90</f>
        <v>2.8092041051452172</v>
      </c>
      <c r="E224" s="299" t="str">
        <f>CONCATENATE("(",ROUND((D224/$H226)*100,1),")")</f>
        <v>(9.1)</v>
      </c>
      <c r="F224" s="302">
        <f>'Ind T6'!S90</f>
        <v>2.9492280342349635</v>
      </c>
      <c r="G224" s="299" t="str">
        <f>CONCATENATE("(",ROUND((F224/$H226)*100,1),")")</f>
        <v>(9.6)</v>
      </c>
      <c r="H224" s="302">
        <f>SUM(B224,D224,F224)</f>
        <v>22.992178429705664</v>
      </c>
      <c r="I224" s="299" t="str">
        <f>CONCATENATE("(",ROUND((H224/$H226)*100,1),")")</f>
        <v>(74.5)</v>
      </c>
      <c r="K224" s="302">
        <f>B229-B224</f>
        <v>-0.20462566357177892</v>
      </c>
      <c r="L224" s="302">
        <f>D229-D224</f>
        <v>0.11934592893913365</v>
      </c>
      <c r="M224" s="302">
        <f>F229-F224</f>
        <v>0.10640187013507996</v>
      </c>
      <c r="N224" s="302">
        <f>SUM(K224:M224)</f>
        <v>2.1122135502434691E-2</v>
      </c>
    </row>
    <row r="225" spans="1:14" x14ac:dyDescent="0.2">
      <c r="A225" s="282" t="s">
        <v>365</v>
      </c>
      <c r="B225" s="302">
        <f>'Ind T6'!Q89</f>
        <v>4.7023664043900304</v>
      </c>
      <c r="C225" s="299" t="str">
        <f>CONCATENATE("(",ROUND((B225/$H226)*100,1),")")</f>
        <v>(15.2)</v>
      </c>
      <c r="D225" s="302">
        <f>'Ind T6'!R89</f>
        <v>2.9037998950307156</v>
      </c>
      <c r="E225" s="299" t="str">
        <f>CONCATENATE("(",ROUND((D225/$H226)*100,1),")")</f>
        <v>(9.4)</v>
      </c>
      <c r="F225" s="302">
        <f>'Ind T6'!S89</f>
        <v>0.25165527087350847</v>
      </c>
      <c r="G225" s="299" t="str">
        <f>CONCATENATE("(",ROUND((F225/$H226)*100,1),")")</f>
        <v>(0.8)</v>
      </c>
      <c r="H225" s="302">
        <f t="shared" ref="H225" si="176">SUM(B225,D225,F225)</f>
        <v>7.857821570294254</v>
      </c>
      <c r="I225" s="299" t="str">
        <f>CONCATENATE("(",ROUND((H225/$H226)*100,1),")")</f>
        <v>(25.5)</v>
      </c>
      <c r="K225" s="302">
        <f t="shared" ref="K225:K226" si="177">B230-B225</f>
        <v>0.1821267626726355</v>
      </c>
      <c r="L225" s="302">
        <f t="shared" ref="L225:L226" si="178">D230-D225</f>
        <v>0.24295965286443488</v>
      </c>
      <c r="M225" s="302">
        <f t="shared" ref="M225:M226" si="179">F230-F225</f>
        <v>-3.2085510394563033E-3</v>
      </c>
      <c r="N225" s="302">
        <f t="shared" ref="N225:N226" si="180">SUM(K225:M225)</f>
        <v>0.42187786449761411</v>
      </c>
    </row>
    <row r="226" spans="1:14" x14ac:dyDescent="0.2">
      <c r="A226" s="282" t="s">
        <v>363</v>
      </c>
      <c r="B226" s="302">
        <f>SUM(B224:B225)</f>
        <v>21.936112694715515</v>
      </c>
      <c r="C226" s="299" t="str">
        <f>CONCATENATE("(",ROUND((B226/$H226)*100,1),")")</f>
        <v>(71.1)</v>
      </c>
      <c r="D226" s="302">
        <f>SUM(D224:D225)</f>
        <v>5.7130040001759328</v>
      </c>
      <c r="E226" s="299" t="str">
        <f>CONCATENATE("(",ROUND((D226/$H226)*100,1),")")</f>
        <v>(18.5)</v>
      </c>
      <c r="F226" s="302">
        <f>SUM(F224:F225)</f>
        <v>3.200883305108472</v>
      </c>
      <c r="G226" s="299" t="str">
        <f>CONCATENATE("(",ROUND((F226/$H226)*100,1),")")</f>
        <v>(10.4)</v>
      </c>
      <c r="H226" s="302">
        <f>SUM(H224:H225)</f>
        <v>30.849999999999916</v>
      </c>
      <c r="I226" s="299" t="str">
        <f>CONCATENATE("(",ROUND((H226/$H226)*100,1),")")</f>
        <v>(100)</v>
      </c>
      <c r="K226" s="302">
        <f t="shared" si="177"/>
        <v>-2.2498900899144303E-2</v>
      </c>
      <c r="L226" s="302">
        <f t="shared" si="178"/>
        <v>0.36230558180356898</v>
      </c>
      <c r="M226" s="302">
        <f t="shared" si="179"/>
        <v>0.10319331909562379</v>
      </c>
      <c r="N226" s="302">
        <f t="shared" si="180"/>
        <v>0.44300000000004847</v>
      </c>
    </row>
    <row r="227" spans="1:14" x14ac:dyDescent="0.2">
      <c r="B227" s="302"/>
      <c r="C227" s="284"/>
      <c r="D227" s="302"/>
      <c r="E227" s="284"/>
      <c r="F227" s="302"/>
      <c r="G227" s="284"/>
      <c r="H227" s="302"/>
      <c r="I227" s="284"/>
    </row>
    <row r="228" spans="1:14" x14ac:dyDescent="0.2">
      <c r="A228" s="292">
        <f>$A$18</f>
        <v>2035</v>
      </c>
      <c r="B228" s="302"/>
      <c r="C228" s="284"/>
      <c r="D228" s="302"/>
      <c r="E228" s="284"/>
      <c r="F228" s="302"/>
      <c r="G228" s="284"/>
      <c r="H228" s="302"/>
      <c r="I228" s="284"/>
      <c r="K228" s="286" t="str">
        <f>CONCATENATE(A218," - ",A228)</f>
        <v>2020 - 2035</v>
      </c>
    </row>
    <row r="229" spans="1:14" x14ac:dyDescent="0.2">
      <c r="A229" s="282" t="s">
        <v>364</v>
      </c>
      <c r="B229" s="302">
        <f>'Ind T6'!V90</f>
        <v>17.029120626753706</v>
      </c>
      <c r="C229" s="299" t="str">
        <f>CONCATENATE("(",ROUND((B229/$H231)*100,1),")")</f>
        <v>(54.4)</v>
      </c>
      <c r="D229" s="302">
        <f>'Ind T6'!W90</f>
        <v>2.9285500340843509</v>
      </c>
      <c r="E229" s="299" t="str">
        <f>CONCATENATE("(",ROUND((D229/$H231)*100,1),")")</f>
        <v>(9.4)</v>
      </c>
      <c r="F229" s="302">
        <f>'Ind T6'!X90</f>
        <v>3.0556299043700434</v>
      </c>
      <c r="G229" s="299" t="str">
        <f>CONCATENATE("(",ROUND((F229/$H231)*100,1),")")</f>
        <v>(9.8)</v>
      </c>
      <c r="H229" s="302">
        <f>SUM(B229,D229,F229)</f>
        <v>23.013300565208098</v>
      </c>
      <c r="I229" s="299" t="str">
        <f>CONCATENATE("(",ROUND((H229/$H231)*100,1),")")</f>
        <v>(73.5)</v>
      </c>
      <c r="K229" s="302">
        <f>B229-B219</f>
        <v>0.56251721975041491</v>
      </c>
      <c r="L229" s="302">
        <f>D229-D219</f>
        <v>0.27388258896619577</v>
      </c>
      <c r="M229" s="302">
        <f>F229-F219</f>
        <v>0.25212665049867367</v>
      </c>
      <c r="N229" s="302">
        <f>SUM(K229:M229)</f>
        <v>1.0885264592152843</v>
      </c>
    </row>
    <row r="230" spans="1:14" x14ac:dyDescent="0.2">
      <c r="A230" s="282" t="s">
        <v>365</v>
      </c>
      <c r="B230" s="302">
        <f>'Ind T6'!V89</f>
        <v>4.8844931670626659</v>
      </c>
      <c r="C230" s="299" t="str">
        <f>CONCATENATE("(",ROUND((B230/$H231)*100,1),")")</f>
        <v>(15.6)</v>
      </c>
      <c r="D230" s="302">
        <f>'Ind T6'!W89</f>
        <v>3.1467595478951504</v>
      </c>
      <c r="E230" s="299" t="str">
        <f>CONCATENATE("(",ROUND((D230/$H231)*100,1),")")</f>
        <v>(10.1)</v>
      </c>
      <c r="F230" s="302">
        <f>'Ind T6'!X89</f>
        <v>0.24844671983405217</v>
      </c>
      <c r="G230" s="299" t="str">
        <f>CONCATENATE("(",ROUND((F230/$H231)*100,1),")")</f>
        <v>(0.8)</v>
      </c>
      <c r="H230" s="302">
        <f t="shared" ref="H230" si="181">SUM(B230,D230,F230)</f>
        <v>8.2796994347918673</v>
      </c>
      <c r="I230" s="299" t="str">
        <f>CONCATENATE("(",ROUND((H230/$H231)*100,1),")")</f>
        <v>(26.5)</v>
      </c>
      <c r="K230" s="302">
        <f t="shared" ref="K230:K231" si="182">B230-B220</f>
        <v>0.40506349590498658</v>
      </c>
      <c r="L230" s="302">
        <f t="shared" ref="L230:L231" si="183">D230-D220</f>
        <v>0.45579729222079823</v>
      </c>
      <c r="M230" s="302">
        <f t="shared" ref="M230:M231" si="184">F230-F220</f>
        <v>6.1275265892124509E-4</v>
      </c>
      <c r="N230" s="302">
        <f t="shared" ref="N230:N231" si="185">SUM(K230:M230)</f>
        <v>0.86147354078470606</v>
      </c>
    </row>
    <row r="231" spans="1:14" x14ac:dyDescent="0.2">
      <c r="A231" s="282" t="s">
        <v>363</v>
      </c>
      <c r="B231" s="302">
        <f>SUM(B229:B230)</f>
        <v>21.913613793816371</v>
      </c>
      <c r="C231" s="299" t="str">
        <f>CONCATENATE("(",ROUND((B231/$H231)*100,1),")")</f>
        <v>(70)</v>
      </c>
      <c r="D231" s="302">
        <f>SUM(D229:D230)</f>
        <v>6.0753095819795018</v>
      </c>
      <c r="E231" s="299" t="str">
        <f>CONCATENATE("(",ROUND((D231/$H231)*100,1),")")</f>
        <v>(19.4)</v>
      </c>
      <c r="F231" s="302">
        <f>SUM(F229:F230)</f>
        <v>3.3040766242040958</v>
      </c>
      <c r="G231" s="299" t="str">
        <f>CONCATENATE("(",ROUND((F231/$H231)*100,1),")")</f>
        <v>(10.6)</v>
      </c>
      <c r="H231" s="302">
        <f>SUM(H229:H230)</f>
        <v>31.292999999999964</v>
      </c>
      <c r="I231" s="299" t="str">
        <f>CONCATENATE("(",ROUND((H231/$H231)*100,1),")")</f>
        <v>(100)</v>
      </c>
      <c r="K231" s="302">
        <f t="shared" si="182"/>
        <v>0.96758071565540149</v>
      </c>
      <c r="L231" s="302">
        <f t="shared" si="183"/>
        <v>0.72967988118699445</v>
      </c>
      <c r="M231" s="302">
        <f t="shared" si="184"/>
        <v>0.25273940315759491</v>
      </c>
      <c r="N231" s="302">
        <f t="shared" si="185"/>
        <v>1.9499999999999909</v>
      </c>
    </row>
    <row r="232" spans="1:14" x14ac:dyDescent="0.2">
      <c r="A232" s="293"/>
      <c r="B232" s="294"/>
      <c r="C232" s="293"/>
      <c r="D232" s="294"/>
      <c r="E232" s="293"/>
      <c r="F232" s="294"/>
      <c r="G232" s="293"/>
      <c r="H232" s="294"/>
      <c r="I232" s="293"/>
      <c r="J232" s="293"/>
      <c r="K232" s="294"/>
      <c r="L232" s="294"/>
      <c r="M232" s="294"/>
      <c r="N232" s="294"/>
    </row>
    <row r="236" spans="1:14" x14ac:dyDescent="0.2">
      <c r="A236" s="288"/>
      <c r="B236" s="289" t="s">
        <v>372</v>
      </c>
      <c r="C236" s="288"/>
      <c r="D236" s="289"/>
      <c r="E236" s="288"/>
      <c r="F236" s="289" t="str">
        <f>name!B14</f>
        <v>Accommodation and food</v>
      </c>
      <c r="G236" s="288"/>
      <c r="H236" s="291"/>
      <c r="I236" s="288"/>
      <c r="J236" s="290"/>
      <c r="K236" s="291"/>
      <c r="L236" s="291"/>
      <c r="M236" s="291"/>
      <c r="N236" s="291"/>
    </row>
    <row r="237" spans="1:14" x14ac:dyDescent="0.2">
      <c r="N237" s="287" t="s">
        <v>370</v>
      </c>
    </row>
    <row r="238" spans="1:14" x14ac:dyDescent="0.2">
      <c r="A238" s="182" t="s">
        <v>371</v>
      </c>
      <c r="B238" s="372" t="s">
        <v>369</v>
      </c>
      <c r="C238" s="372"/>
      <c r="D238" s="372" t="s">
        <v>368</v>
      </c>
      <c r="E238" s="372"/>
      <c r="F238" s="372" t="s">
        <v>367</v>
      </c>
      <c r="G238" s="372"/>
      <c r="H238" s="372" t="s">
        <v>33</v>
      </c>
      <c r="I238" s="372"/>
      <c r="J238" s="182"/>
      <c r="K238" s="297" t="s">
        <v>345</v>
      </c>
      <c r="L238" s="297" t="s">
        <v>347</v>
      </c>
      <c r="M238" s="297" t="s">
        <v>343</v>
      </c>
      <c r="N238" s="297" t="s">
        <v>33</v>
      </c>
    </row>
    <row r="239" spans="1:14" x14ac:dyDescent="0.2">
      <c r="A239" s="292">
        <f>$A$8</f>
        <v>2020</v>
      </c>
      <c r="B239" s="287" t="s">
        <v>66</v>
      </c>
      <c r="C239" s="20" t="s">
        <v>366</v>
      </c>
      <c r="D239" s="287" t="s">
        <v>66</v>
      </c>
      <c r="E239" s="20" t="s">
        <v>366</v>
      </c>
      <c r="F239" s="287" t="s">
        <v>66</v>
      </c>
      <c r="G239" s="20" t="s">
        <v>366</v>
      </c>
      <c r="H239" s="287" t="s">
        <v>66</v>
      </c>
      <c r="I239" s="20" t="s">
        <v>366</v>
      </c>
      <c r="J239" s="182"/>
      <c r="K239" s="286" t="str">
        <f>CONCATENATE(A239," - ",A244)</f>
        <v>2020 - 2025</v>
      </c>
      <c r="L239" s="285"/>
      <c r="M239" s="285"/>
    </row>
    <row r="240" spans="1:14" x14ac:dyDescent="0.2">
      <c r="A240" s="282" t="s">
        <v>364</v>
      </c>
      <c r="B240" s="302">
        <f>'Ind T6'!L99</f>
        <v>12.558910874535067</v>
      </c>
      <c r="C240" s="299" t="str">
        <f>CONCATENATE("(",ROUND((B240/$H242)*100,1),")")</f>
        <v>(22.3)</v>
      </c>
      <c r="D240" s="302">
        <f>'Ind T6'!M99</f>
        <v>13.100368093794218</v>
      </c>
      <c r="E240" s="299" t="str">
        <f>CONCATENATE("(",ROUND((D240/$H242)*100,1),")")</f>
        <v>(23.2)</v>
      </c>
      <c r="F240" s="302">
        <f>'Ind T6'!N99</f>
        <v>0.69152270707493346</v>
      </c>
      <c r="G240" s="299" t="str">
        <f>CONCATENATE("(",ROUND((F240/$H242)*100,1),")")</f>
        <v>(1.2)</v>
      </c>
      <c r="H240" s="302">
        <f>SUM(B240,D240,F240)</f>
        <v>26.35080167540422</v>
      </c>
      <c r="I240" s="299" t="str">
        <f>CONCATENATE("(",ROUND((H240/$H242)*100,1),")")</f>
        <v>(46.8)</v>
      </c>
      <c r="K240" s="302">
        <f>B245-B240</f>
        <v>0.79701020425802405</v>
      </c>
      <c r="L240" s="302">
        <f>D245-D240</f>
        <v>0.6606334373168643</v>
      </c>
      <c r="M240" s="302">
        <f>F245-F240</f>
        <v>4.8935638132896586E-2</v>
      </c>
      <c r="N240" s="302">
        <f>SUM(K240:M240)</f>
        <v>1.5065792797077848</v>
      </c>
    </row>
    <row r="241" spans="1:14" x14ac:dyDescent="0.2">
      <c r="A241" s="282" t="s">
        <v>365</v>
      </c>
      <c r="B241" s="302">
        <f>'Ind T6'!L98</f>
        <v>10.691817014951914</v>
      </c>
      <c r="C241" s="299" t="str">
        <f>CONCATENATE("(",ROUND((B241/$H242)*100,1),")")</f>
        <v>(19)</v>
      </c>
      <c r="D241" s="302">
        <f>'Ind T6'!M98</f>
        <v>18.272567075133622</v>
      </c>
      <c r="E241" s="299" t="str">
        <f>CONCATENATE("(",ROUND((D241/$H242)*100,1),")")</f>
        <v>(32.4)</v>
      </c>
      <c r="F241" s="302">
        <f>'Ind T6'!N98</f>
        <v>1.0398142345101367</v>
      </c>
      <c r="G241" s="299" t="str">
        <f>CONCATENATE("(",ROUND((F241/$H242)*100,1),")")</f>
        <v>(1.8)</v>
      </c>
      <c r="H241" s="302">
        <f t="shared" ref="H241" si="186">SUM(B241,D241,F241)</f>
        <v>30.004198324595674</v>
      </c>
      <c r="I241" s="299" t="str">
        <f>CONCATENATE("(",ROUND((H241/$H242)*100,1),")")</f>
        <v>(53.2)</v>
      </c>
      <c r="K241" s="302">
        <f t="shared" ref="K241:K242" si="187">B246-B241</f>
        <v>0.65463881999193063</v>
      </c>
      <c r="L241" s="302">
        <f t="shared" ref="L241:L242" si="188">D246-D241</f>
        <v>0.98425359876875618</v>
      </c>
      <c r="M241" s="302">
        <f t="shared" ref="M241:M242" si="189">F246-F241</f>
        <v>7.7528301531667454E-2</v>
      </c>
      <c r="N241" s="302">
        <f t="shared" ref="N241:N242" si="190">SUM(K241:M241)</f>
        <v>1.7164207202923543</v>
      </c>
    </row>
    <row r="242" spans="1:14" x14ac:dyDescent="0.2">
      <c r="A242" s="282" t="s">
        <v>363</v>
      </c>
      <c r="B242" s="302">
        <f>SUM(B240:B241)</f>
        <v>23.250727889486981</v>
      </c>
      <c r="C242" s="299" t="str">
        <f>CONCATENATE("(",ROUND((B242/$H242)*100,1),")")</f>
        <v>(41.3)</v>
      </c>
      <c r="D242" s="302">
        <f>SUM(D240:D241)</f>
        <v>31.372935168927839</v>
      </c>
      <c r="E242" s="299" t="str">
        <f>CONCATENATE("(",ROUND((D242/$H242)*100,1),")")</f>
        <v>(55.7)</v>
      </c>
      <c r="F242" s="302">
        <f>SUM(F240:F241)</f>
        <v>1.7313369415850701</v>
      </c>
      <c r="G242" s="299" t="str">
        <f>CONCATENATE("(",ROUND((F242/$H242)*100,1),")")</f>
        <v>(3.1)</v>
      </c>
      <c r="H242" s="302">
        <f>SUM(H240:H241)</f>
        <v>56.35499999999989</v>
      </c>
      <c r="I242" s="299" t="str">
        <f>CONCATENATE("(",ROUND((H242/$H242)*100,1),")")</f>
        <v>(100)</v>
      </c>
      <c r="K242" s="302">
        <f t="shared" si="187"/>
        <v>1.4516490242499529</v>
      </c>
      <c r="L242" s="302">
        <f t="shared" si="188"/>
        <v>1.6448870360856205</v>
      </c>
      <c r="M242" s="302">
        <f t="shared" si="189"/>
        <v>0.12646393966456415</v>
      </c>
      <c r="N242" s="302">
        <f t="shared" si="190"/>
        <v>3.2230000000001375</v>
      </c>
    </row>
    <row r="243" spans="1:14" x14ac:dyDescent="0.2">
      <c r="B243" s="302"/>
      <c r="C243" s="284"/>
      <c r="D243" s="302"/>
      <c r="E243" s="284"/>
      <c r="F243" s="302"/>
      <c r="G243" s="284"/>
      <c r="H243" s="302"/>
      <c r="I243" s="284"/>
    </row>
    <row r="244" spans="1:14" x14ac:dyDescent="0.2">
      <c r="A244" s="292">
        <f>$A$13</f>
        <v>2025</v>
      </c>
      <c r="B244" s="302"/>
      <c r="C244" s="284"/>
      <c r="D244" s="302"/>
      <c r="E244" s="284"/>
      <c r="F244" s="302"/>
      <c r="G244" s="284"/>
      <c r="H244" s="302"/>
      <c r="I244" s="284"/>
      <c r="K244" s="286" t="str">
        <f>CONCATENATE(A244," - ",A249)</f>
        <v>2025 - 2035</v>
      </c>
    </row>
    <row r="245" spans="1:14" x14ac:dyDescent="0.2">
      <c r="A245" s="282" t="s">
        <v>364</v>
      </c>
      <c r="B245" s="302">
        <f>'Ind T6'!Q99</f>
        <v>13.355921078793092</v>
      </c>
      <c r="C245" s="299" t="str">
        <f>CONCATENATE("(",ROUND((B245/$H247)*100,1),")")</f>
        <v>(22.4)</v>
      </c>
      <c r="D245" s="302">
        <f>'Ind T6'!R99</f>
        <v>13.761001531111082</v>
      </c>
      <c r="E245" s="299" t="str">
        <f>CONCATENATE("(",ROUND((D245/$H247)*100,1),")")</f>
        <v>(23.1)</v>
      </c>
      <c r="F245" s="302">
        <f>'Ind T6'!S99</f>
        <v>0.74045834520783005</v>
      </c>
      <c r="G245" s="299" t="str">
        <f>CONCATENATE("(",ROUND((F245/$H247)*100,1),")")</f>
        <v>(1.2)</v>
      </c>
      <c r="H245" s="302">
        <f>SUM(B245,D245,F245)</f>
        <v>27.857380955112003</v>
      </c>
      <c r="I245" s="299" t="str">
        <f>CONCATENATE("(",ROUND((H245/$H247)*100,1),")")</f>
        <v>(46.8)</v>
      </c>
      <c r="K245" s="302">
        <f>B250-B245</f>
        <v>2.1934957638629076</v>
      </c>
      <c r="L245" s="302">
        <f>D250-D245</f>
        <v>2.0423950031400206</v>
      </c>
      <c r="M245" s="302">
        <f>F250-F245</f>
        <v>0.11608331129234051</v>
      </c>
      <c r="N245" s="302">
        <f>SUM(K245:M245)</f>
        <v>4.3519740782952692</v>
      </c>
    </row>
    <row r="246" spans="1:14" x14ac:dyDescent="0.2">
      <c r="A246" s="282" t="s">
        <v>365</v>
      </c>
      <c r="B246" s="302">
        <f>'Ind T6'!Q98</f>
        <v>11.346455834943844</v>
      </c>
      <c r="C246" s="299" t="str">
        <f>CONCATENATE("(",ROUND((B246/$H247)*100,1),")")</f>
        <v>(19)</v>
      </c>
      <c r="D246" s="302">
        <f>'Ind T6'!R98</f>
        <v>19.256820673902379</v>
      </c>
      <c r="E246" s="299" t="str">
        <f>CONCATENATE("(",ROUND((D246/$H247)*100,1),")")</f>
        <v>(32.3)</v>
      </c>
      <c r="F246" s="302">
        <f>'Ind T6'!S98</f>
        <v>1.1173425360418041</v>
      </c>
      <c r="G246" s="299" t="str">
        <f>CONCATENATE("(",ROUND((F246/$H247)*100,1),")")</f>
        <v>(1.9)</v>
      </c>
      <c r="H246" s="302">
        <f t="shared" ref="H246" si="191">SUM(B246,D246,F246)</f>
        <v>31.720619044888025</v>
      </c>
      <c r="I246" s="299" t="str">
        <f>CONCATENATE("(",ROUND((H246/$H247)*100,1),")")</f>
        <v>(53.2)</v>
      </c>
      <c r="K246" s="302">
        <f t="shared" ref="K246:K247" si="192">B251-B246</f>
        <v>1.7323510533812261</v>
      </c>
      <c r="L246" s="302">
        <f t="shared" ref="L246:L247" si="193">D251-D246</f>
        <v>2.8222922582903003</v>
      </c>
      <c r="M246" s="302">
        <f t="shared" ref="M246:M247" si="194">F251-F246</f>
        <v>0.17338261003315836</v>
      </c>
      <c r="N246" s="302">
        <f t="shared" ref="N246:N247" si="195">SUM(K246:M246)</f>
        <v>4.7280259217046847</v>
      </c>
    </row>
    <row r="247" spans="1:14" x14ac:dyDescent="0.2">
      <c r="A247" s="282" t="s">
        <v>363</v>
      </c>
      <c r="B247" s="302">
        <f>SUM(B245:B246)</f>
        <v>24.702376913736934</v>
      </c>
      <c r="C247" s="299" t="str">
        <f>CONCATENATE("(",ROUND((B247/$H247)*100,1),")")</f>
        <v>(41.5)</v>
      </c>
      <c r="D247" s="302">
        <f>SUM(D245:D246)</f>
        <v>33.017822205013459</v>
      </c>
      <c r="E247" s="299" t="str">
        <f>CONCATENATE("(",ROUND((D247/$H247)*100,1),")")</f>
        <v>(55.4)</v>
      </c>
      <c r="F247" s="302">
        <f>SUM(F245:F246)</f>
        <v>1.8578008812496343</v>
      </c>
      <c r="G247" s="299" t="str">
        <f>CONCATENATE("(",ROUND((F247/$H247)*100,1),")")</f>
        <v>(3.1)</v>
      </c>
      <c r="H247" s="302">
        <f>SUM(H245:H246)</f>
        <v>59.578000000000031</v>
      </c>
      <c r="I247" s="299" t="str">
        <f>CONCATENATE("(",ROUND((H247/$H247)*100,1),")")</f>
        <v>(100)</v>
      </c>
      <c r="K247" s="302">
        <f t="shared" si="192"/>
        <v>3.9258468172441354</v>
      </c>
      <c r="L247" s="302">
        <f t="shared" si="193"/>
        <v>4.8646872614303192</v>
      </c>
      <c r="M247" s="302">
        <f t="shared" si="194"/>
        <v>0.28946592132549887</v>
      </c>
      <c r="N247" s="302">
        <f t="shared" si="195"/>
        <v>9.0799999999999539</v>
      </c>
    </row>
    <row r="248" spans="1:14" x14ac:dyDescent="0.2">
      <c r="B248" s="302"/>
      <c r="C248" s="284"/>
      <c r="D248" s="302"/>
      <c r="E248" s="284"/>
      <c r="F248" s="302"/>
      <c r="G248" s="284"/>
      <c r="H248" s="302"/>
      <c r="I248" s="284"/>
    </row>
    <row r="249" spans="1:14" x14ac:dyDescent="0.2">
      <c r="A249" s="292">
        <f>$A$18</f>
        <v>2035</v>
      </c>
      <c r="B249" s="302"/>
      <c r="C249" s="284"/>
      <c r="D249" s="302"/>
      <c r="E249" s="284"/>
      <c r="F249" s="302"/>
      <c r="G249" s="284"/>
      <c r="H249" s="302"/>
      <c r="I249" s="284"/>
      <c r="K249" s="286" t="str">
        <f>CONCATENATE(A239," - ",A249)</f>
        <v>2020 - 2035</v>
      </c>
    </row>
    <row r="250" spans="1:14" x14ac:dyDescent="0.2">
      <c r="A250" s="282" t="s">
        <v>364</v>
      </c>
      <c r="B250" s="302">
        <f>'Ind T6'!V99</f>
        <v>15.549416842655999</v>
      </c>
      <c r="C250" s="299" t="str">
        <f>CONCATENATE("(",ROUND((B250/$H252)*100,1),")")</f>
        <v>(22.6)</v>
      </c>
      <c r="D250" s="302">
        <f>'Ind T6'!W99</f>
        <v>15.803396534251103</v>
      </c>
      <c r="E250" s="299" t="str">
        <f>CONCATENATE("(",ROUND((D250/$H252)*100,1),")")</f>
        <v>(23)</v>
      </c>
      <c r="F250" s="302">
        <f>'Ind T6'!X99</f>
        <v>0.85654165650017056</v>
      </c>
      <c r="G250" s="299" t="str">
        <f>CONCATENATE("(",ROUND((F250/$H252)*100,1),")")</f>
        <v>(1.2)</v>
      </c>
      <c r="H250" s="302">
        <f>SUM(B250,D250,F250)</f>
        <v>32.20935503340727</v>
      </c>
      <c r="I250" s="299" t="str">
        <f>CONCATENATE("(",ROUND((H250/$H252)*100,1),")")</f>
        <v>(46.9)</v>
      </c>
      <c r="K250" s="302">
        <f>B250-B240</f>
        <v>2.9905059681209316</v>
      </c>
      <c r="L250" s="302">
        <f>D250-D240</f>
        <v>2.703028440456885</v>
      </c>
      <c r="M250" s="302">
        <f>F250-F240</f>
        <v>0.16501894942523709</v>
      </c>
      <c r="N250" s="302">
        <f>SUM(K250:M250)</f>
        <v>5.8585533580030535</v>
      </c>
    </row>
    <row r="251" spans="1:14" x14ac:dyDescent="0.2">
      <c r="A251" s="282" t="s">
        <v>365</v>
      </c>
      <c r="B251" s="302">
        <f>'Ind T6'!V98</f>
        <v>13.078806888325071</v>
      </c>
      <c r="C251" s="299" t="str">
        <f>CONCATENATE("(",ROUND((B251/$H252)*100,1),")")</f>
        <v>(19)</v>
      </c>
      <c r="D251" s="302">
        <f>'Ind T6'!W98</f>
        <v>22.079112932192679</v>
      </c>
      <c r="E251" s="299" t="str">
        <f>CONCATENATE("(",ROUND((D251/$H252)*100,1),")")</f>
        <v>(32.2)</v>
      </c>
      <c r="F251" s="302">
        <f>'Ind T6'!X98</f>
        <v>1.2907251460749625</v>
      </c>
      <c r="G251" s="299" t="str">
        <f>CONCATENATE("(",ROUND((F251/$H252)*100,1),")")</f>
        <v>(1.9)</v>
      </c>
      <c r="H251" s="302">
        <f t="shared" ref="H251" si="196">SUM(B251,D251,F251)</f>
        <v>36.44864496659271</v>
      </c>
      <c r="I251" s="299" t="str">
        <f>CONCATENATE("(",ROUND((H251/$H252)*100,1),")")</f>
        <v>(53.1)</v>
      </c>
      <c r="K251" s="302">
        <f t="shared" ref="K251:K252" si="197">B251-B241</f>
        <v>2.3869898733731567</v>
      </c>
      <c r="L251" s="302">
        <f t="shared" ref="L251:L252" si="198">D251-D241</f>
        <v>3.8065458570590565</v>
      </c>
      <c r="M251" s="302">
        <f t="shared" ref="M251:M252" si="199">F251-F241</f>
        <v>0.25091091156482581</v>
      </c>
      <c r="N251" s="302">
        <f t="shared" ref="N251:N252" si="200">SUM(K251:M251)</f>
        <v>6.4444466419970388</v>
      </c>
    </row>
    <row r="252" spans="1:14" x14ac:dyDescent="0.2">
      <c r="A252" s="282" t="s">
        <v>363</v>
      </c>
      <c r="B252" s="302">
        <f>SUM(B250:B251)</f>
        <v>28.62822373098107</v>
      </c>
      <c r="C252" s="299" t="str">
        <f>CONCATENATE("(",ROUND((B252/$H252)*100,1),")")</f>
        <v>(41.7)</v>
      </c>
      <c r="D252" s="302">
        <f>SUM(D250:D251)</f>
        <v>37.882509466443778</v>
      </c>
      <c r="E252" s="299" t="str">
        <f>CONCATENATE("(",ROUND((D252/$H252)*100,1),")")</f>
        <v>(55.2)</v>
      </c>
      <c r="F252" s="302">
        <f>SUM(F250:F251)</f>
        <v>2.1472668025751331</v>
      </c>
      <c r="G252" s="299" t="str">
        <f>CONCATENATE("(",ROUND((F252/$H252)*100,1),")")</f>
        <v>(3.1)</v>
      </c>
      <c r="H252" s="302">
        <f>SUM(H250:H251)</f>
        <v>68.657999999999987</v>
      </c>
      <c r="I252" s="299" t="str">
        <f>CONCATENATE("(",ROUND((H252/$H252)*100,1),")")</f>
        <v>(100)</v>
      </c>
      <c r="K252" s="302">
        <f t="shared" si="197"/>
        <v>5.3774958414940883</v>
      </c>
      <c r="L252" s="302">
        <f t="shared" si="198"/>
        <v>6.5095742975159396</v>
      </c>
      <c r="M252" s="302">
        <f t="shared" si="199"/>
        <v>0.41592986099006302</v>
      </c>
      <c r="N252" s="302">
        <f t="shared" si="200"/>
        <v>12.303000000000091</v>
      </c>
    </row>
    <row r="253" spans="1:14" x14ac:dyDescent="0.2">
      <c r="A253" s="293"/>
      <c r="B253" s="294"/>
      <c r="C253" s="293"/>
      <c r="D253" s="294"/>
      <c r="E253" s="293"/>
      <c r="F253" s="294"/>
      <c r="G253" s="293"/>
      <c r="H253" s="294"/>
      <c r="I253" s="293"/>
      <c r="J253" s="293"/>
      <c r="K253" s="294"/>
      <c r="L253" s="294"/>
      <c r="M253" s="294"/>
      <c r="N253" s="294"/>
    </row>
    <row r="256" spans="1:14" x14ac:dyDescent="0.2">
      <c r="C256" s="182"/>
      <c r="E256" s="182"/>
      <c r="G256" s="182"/>
      <c r="I256" s="182"/>
    </row>
    <row r="257" spans="1:14" x14ac:dyDescent="0.2">
      <c r="A257" s="288"/>
      <c r="B257" s="289" t="s">
        <v>372</v>
      </c>
      <c r="C257" s="288"/>
      <c r="D257" s="289"/>
      <c r="E257" s="288"/>
      <c r="F257" s="289" t="str">
        <f>name!B15</f>
        <v>Media</v>
      </c>
      <c r="G257" s="288"/>
      <c r="H257" s="291"/>
      <c r="I257" s="288"/>
      <c r="J257" s="290"/>
      <c r="K257" s="291"/>
      <c r="L257" s="291"/>
      <c r="M257" s="291"/>
      <c r="N257" s="291"/>
    </row>
    <row r="258" spans="1:14" x14ac:dyDescent="0.2">
      <c r="N258" s="287" t="s">
        <v>370</v>
      </c>
    </row>
    <row r="259" spans="1:14" x14ac:dyDescent="0.2">
      <c r="A259" s="182" t="s">
        <v>371</v>
      </c>
      <c r="B259" s="372" t="s">
        <v>369</v>
      </c>
      <c r="C259" s="372"/>
      <c r="D259" s="372" t="s">
        <v>368</v>
      </c>
      <c r="E259" s="372"/>
      <c r="F259" s="372" t="s">
        <v>367</v>
      </c>
      <c r="G259" s="372"/>
      <c r="H259" s="372" t="s">
        <v>33</v>
      </c>
      <c r="I259" s="372"/>
      <c r="J259" s="182"/>
      <c r="K259" s="297" t="s">
        <v>345</v>
      </c>
      <c r="L259" s="297" t="s">
        <v>347</v>
      </c>
      <c r="M259" s="297" t="s">
        <v>343</v>
      </c>
      <c r="N259" s="297" t="s">
        <v>33</v>
      </c>
    </row>
    <row r="260" spans="1:14" x14ac:dyDescent="0.2">
      <c r="A260" s="292">
        <f>$A$8</f>
        <v>2020</v>
      </c>
      <c r="B260" s="287" t="s">
        <v>66</v>
      </c>
      <c r="C260" s="20" t="s">
        <v>366</v>
      </c>
      <c r="D260" s="287" t="s">
        <v>66</v>
      </c>
      <c r="E260" s="20" t="s">
        <v>366</v>
      </c>
      <c r="F260" s="287" t="s">
        <v>66</v>
      </c>
      <c r="G260" s="20" t="s">
        <v>366</v>
      </c>
      <c r="H260" s="287" t="s">
        <v>66</v>
      </c>
      <c r="I260" s="20" t="s">
        <v>366</v>
      </c>
      <c r="J260" s="182"/>
      <c r="K260" s="286" t="str">
        <f>CONCATENATE(A260," - ",A265)</f>
        <v>2020 - 2025</v>
      </c>
      <c r="L260" s="285"/>
      <c r="M260" s="285"/>
    </row>
    <row r="261" spans="1:14" x14ac:dyDescent="0.2">
      <c r="A261" s="282" t="s">
        <v>364</v>
      </c>
      <c r="B261" s="302">
        <f>'Ind T6'!L108</f>
        <v>1.6728415029540729</v>
      </c>
      <c r="C261" s="299" t="str">
        <f>CONCATENATE("(",ROUND((B261/$H263)*100,1),")")</f>
        <v>(28.6)</v>
      </c>
      <c r="D261" s="302">
        <f>'Ind T6'!M108</f>
        <v>0.52771382948364853</v>
      </c>
      <c r="E261" s="299" t="str">
        <f>CONCATENATE("(",ROUND((D261/$H263)*100,1),")")</f>
        <v>(9)</v>
      </c>
      <c r="F261" s="302">
        <f>'Ind T6'!N108</f>
        <v>0.59828350916183859</v>
      </c>
      <c r="G261" s="299" t="str">
        <f>CONCATENATE("(",ROUND((F261/$H263)*100,1),")")</f>
        <v>(10.2)</v>
      </c>
      <c r="H261" s="302">
        <f>SUM(B261,D261,F261)</f>
        <v>2.7988388415995598</v>
      </c>
      <c r="I261" s="299" t="str">
        <f>CONCATENATE("(",ROUND((H261/$H263)*100,1),")")</f>
        <v>(47.8)</v>
      </c>
      <c r="K261" s="302">
        <f>B266-B261</f>
        <v>-7.2826727480803211E-2</v>
      </c>
      <c r="L261" s="302">
        <f>D266-D261</f>
        <v>4.0682696381100225E-3</v>
      </c>
      <c r="M261" s="302">
        <f>F266-F261</f>
        <v>-1.9109283595625914E-2</v>
      </c>
      <c r="N261" s="302">
        <f>SUM(K261:M261)</f>
        <v>-8.7867741438319102E-2</v>
      </c>
    </row>
    <row r="262" spans="1:14" x14ac:dyDescent="0.2">
      <c r="A262" s="282" t="s">
        <v>365</v>
      </c>
      <c r="B262" s="302">
        <f>'Ind T6'!L107</f>
        <v>1.3762504596892198</v>
      </c>
      <c r="C262" s="299" t="str">
        <f>CONCATENATE("(",ROUND((B262/$H263)*100,1),")")</f>
        <v>(23.5)</v>
      </c>
      <c r="D262" s="302">
        <f>'Ind T6'!M107</f>
        <v>0.67480484855679257</v>
      </c>
      <c r="E262" s="299" t="str">
        <f>CONCATENATE("(",ROUND((D262/$H263)*100,1),")")</f>
        <v>(11.5)</v>
      </c>
      <c r="F262" s="302">
        <f>'Ind T6'!N107</f>
        <v>1.0071058501544292</v>
      </c>
      <c r="G262" s="299" t="str">
        <f>CONCATENATE("(",ROUND((F262/$H263)*100,1),")")</f>
        <v>(17.2)</v>
      </c>
      <c r="H262" s="302">
        <f t="shared" ref="H262" si="201">SUM(B262,D262,F262)</f>
        <v>3.0581611584004418</v>
      </c>
      <c r="I262" s="299" t="str">
        <f>CONCATENATE("(",ROUND((H262/$H263)*100,1),")")</f>
        <v>(52.2)</v>
      </c>
      <c r="K262" s="302">
        <f t="shared" ref="K262:K263" si="202">B267-B262</f>
        <v>-5.4222336163679552E-2</v>
      </c>
      <c r="L262" s="302">
        <f t="shared" ref="L262:L263" si="203">D267-D262</f>
        <v>-1.6832371018294934E-2</v>
      </c>
      <c r="M262" s="302">
        <f t="shared" ref="M262:M263" si="204">F267-F262</f>
        <v>-4.9077551379710926E-2</v>
      </c>
      <c r="N262" s="302">
        <f t="shared" ref="N262:N263" si="205">SUM(K262:M262)</f>
        <v>-0.12013225856168541</v>
      </c>
    </row>
    <row r="263" spans="1:14" x14ac:dyDescent="0.2">
      <c r="A263" s="282" t="s">
        <v>363</v>
      </c>
      <c r="B263" s="302">
        <f>SUM(B261:B262)</f>
        <v>3.0490919626432929</v>
      </c>
      <c r="C263" s="299" t="str">
        <f>CONCATENATE("(",ROUND((B263/$H263)*100,1),")")</f>
        <v>(52.1)</v>
      </c>
      <c r="D263" s="302">
        <f>SUM(D261:D262)</f>
        <v>1.2025186780404411</v>
      </c>
      <c r="E263" s="299" t="str">
        <f>CONCATENATE("(",ROUND((D263/$H263)*100,1),")")</f>
        <v>(20.5)</v>
      </c>
      <c r="F263" s="302">
        <f>SUM(F261:F262)</f>
        <v>1.6053893593162678</v>
      </c>
      <c r="G263" s="299" t="str">
        <f>CONCATENATE("(",ROUND((F263/$H263)*100,1),")")</f>
        <v>(27.4)</v>
      </c>
      <c r="H263" s="302">
        <f>SUM(H261:H262)</f>
        <v>5.8570000000000011</v>
      </c>
      <c r="I263" s="299" t="str">
        <f>CONCATENATE("(",ROUND((H263/$H263)*100,1),")")</f>
        <v>(100)</v>
      </c>
      <c r="K263" s="302">
        <f t="shared" si="202"/>
        <v>-0.12704906364448298</v>
      </c>
      <c r="L263" s="302">
        <f t="shared" si="203"/>
        <v>-1.2764101380184911E-2</v>
      </c>
      <c r="M263" s="302">
        <f t="shared" si="204"/>
        <v>-6.8186834975336952E-2</v>
      </c>
      <c r="N263" s="302">
        <f t="shared" si="205"/>
        <v>-0.20800000000000485</v>
      </c>
    </row>
    <row r="264" spans="1:14" x14ac:dyDescent="0.2">
      <c r="B264" s="302"/>
      <c r="C264" s="284"/>
      <c r="D264" s="302"/>
      <c r="E264" s="284"/>
      <c r="F264" s="302"/>
      <c r="G264" s="284"/>
      <c r="H264" s="302"/>
      <c r="I264" s="284"/>
    </row>
    <row r="265" spans="1:14" x14ac:dyDescent="0.2">
      <c r="A265" s="292">
        <f>$A$13</f>
        <v>2025</v>
      </c>
      <c r="B265" s="302"/>
      <c r="C265" s="284"/>
      <c r="D265" s="302"/>
      <c r="E265" s="284"/>
      <c r="F265" s="302"/>
      <c r="G265" s="284"/>
      <c r="H265" s="302"/>
      <c r="I265" s="284"/>
      <c r="K265" s="286" t="str">
        <f>CONCATENATE(A265," - ",A270)</f>
        <v>2025 - 2035</v>
      </c>
    </row>
    <row r="266" spans="1:14" x14ac:dyDescent="0.2">
      <c r="A266" s="282" t="s">
        <v>364</v>
      </c>
      <c r="B266" s="302">
        <f>'Ind T6'!Q108</f>
        <v>1.6000147754732696</v>
      </c>
      <c r="C266" s="299" t="str">
        <f>CONCATENATE("(",ROUND((B266/$H268)*100,1),")")</f>
        <v>(28.3)</v>
      </c>
      <c r="D266" s="302">
        <f>'Ind T6'!R108</f>
        <v>0.53178209912175856</v>
      </c>
      <c r="E266" s="299" t="str">
        <f>CONCATENATE("(",ROUND((D266/$H268)*100,1),")")</f>
        <v>(9.4)</v>
      </c>
      <c r="F266" s="302">
        <f>'Ind T6'!S108</f>
        <v>0.57917422556621267</v>
      </c>
      <c r="G266" s="299" t="str">
        <f>CONCATENATE("(",ROUND((F266/$H268)*100,1),")")</f>
        <v>(10.3)</v>
      </c>
      <c r="H266" s="302">
        <f>SUM(B266,D266,F266)</f>
        <v>2.7109711001612409</v>
      </c>
      <c r="I266" s="299" t="str">
        <f>CONCATENATE("(",ROUND((H266/$H268)*100,1),")")</f>
        <v>(48)</v>
      </c>
      <c r="K266" s="302">
        <f>B271-B266</f>
        <v>-5.2068025240610272E-2</v>
      </c>
      <c r="L266" s="302">
        <f>D271-D266</f>
        <v>2.2659917258873952E-2</v>
      </c>
      <c r="M266" s="302">
        <f>F271-F266</f>
        <v>-7.5029870635737739E-3</v>
      </c>
      <c r="N266" s="302">
        <f>SUM(K266:M266)</f>
        <v>-3.6911095045310094E-2</v>
      </c>
    </row>
    <row r="267" spans="1:14" x14ac:dyDescent="0.2">
      <c r="A267" s="282" t="s">
        <v>365</v>
      </c>
      <c r="B267" s="302">
        <f>'Ind T6'!Q107</f>
        <v>1.3220281235255402</v>
      </c>
      <c r="C267" s="299" t="str">
        <f>CONCATENATE("(",ROUND((B267/$H268)*100,1),")")</f>
        <v>(23.4)</v>
      </c>
      <c r="D267" s="302">
        <f>'Ind T6'!R107</f>
        <v>0.65797247753849764</v>
      </c>
      <c r="E267" s="299" t="str">
        <f>CONCATENATE("(",ROUND((D267/$H268)*100,1),")")</f>
        <v>(11.6)</v>
      </c>
      <c r="F267" s="302">
        <f>'Ind T6'!S107</f>
        <v>0.95802829877471829</v>
      </c>
      <c r="G267" s="299" t="str">
        <f>CONCATENATE("(",ROUND((F267/$H268)*100,1),")")</f>
        <v>(17)</v>
      </c>
      <c r="H267" s="302">
        <f t="shared" ref="H267" si="206">SUM(B267,D267,F267)</f>
        <v>2.938028899838756</v>
      </c>
      <c r="I267" s="299" t="str">
        <f>CONCATENATE("(",ROUND((H267/$H268)*100,1),")")</f>
        <v>(52)</v>
      </c>
      <c r="K267" s="302">
        <f t="shared" ref="K267:K268" si="207">B272-B267</f>
        <v>-1.8397391693369292E-2</v>
      </c>
      <c r="L267" s="302">
        <f t="shared" ref="L267:L268" si="208">D272-D267</f>
        <v>-1.3147656656576912E-2</v>
      </c>
      <c r="M267" s="302">
        <f t="shared" ref="M267:M268" si="209">F272-F267</f>
        <v>-6.1543856604739933E-2</v>
      </c>
      <c r="N267" s="302">
        <f t="shared" ref="N267:N268" si="210">SUM(K267:M267)</f>
        <v>-9.3088904954686136E-2</v>
      </c>
    </row>
    <row r="268" spans="1:14" x14ac:dyDescent="0.2">
      <c r="A268" s="282" t="s">
        <v>363</v>
      </c>
      <c r="B268" s="302">
        <f>SUM(B266:B267)</f>
        <v>2.9220428989988099</v>
      </c>
      <c r="C268" s="299" t="str">
        <f>CONCATENATE("(",ROUND((B268/$H268)*100,1),")")</f>
        <v>(51.7)</v>
      </c>
      <c r="D268" s="302">
        <f>SUM(D266:D267)</f>
        <v>1.1897545766602562</v>
      </c>
      <c r="E268" s="299" t="str">
        <f>CONCATENATE("(",ROUND((D268/$H268)*100,1),")")</f>
        <v>(21.1)</v>
      </c>
      <c r="F268" s="302">
        <f>SUM(F266:F267)</f>
        <v>1.5372025243409309</v>
      </c>
      <c r="G268" s="299" t="str">
        <f>CONCATENATE("(",ROUND((F268/$H268)*100,1),")")</f>
        <v>(27.2)</v>
      </c>
      <c r="H268" s="302">
        <f>SUM(H266:H267)</f>
        <v>5.6489999999999974</v>
      </c>
      <c r="I268" s="299" t="str">
        <f>CONCATENATE("(",ROUND((H268/$H268)*100,1),")")</f>
        <v>(100)</v>
      </c>
      <c r="K268" s="302">
        <f t="shared" si="207"/>
        <v>-7.0465416933979341E-2</v>
      </c>
      <c r="L268" s="302">
        <f t="shared" si="208"/>
        <v>9.5122606022970402E-3</v>
      </c>
      <c r="M268" s="302">
        <f t="shared" si="209"/>
        <v>-6.9046843668313596E-2</v>
      </c>
      <c r="N268" s="302">
        <f t="shared" si="210"/>
        <v>-0.1299999999999959</v>
      </c>
    </row>
    <row r="269" spans="1:14" x14ac:dyDescent="0.2">
      <c r="B269" s="302"/>
      <c r="C269" s="284"/>
      <c r="D269" s="302"/>
      <c r="E269" s="284"/>
      <c r="F269" s="302"/>
      <c r="G269" s="284"/>
      <c r="H269" s="302"/>
      <c r="I269" s="284"/>
    </row>
    <row r="270" spans="1:14" x14ac:dyDescent="0.2">
      <c r="A270" s="292">
        <f>$A$18</f>
        <v>2035</v>
      </c>
      <c r="B270" s="302"/>
      <c r="C270" s="284"/>
      <c r="D270" s="302"/>
      <c r="E270" s="284"/>
      <c r="F270" s="302"/>
      <c r="G270" s="284"/>
      <c r="H270" s="302"/>
      <c r="I270" s="284"/>
      <c r="K270" s="286" t="str">
        <f>CONCATENATE(A260," - ",A270)</f>
        <v>2020 - 2035</v>
      </c>
    </row>
    <row r="271" spans="1:14" x14ac:dyDescent="0.2">
      <c r="A271" s="282" t="s">
        <v>364</v>
      </c>
      <c r="B271" s="302">
        <f>'Ind T6'!V108</f>
        <v>1.5479467502326594</v>
      </c>
      <c r="C271" s="299" t="str">
        <f>CONCATENATE("(",ROUND((B271/$H273)*100,1),")")</f>
        <v>(28)</v>
      </c>
      <c r="D271" s="302">
        <f>'Ind T6'!W108</f>
        <v>0.55444201638063251</v>
      </c>
      <c r="E271" s="299" t="str">
        <f>CONCATENATE("(",ROUND((D271/$H273)*100,1),")")</f>
        <v>(10)</v>
      </c>
      <c r="F271" s="302">
        <f>'Ind T6'!X108</f>
        <v>0.5716712385026389</v>
      </c>
      <c r="G271" s="299" t="str">
        <f>CONCATENATE("(",ROUND((F271/$H273)*100,1),")")</f>
        <v>(10.4)</v>
      </c>
      <c r="H271" s="302">
        <f>SUM(B271,D271,F271)</f>
        <v>2.6740600051159307</v>
      </c>
      <c r="I271" s="299" t="str">
        <f>CONCATENATE("(",ROUND((H271/$H273)*100,1),")")</f>
        <v>(48.5)</v>
      </c>
      <c r="K271" s="302">
        <f>B271-B261</f>
        <v>-0.12489475272141348</v>
      </c>
      <c r="L271" s="302">
        <f>D271-D261</f>
        <v>2.6728186896983974E-2</v>
      </c>
      <c r="M271" s="302">
        <f>F271-F261</f>
        <v>-2.6612270659199688E-2</v>
      </c>
      <c r="N271" s="302">
        <f>SUM(K271:M271)</f>
        <v>-0.1247788364836292</v>
      </c>
    </row>
    <row r="272" spans="1:14" x14ac:dyDescent="0.2">
      <c r="A272" s="282" t="s">
        <v>365</v>
      </c>
      <c r="B272" s="302">
        <f>'Ind T6'!V107</f>
        <v>1.3036307318321709</v>
      </c>
      <c r="C272" s="299" t="str">
        <f>CONCATENATE("(",ROUND((B272/$H273)*100,1),")")</f>
        <v>(23.6)</v>
      </c>
      <c r="D272" s="302">
        <f>'Ind T6'!W107</f>
        <v>0.64482482088192072</v>
      </c>
      <c r="E272" s="299" t="str">
        <f>CONCATENATE("(",ROUND((D272/$H273)*100,1),")")</f>
        <v>(11.7)</v>
      </c>
      <c r="F272" s="302">
        <f>'Ind T6'!X107</f>
        <v>0.89648444216997836</v>
      </c>
      <c r="G272" s="299" t="str">
        <f>CONCATENATE("(",ROUND((F272/$H273)*100,1),")")</f>
        <v>(16.2)</v>
      </c>
      <c r="H272" s="302">
        <f t="shared" ref="H272" si="211">SUM(B272,D272,F272)</f>
        <v>2.8449399948840699</v>
      </c>
      <c r="I272" s="299" t="str">
        <f>CONCATENATE("(",ROUND((H272/$H273)*100,1),")")</f>
        <v>(51.5)</v>
      </c>
      <c r="K272" s="302">
        <f t="shared" ref="K272:K273" si="212">B272-B262</f>
        <v>-7.2619727857048844E-2</v>
      </c>
      <c r="L272" s="302">
        <f t="shared" ref="L272:L273" si="213">D272-D262</f>
        <v>-2.9980027674871845E-2</v>
      </c>
      <c r="M272" s="302">
        <f t="shared" ref="M272:M273" si="214">F272-F262</f>
        <v>-0.11062140798445086</v>
      </c>
      <c r="N272" s="302">
        <f t="shared" ref="N272:N273" si="215">SUM(K272:M272)</f>
        <v>-0.21322116351637155</v>
      </c>
    </row>
    <row r="273" spans="1:14" x14ac:dyDescent="0.2">
      <c r="A273" s="282" t="s">
        <v>363</v>
      </c>
      <c r="B273" s="302">
        <f>SUM(B271:B272)</f>
        <v>2.8515774820648305</v>
      </c>
      <c r="C273" s="299" t="str">
        <f>CONCATENATE("(",ROUND((B273/$H273)*100,1),")")</f>
        <v>(51.7)</v>
      </c>
      <c r="D273" s="302">
        <f>SUM(D271:D272)</f>
        <v>1.1992668372625532</v>
      </c>
      <c r="E273" s="299" t="str">
        <f>CONCATENATE("(",ROUND((D273/$H273)*100,1),")")</f>
        <v>(21.7)</v>
      </c>
      <c r="F273" s="302">
        <f>SUM(F271:F272)</f>
        <v>1.4681556806726173</v>
      </c>
      <c r="G273" s="299" t="str">
        <f>CONCATENATE("(",ROUND((F273/$H273)*100,1),")")</f>
        <v>(26.6)</v>
      </c>
      <c r="H273" s="302">
        <f>SUM(H271:H272)</f>
        <v>5.5190000000000001</v>
      </c>
      <c r="I273" s="299" t="str">
        <f>CONCATENATE("(",ROUND((H273/$H273)*100,1),")")</f>
        <v>(100)</v>
      </c>
      <c r="K273" s="302">
        <f t="shared" si="212"/>
        <v>-0.19751448057846233</v>
      </c>
      <c r="L273" s="302">
        <f t="shared" si="213"/>
        <v>-3.2518407778878711E-3</v>
      </c>
      <c r="M273" s="302">
        <f t="shared" si="214"/>
        <v>-0.13723367864365055</v>
      </c>
      <c r="N273" s="302">
        <f t="shared" si="215"/>
        <v>-0.33800000000000074</v>
      </c>
    </row>
    <row r="274" spans="1:14" x14ac:dyDescent="0.2">
      <c r="A274" s="293"/>
      <c r="B274" s="294"/>
      <c r="C274" s="293"/>
      <c r="D274" s="294"/>
      <c r="E274" s="293"/>
      <c r="F274" s="294"/>
      <c r="G274" s="293"/>
      <c r="H274" s="294"/>
      <c r="I274" s="293"/>
      <c r="J274" s="293"/>
      <c r="K274" s="294"/>
      <c r="L274" s="294"/>
      <c r="M274" s="294"/>
      <c r="N274" s="294"/>
    </row>
    <row r="278" spans="1:14" x14ac:dyDescent="0.2">
      <c r="A278" s="288"/>
      <c r="B278" s="289" t="s">
        <v>372</v>
      </c>
      <c r="C278" s="288"/>
      <c r="D278" s="289"/>
      <c r="E278" s="288"/>
      <c r="F278" s="289" t="str">
        <f>name!B16</f>
        <v>Information technology</v>
      </c>
      <c r="G278" s="288"/>
      <c r="H278" s="291"/>
      <c r="I278" s="288"/>
      <c r="J278" s="290"/>
      <c r="K278" s="291"/>
      <c r="L278" s="291"/>
      <c r="M278" s="291"/>
      <c r="N278" s="291"/>
    </row>
    <row r="279" spans="1:14" x14ac:dyDescent="0.2">
      <c r="N279" s="287" t="s">
        <v>370</v>
      </c>
    </row>
    <row r="280" spans="1:14" x14ac:dyDescent="0.2">
      <c r="A280" s="182" t="s">
        <v>371</v>
      </c>
      <c r="B280" s="372" t="s">
        <v>369</v>
      </c>
      <c r="C280" s="372"/>
      <c r="D280" s="372" t="s">
        <v>368</v>
      </c>
      <c r="E280" s="372"/>
      <c r="F280" s="372" t="s">
        <v>367</v>
      </c>
      <c r="G280" s="372"/>
      <c r="H280" s="372" t="s">
        <v>33</v>
      </c>
      <c r="I280" s="372"/>
      <c r="J280" s="182"/>
      <c r="K280" s="297" t="s">
        <v>345</v>
      </c>
      <c r="L280" s="297" t="s">
        <v>347</v>
      </c>
      <c r="M280" s="297" t="s">
        <v>343</v>
      </c>
      <c r="N280" s="297" t="s">
        <v>33</v>
      </c>
    </row>
    <row r="281" spans="1:14" x14ac:dyDescent="0.2">
      <c r="A281" s="292">
        <f>$A$8</f>
        <v>2020</v>
      </c>
      <c r="B281" s="287" t="s">
        <v>66</v>
      </c>
      <c r="C281" s="20" t="s">
        <v>366</v>
      </c>
      <c r="D281" s="287" t="s">
        <v>66</v>
      </c>
      <c r="E281" s="20" t="s">
        <v>366</v>
      </c>
      <c r="F281" s="287" t="s">
        <v>66</v>
      </c>
      <c r="G281" s="20" t="s">
        <v>366</v>
      </c>
      <c r="H281" s="287" t="s">
        <v>66</v>
      </c>
      <c r="I281" s="20" t="s">
        <v>366</v>
      </c>
      <c r="J281" s="182"/>
      <c r="K281" s="286" t="str">
        <f>CONCATENATE(A281," - ",A286)</f>
        <v>2020 - 2025</v>
      </c>
      <c r="L281" s="285"/>
      <c r="M281" s="285"/>
    </row>
    <row r="282" spans="1:14" x14ac:dyDescent="0.2">
      <c r="A282" s="282" t="s">
        <v>364</v>
      </c>
      <c r="B282" s="302">
        <f>'Ind T6'!L117</f>
        <v>33.429213909469837</v>
      </c>
      <c r="C282" s="299" t="str">
        <f>CONCATENATE("(",ROUND((B282/$H284)*100,1),")")</f>
        <v>(59)</v>
      </c>
      <c r="D282" s="302">
        <f>'Ind T6'!M117</f>
        <v>2.5272855411777972</v>
      </c>
      <c r="E282" s="299" t="str">
        <f>CONCATENATE("(",ROUND((D282/$H284)*100,1),")")</f>
        <v>(4.5)</v>
      </c>
      <c r="F282" s="302">
        <f>'Ind T6'!N117</f>
        <v>4.3617474819419364</v>
      </c>
      <c r="G282" s="299" t="str">
        <f>CONCATENATE("(",ROUND((F282/$H284)*100,1),")")</f>
        <v>(7.7)</v>
      </c>
      <c r="H282" s="302">
        <f>SUM(B282,D282,F282)</f>
        <v>40.318246932589574</v>
      </c>
      <c r="I282" s="299" t="str">
        <f>CONCATENATE("(",ROUND((H282/$H284)*100,1),")")</f>
        <v>(71.2)</v>
      </c>
      <c r="K282" s="302">
        <f>B287-B282</f>
        <v>2.1659215609068099</v>
      </c>
      <c r="L282" s="302">
        <f>D287-D282</f>
        <v>0.20455763124029636</v>
      </c>
      <c r="M282" s="302">
        <f>F287-F282</f>
        <v>0.42446440956206377</v>
      </c>
      <c r="N282" s="302">
        <f>SUM(K282:M282)</f>
        <v>2.79494360170917</v>
      </c>
    </row>
    <row r="283" spans="1:14" x14ac:dyDescent="0.2">
      <c r="A283" s="282" t="s">
        <v>365</v>
      </c>
      <c r="B283" s="302">
        <f>'Ind T6'!L116</f>
        <v>11.593390803847909</v>
      </c>
      <c r="C283" s="299" t="str">
        <f>CONCATENATE("(",ROUND((B283/$H284)*100,1),")")</f>
        <v>(20.5)</v>
      </c>
      <c r="D283" s="302">
        <f>'Ind T6'!M116</f>
        <v>3.0908580995426247</v>
      </c>
      <c r="E283" s="299" t="str">
        <f>CONCATENATE("(",ROUND((D283/$H284)*100,1),")")</f>
        <v>(5.5)</v>
      </c>
      <c r="F283" s="302">
        <f>'Ind T6'!N116</f>
        <v>1.6565041640199185</v>
      </c>
      <c r="G283" s="299" t="str">
        <f>CONCATENATE("(",ROUND((F283/$H284)*100,1),")")</f>
        <v>(2.9)</v>
      </c>
      <c r="H283" s="302">
        <f t="shared" ref="H283" si="216">SUM(B283,D283,F283)</f>
        <v>16.34075306741045</v>
      </c>
      <c r="I283" s="299" t="str">
        <f>CONCATENATE("(",ROUND((H283/$H284)*100,1),")")</f>
        <v>(28.8)</v>
      </c>
      <c r="K283" s="302">
        <f t="shared" ref="K283:K284" si="217">B288-B283</f>
        <v>1.1320854512722409</v>
      </c>
      <c r="L283" s="302">
        <f t="shared" ref="L283:L284" si="218">D288-D283</f>
        <v>0.17876434120506079</v>
      </c>
      <c r="M283" s="302">
        <f t="shared" ref="M283:M284" si="219">F288-F283</f>
        <v>0.14820660581349077</v>
      </c>
      <c r="N283" s="302">
        <f t="shared" ref="N283:N284" si="220">SUM(K283:M283)</f>
        <v>1.4590563982907925</v>
      </c>
    </row>
    <row r="284" spans="1:14" x14ac:dyDescent="0.2">
      <c r="A284" s="282" t="s">
        <v>363</v>
      </c>
      <c r="B284" s="302">
        <f>SUM(B282:B283)</f>
        <v>45.022604713317747</v>
      </c>
      <c r="C284" s="299" t="str">
        <f>CONCATENATE("(",ROUND((B284/$H284)*100,1),")")</f>
        <v>(79.5)</v>
      </c>
      <c r="D284" s="302">
        <f>SUM(D282:D283)</f>
        <v>5.6181436407204224</v>
      </c>
      <c r="E284" s="299" t="str">
        <f>CONCATENATE("(",ROUND((D284/$H284)*100,1),")")</f>
        <v>(9.9)</v>
      </c>
      <c r="F284" s="302">
        <f>SUM(F282:F283)</f>
        <v>6.0182516459618549</v>
      </c>
      <c r="G284" s="299" t="str">
        <f>CONCATENATE("(",ROUND((F284/$H284)*100,1),")")</f>
        <v>(10.6)</v>
      </c>
      <c r="H284" s="302">
        <f>SUM(H282:H283)</f>
        <v>56.65900000000002</v>
      </c>
      <c r="I284" s="299" t="str">
        <f>CONCATENATE("(",ROUND((H284/$H284)*100,1),")")</f>
        <v>(100)</v>
      </c>
      <c r="K284" s="302">
        <f t="shared" si="217"/>
        <v>3.298007012179049</v>
      </c>
      <c r="L284" s="302">
        <f t="shared" si="218"/>
        <v>0.38332197244535671</v>
      </c>
      <c r="M284" s="302">
        <f t="shared" si="219"/>
        <v>0.57267101537555476</v>
      </c>
      <c r="N284" s="302">
        <f t="shared" si="220"/>
        <v>4.2539999999999605</v>
      </c>
    </row>
    <row r="285" spans="1:14" x14ac:dyDescent="0.2">
      <c r="B285" s="302"/>
      <c r="C285" s="284"/>
      <c r="D285" s="302"/>
      <c r="E285" s="284"/>
      <c r="F285" s="302"/>
      <c r="G285" s="284"/>
      <c r="H285" s="302"/>
      <c r="I285" s="284"/>
    </row>
    <row r="286" spans="1:14" x14ac:dyDescent="0.2">
      <c r="A286" s="292">
        <f>$A$13</f>
        <v>2025</v>
      </c>
      <c r="B286" s="302"/>
      <c r="C286" s="284"/>
      <c r="D286" s="302"/>
      <c r="E286" s="284"/>
      <c r="F286" s="302"/>
      <c r="G286" s="284"/>
      <c r="H286" s="302"/>
      <c r="I286" s="284"/>
      <c r="K286" s="286" t="str">
        <f>CONCATENATE(A286," - ",A291)</f>
        <v>2025 - 2035</v>
      </c>
    </row>
    <row r="287" spans="1:14" x14ac:dyDescent="0.2">
      <c r="A287" s="282" t="s">
        <v>364</v>
      </c>
      <c r="B287" s="302">
        <f>'Ind T6'!Q117</f>
        <v>35.595135470376647</v>
      </c>
      <c r="C287" s="299" t="str">
        <f>CONCATENATE("(",ROUND((B287/$H289)*100,1),")")</f>
        <v>(58.4)</v>
      </c>
      <c r="D287" s="302">
        <f>'Ind T6'!R117</f>
        <v>2.7318431724180936</v>
      </c>
      <c r="E287" s="299" t="str">
        <f>CONCATENATE("(",ROUND((D287/$H289)*100,1),")")</f>
        <v>(4.5)</v>
      </c>
      <c r="F287" s="302">
        <f>'Ind T6'!S117</f>
        <v>4.7862118915040002</v>
      </c>
      <c r="G287" s="299" t="str">
        <f>CONCATENATE("(",ROUND((F287/$H289)*100,1),")")</f>
        <v>(7.9)</v>
      </c>
      <c r="H287" s="302">
        <f>SUM(B287,D287,F287)</f>
        <v>43.113190534298745</v>
      </c>
      <c r="I287" s="299" t="str">
        <f>CONCATENATE("(",ROUND((H287/$H289)*100,1),")")</f>
        <v>(70.8)</v>
      </c>
      <c r="K287" s="302">
        <f>B292-B287</f>
        <v>2.4153323778952114</v>
      </c>
      <c r="L287" s="302">
        <f>D292-D287</f>
        <v>0.24039513580765837</v>
      </c>
      <c r="M287" s="302">
        <f>F292-F287</f>
        <v>0.4956861970929447</v>
      </c>
      <c r="N287" s="302">
        <f>SUM(K287:M287)</f>
        <v>3.1514137107958144</v>
      </c>
    </row>
    <row r="288" spans="1:14" x14ac:dyDescent="0.2">
      <c r="A288" s="282" t="s">
        <v>365</v>
      </c>
      <c r="B288" s="302">
        <f>'Ind T6'!Q116</f>
        <v>12.725476255120149</v>
      </c>
      <c r="C288" s="299" t="str">
        <f>CONCATENATE("(",ROUND((B288/$H289)*100,1),")")</f>
        <v>(20.9)</v>
      </c>
      <c r="D288" s="302">
        <f>'Ind T6'!R116</f>
        <v>3.2696224407476855</v>
      </c>
      <c r="E288" s="299" t="str">
        <f>CONCATENATE("(",ROUND((D288/$H289)*100,1),")")</f>
        <v>(5.4)</v>
      </c>
      <c r="F288" s="302">
        <f>'Ind T6'!S116</f>
        <v>1.8047107698334093</v>
      </c>
      <c r="G288" s="299" t="str">
        <f>CONCATENATE("(",ROUND((F288/$H289)*100,1),")")</f>
        <v>(3)</v>
      </c>
      <c r="H288" s="302">
        <f t="shared" ref="H288" si="221">SUM(B288,D288,F288)</f>
        <v>17.799809465701244</v>
      </c>
      <c r="I288" s="299" t="str">
        <f>CONCATENATE("(",ROUND((H288/$H289)*100,1),")")</f>
        <v>(29.2)</v>
      </c>
      <c r="K288" s="302">
        <f t="shared" ref="K288:K289" si="222">B293-B288</f>
        <v>1.6026088169254855</v>
      </c>
      <c r="L288" s="302">
        <f t="shared" ref="L288:L289" si="223">D293-D288</f>
        <v>0.13973039461588899</v>
      </c>
      <c r="M288" s="302">
        <f t="shared" ref="M288:M289" si="224">F293-F288</f>
        <v>0.150247077662929</v>
      </c>
      <c r="N288" s="302">
        <f t="shared" ref="N288:N289" si="225">SUM(K288:M288)</f>
        <v>1.8925862892043035</v>
      </c>
    </row>
    <row r="289" spans="1:14" x14ac:dyDescent="0.2">
      <c r="A289" s="282" t="s">
        <v>363</v>
      </c>
      <c r="B289" s="302">
        <f>SUM(B287:B288)</f>
        <v>48.320611725496796</v>
      </c>
      <c r="C289" s="299" t="str">
        <f>CONCATENATE("(",ROUND((B289/$H289)*100,1),")")</f>
        <v>(79.3)</v>
      </c>
      <c r="D289" s="302">
        <f>SUM(D287:D288)</f>
        <v>6.0014656131657791</v>
      </c>
      <c r="E289" s="299" t="str">
        <f>CONCATENATE("(",ROUND((D289/$H289)*100,1),")")</f>
        <v>(9.9)</v>
      </c>
      <c r="F289" s="302">
        <f>SUM(F287:F288)</f>
        <v>6.5909226613374097</v>
      </c>
      <c r="G289" s="299" t="str">
        <f>CONCATENATE("(",ROUND((F289/$H289)*100,1),")")</f>
        <v>(10.8)</v>
      </c>
      <c r="H289" s="302">
        <f>SUM(H287:H288)</f>
        <v>60.91299999999999</v>
      </c>
      <c r="I289" s="299" t="str">
        <f>CONCATENATE("(",ROUND((H289/$H289)*100,1),")")</f>
        <v>(100)</v>
      </c>
      <c r="K289" s="302">
        <f t="shared" si="222"/>
        <v>4.0179411948207004</v>
      </c>
      <c r="L289" s="302">
        <f t="shared" si="223"/>
        <v>0.38012553042354735</v>
      </c>
      <c r="M289" s="302">
        <f t="shared" si="224"/>
        <v>0.64593327475587348</v>
      </c>
      <c r="N289" s="302">
        <f t="shared" si="225"/>
        <v>5.0440000000001213</v>
      </c>
    </row>
    <row r="290" spans="1:14" x14ac:dyDescent="0.2">
      <c r="B290" s="302"/>
      <c r="C290" s="284"/>
      <c r="D290" s="302"/>
      <c r="E290" s="284"/>
      <c r="F290" s="302"/>
      <c r="G290" s="284"/>
      <c r="H290" s="302"/>
      <c r="I290" s="284"/>
    </row>
    <row r="291" spans="1:14" x14ac:dyDescent="0.2">
      <c r="A291" s="292">
        <f>$A$18</f>
        <v>2035</v>
      </c>
      <c r="B291" s="302"/>
      <c r="C291" s="284"/>
      <c r="D291" s="302"/>
      <c r="E291" s="284"/>
      <c r="F291" s="302"/>
      <c r="G291" s="284"/>
      <c r="H291" s="302"/>
      <c r="I291" s="284"/>
      <c r="K291" s="286" t="str">
        <f>CONCATENATE(A281," - ",A291)</f>
        <v>2020 - 2035</v>
      </c>
    </row>
    <row r="292" spans="1:14" x14ac:dyDescent="0.2">
      <c r="A292" s="282" t="s">
        <v>364</v>
      </c>
      <c r="B292" s="302">
        <f>'Ind T6'!V117</f>
        <v>38.010467848271858</v>
      </c>
      <c r="C292" s="299" t="str">
        <f>CONCATENATE("(",ROUND((B292/$H294)*100,1),")")</f>
        <v>(57.6)</v>
      </c>
      <c r="D292" s="302">
        <f>'Ind T6'!W117</f>
        <v>2.972238308225752</v>
      </c>
      <c r="E292" s="299" t="str">
        <f>CONCATENATE("(",ROUND((D292/$H294)*100,1),")")</f>
        <v>(4.5)</v>
      </c>
      <c r="F292" s="302">
        <f>'Ind T6'!X117</f>
        <v>5.2818980885969449</v>
      </c>
      <c r="G292" s="299" t="str">
        <f>CONCATENATE("(",ROUND((F292/$H294)*100,1),")")</f>
        <v>(8)</v>
      </c>
      <c r="H292" s="302">
        <f>SUM(B292,D292,F292)</f>
        <v>46.26460424509456</v>
      </c>
      <c r="I292" s="299" t="str">
        <f>CONCATENATE("(",ROUND((H292/$H294)*100,1),")")</f>
        <v>(70.1)</v>
      </c>
      <c r="K292" s="302">
        <f>B292-B282</f>
        <v>4.5812539388020213</v>
      </c>
      <c r="L292" s="302">
        <f>D292-D282</f>
        <v>0.44495276704795472</v>
      </c>
      <c r="M292" s="302">
        <f>F292-F282</f>
        <v>0.92015060665500847</v>
      </c>
      <c r="N292" s="302">
        <f>SUM(K292:M292)</f>
        <v>5.9463573125049844</v>
      </c>
    </row>
    <row r="293" spans="1:14" x14ac:dyDescent="0.2">
      <c r="A293" s="282" t="s">
        <v>365</v>
      </c>
      <c r="B293" s="302">
        <f>'Ind T6'!V116</f>
        <v>14.328085072045635</v>
      </c>
      <c r="C293" s="299" t="str">
        <f>CONCATENATE("(",ROUND((B293/$H294)*100,1),")")</f>
        <v>(21.7)</v>
      </c>
      <c r="D293" s="302">
        <f>'Ind T6'!W116</f>
        <v>3.4093528353635745</v>
      </c>
      <c r="E293" s="299" t="str">
        <f>CONCATENATE("(",ROUND((D293/$H294)*100,1),")")</f>
        <v>(5.2)</v>
      </c>
      <c r="F293" s="302">
        <f>'Ind T6'!X116</f>
        <v>1.9549578474963383</v>
      </c>
      <c r="G293" s="299" t="str">
        <f>CONCATENATE("(",ROUND((F293/$H294)*100,1),")")</f>
        <v>(3)</v>
      </c>
      <c r="H293" s="302">
        <f t="shared" ref="H293" si="226">SUM(B293,D293,F293)</f>
        <v>19.692395754905547</v>
      </c>
      <c r="I293" s="299" t="str">
        <f>CONCATENATE("(",ROUND((H293/$H294)*100,1),")")</f>
        <v>(29.9)</v>
      </c>
      <c r="K293" s="302">
        <f t="shared" ref="K293:K294" si="227">B293-B283</f>
        <v>2.7346942681977264</v>
      </c>
      <c r="L293" s="302">
        <f t="shared" ref="L293:L294" si="228">D293-D283</f>
        <v>0.31849473582094978</v>
      </c>
      <c r="M293" s="302">
        <f t="shared" ref="M293:M294" si="229">F293-F283</f>
        <v>0.29845368347641976</v>
      </c>
      <c r="N293" s="302">
        <f t="shared" ref="N293:N294" si="230">SUM(K293:M293)</f>
        <v>3.351642687495096</v>
      </c>
    </row>
    <row r="294" spans="1:14" x14ac:dyDescent="0.2">
      <c r="A294" s="282" t="s">
        <v>363</v>
      </c>
      <c r="B294" s="302">
        <f>SUM(B292:B293)</f>
        <v>52.338552920317497</v>
      </c>
      <c r="C294" s="299" t="str">
        <f>CONCATENATE("(",ROUND((B294/$H294)*100,1),")")</f>
        <v>(79.4)</v>
      </c>
      <c r="D294" s="302">
        <f>SUM(D292:D293)</f>
        <v>6.3815911435893264</v>
      </c>
      <c r="E294" s="299" t="str">
        <f>CONCATENATE("(",ROUND((D294/$H294)*100,1),")")</f>
        <v>(9.7)</v>
      </c>
      <c r="F294" s="302">
        <f>SUM(F292:F293)</f>
        <v>7.2368559360932831</v>
      </c>
      <c r="G294" s="299" t="str">
        <f>CONCATENATE("(",ROUND((F294/$H294)*100,1),")")</f>
        <v>(11)</v>
      </c>
      <c r="H294" s="302">
        <f>SUM(H292:H293)</f>
        <v>65.957000000000107</v>
      </c>
      <c r="I294" s="299" t="str">
        <f>CONCATENATE("(",ROUND((H294/$H294)*100,1),")")</f>
        <v>(100)</v>
      </c>
      <c r="K294" s="302">
        <f t="shared" si="227"/>
        <v>7.3159482069997495</v>
      </c>
      <c r="L294" s="302">
        <f t="shared" si="228"/>
        <v>0.76344750286890406</v>
      </c>
      <c r="M294" s="302">
        <f t="shared" si="229"/>
        <v>1.2186042901314282</v>
      </c>
      <c r="N294" s="302">
        <f t="shared" si="230"/>
        <v>9.29800000000008</v>
      </c>
    </row>
    <row r="295" spans="1:14" x14ac:dyDescent="0.2">
      <c r="A295" s="293"/>
      <c r="B295" s="294"/>
      <c r="C295" s="293"/>
      <c r="D295" s="294"/>
      <c r="E295" s="293"/>
      <c r="F295" s="294"/>
      <c r="G295" s="293"/>
      <c r="H295" s="294"/>
      <c r="I295" s="293"/>
      <c r="J295" s="293"/>
      <c r="K295" s="294"/>
      <c r="L295" s="294"/>
      <c r="M295" s="294"/>
      <c r="N295" s="294"/>
    </row>
    <row r="299" spans="1:14" x14ac:dyDescent="0.2">
      <c r="A299" s="288"/>
      <c r="B299" s="289" t="s">
        <v>372</v>
      </c>
      <c r="C299" s="288"/>
      <c r="D299" s="289"/>
      <c r="E299" s="288"/>
      <c r="F299" s="289" t="str">
        <f>name!B17</f>
        <v>Finance and insurance</v>
      </c>
      <c r="G299" s="288"/>
      <c r="H299" s="291"/>
      <c r="I299" s="288"/>
      <c r="J299" s="290"/>
      <c r="K299" s="291"/>
      <c r="L299" s="291"/>
      <c r="M299" s="291"/>
      <c r="N299" s="291"/>
    </row>
    <row r="300" spans="1:14" x14ac:dyDescent="0.2">
      <c r="N300" s="287" t="s">
        <v>370</v>
      </c>
    </row>
    <row r="301" spans="1:14" x14ac:dyDescent="0.2">
      <c r="A301" s="182" t="s">
        <v>371</v>
      </c>
      <c r="B301" s="372" t="s">
        <v>369</v>
      </c>
      <c r="C301" s="372"/>
      <c r="D301" s="372" t="s">
        <v>368</v>
      </c>
      <c r="E301" s="372"/>
      <c r="F301" s="372" t="s">
        <v>367</v>
      </c>
      <c r="G301" s="372"/>
      <c r="H301" s="372" t="s">
        <v>33</v>
      </c>
      <c r="I301" s="372"/>
      <c r="J301" s="182"/>
      <c r="K301" s="297" t="s">
        <v>345</v>
      </c>
      <c r="L301" s="297" t="s">
        <v>347</v>
      </c>
      <c r="M301" s="297" t="s">
        <v>343</v>
      </c>
      <c r="N301" s="297" t="s">
        <v>33</v>
      </c>
    </row>
    <row r="302" spans="1:14" x14ac:dyDescent="0.2">
      <c r="A302" s="292">
        <f>$A$8</f>
        <v>2020</v>
      </c>
      <c r="B302" s="287" t="s">
        <v>66</v>
      </c>
      <c r="C302" s="20" t="s">
        <v>366</v>
      </c>
      <c r="D302" s="287" t="s">
        <v>66</v>
      </c>
      <c r="E302" s="20" t="s">
        <v>366</v>
      </c>
      <c r="F302" s="287" t="s">
        <v>66</v>
      </c>
      <c r="G302" s="20" t="s">
        <v>366</v>
      </c>
      <c r="H302" s="287" t="s">
        <v>66</v>
      </c>
      <c r="I302" s="20" t="s">
        <v>366</v>
      </c>
      <c r="J302" s="182"/>
      <c r="K302" s="286" t="str">
        <f>CONCATENATE(A302," - ",A307)</f>
        <v>2020 - 2025</v>
      </c>
      <c r="L302" s="285"/>
      <c r="M302" s="285"/>
    </row>
    <row r="303" spans="1:14" x14ac:dyDescent="0.2">
      <c r="A303" s="282" t="s">
        <v>364</v>
      </c>
      <c r="B303" s="302">
        <f>'Ind T6'!L126</f>
        <v>9.9711839684527259</v>
      </c>
      <c r="C303" s="299" t="str">
        <f>CONCATENATE("(",ROUND((B303/$H305)*100,1),")")</f>
        <v>(42.3)</v>
      </c>
      <c r="D303" s="302">
        <f>'Ind T6'!M126</f>
        <v>0.42969542561593271</v>
      </c>
      <c r="E303" s="299" t="str">
        <f>CONCATENATE("(",ROUND((D303/$H305)*100,1),")")</f>
        <v>(1.8)</v>
      </c>
      <c r="F303" s="302">
        <f>'Ind T6'!N126</f>
        <v>2.1878537781692677</v>
      </c>
      <c r="G303" s="299" t="str">
        <f>CONCATENATE("(",ROUND((F303/$H305)*100,1),")")</f>
        <v>(9.3)</v>
      </c>
      <c r="H303" s="302">
        <f>SUM(B303,D303,F303)</f>
        <v>12.588733172237927</v>
      </c>
      <c r="I303" s="299" t="str">
        <f>CONCATENATE("(",ROUND((H303/$H305)*100,1),")")</f>
        <v>(53.4)</v>
      </c>
      <c r="K303" s="302">
        <f>B308-B303</f>
        <v>-0.24273031082304897</v>
      </c>
      <c r="L303" s="302">
        <f>D308-D303</f>
        <v>7.104195178390782E-3</v>
      </c>
      <c r="M303" s="302">
        <f>F308-F303</f>
        <v>5.3752289222168237E-2</v>
      </c>
      <c r="N303" s="302">
        <f>SUM(K303:M303)</f>
        <v>-0.18187382642248995</v>
      </c>
    </row>
    <row r="304" spans="1:14" x14ac:dyDescent="0.2">
      <c r="A304" s="282" t="s">
        <v>365</v>
      </c>
      <c r="B304" s="302">
        <f>'Ind T6'!L125</f>
        <v>8.2175620963217373</v>
      </c>
      <c r="C304" s="299" t="str">
        <f>CONCATENATE("(",ROUND((B304/$H305)*100,1),")")</f>
        <v>(34.9)</v>
      </c>
      <c r="D304" s="302">
        <f>'Ind T6'!M125</f>
        <v>2.3157825260690768</v>
      </c>
      <c r="E304" s="299" t="str">
        <f>CONCATENATE("(",ROUND((D304/$H305)*100,1),")")</f>
        <v>(9.8)</v>
      </c>
      <c r="F304" s="302">
        <f>'Ind T6'!N125</f>
        <v>0.45292220537130534</v>
      </c>
      <c r="G304" s="299" t="str">
        <f>CONCATENATE("(",ROUND((F304/$H305)*100,1),")")</f>
        <v>(1.9)</v>
      </c>
      <c r="H304" s="302">
        <f t="shared" ref="H304" si="231">SUM(B304,D304,F304)</f>
        <v>10.986266827762119</v>
      </c>
      <c r="I304" s="299" t="str">
        <f>CONCATENATE("(",ROUND((H304/$H305)*100,1),")")</f>
        <v>(46.6)</v>
      </c>
      <c r="K304" s="302">
        <f t="shared" ref="K304:K305" si="232">B309-B304</f>
        <v>-0.23393697383098289</v>
      </c>
      <c r="L304" s="302">
        <f t="shared" ref="L304:L305" si="233">D309-D304</f>
        <v>-9.0036879029379513E-2</v>
      </c>
      <c r="M304" s="302">
        <f t="shared" ref="M304:M305" si="234">F309-F304</f>
        <v>6.847679282812047E-3</v>
      </c>
      <c r="N304" s="302">
        <f t="shared" ref="N304:N305" si="235">SUM(K304:M304)</f>
        <v>-0.31712617357755035</v>
      </c>
    </row>
    <row r="305" spans="1:14" x14ac:dyDescent="0.2">
      <c r="A305" s="282" t="s">
        <v>363</v>
      </c>
      <c r="B305" s="302">
        <f>SUM(B303:B304)</f>
        <v>18.188746064774463</v>
      </c>
      <c r="C305" s="299" t="str">
        <f>CONCATENATE("(",ROUND((B305/$H305)*100,1),")")</f>
        <v>(77.2)</v>
      </c>
      <c r="D305" s="302">
        <f>SUM(D303:D304)</f>
        <v>2.7454779516850096</v>
      </c>
      <c r="E305" s="299" t="str">
        <f>CONCATENATE("(",ROUND((D305/$H305)*100,1),")")</f>
        <v>(11.6)</v>
      </c>
      <c r="F305" s="302">
        <f>SUM(F303:F304)</f>
        <v>2.6407759835405731</v>
      </c>
      <c r="G305" s="299" t="str">
        <f>CONCATENATE("(",ROUND((F305/$H305)*100,1),")")</f>
        <v>(11.2)</v>
      </c>
      <c r="H305" s="302">
        <f>SUM(H303:H304)</f>
        <v>23.575000000000045</v>
      </c>
      <c r="I305" s="299" t="str">
        <f>CONCATENATE("(",ROUND((H305/$H305)*100,1),")")</f>
        <v>(100)</v>
      </c>
      <c r="K305" s="302">
        <f t="shared" si="232"/>
        <v>-0.47666728465403096</v>
      </c>
      <c r="L305" s="302">
        <f t="shared" si="233"/>
        <v>-8.2932683850988731E-2</v>
      </c>
      <c r="M305" s="302">
        <f t="shared" si="234"/>
        <v>6.0599968504980062E-2</v>
      </c>
      <c r="N305" s="302">
        <f t="shared" si="235"/>
        <v>-0.49900000000003963</v>
      </c>
    </row>
    <row r="306" spans="1:14" x14ac:dyDescent="0.2">
      <c r="B306" s="302"/>
      <c r="C306" s="284"/>
      <c r="D306" s="302"/>
      <c r="E306" s="284"/>
      <c r="F306" s="302"/>
      <c r="G306" s="284"/>
      <c r="H306" s="302"/>
      <c r="I306" s="284"/>
    </row>
    <row r="307" spans="1:14" x14ac:dyDescent="0.2">
      <c r="A307" s="292">
        <f>$A$13</f>
        <v>2025</v>
      </c>
      <c r="B307" s="302"/>
      <c r="C307" s="284"/>
      <c r="D307" s="302"/>
      <c r="E307" s="284"/>
      <c r="F307" s="302"/>
      <c r="G307" s="284"/>
      <c r="H307" s="302"/>
      <c r="I307" s="284"/>
      <c r="K307" s="286" t="str">
        <f>CONCATENATE(A307," - ",A312)</f>
        <v>2025 - 2035</v>
      </c>
    </row>
    <row r="308" spans="1:14" x14ac:dyDescent="0.2">
      <c r="A308" s="282" t="s">
        <v>364</v>
      </c>
      <c r="B308" s="302">
        <f>'Ind T6'!Q126</f>
        <v>9.728453657629677</v>
      </c>
      <c r="C308" s="299" t="str">
        <f>CONCATENATE("(",ROUND((B308/$H310)*100,1),")")</f>
        <v>(42.2)</v>
      </c>
      <c r="D308" s="302">
        <f>'Ind T6'!R126</f>
        <v>0.4367996207943235</v>
      </c>
      <c r="E308" s="299" t="str">
        <f>CONCATENATE("(",ROUND((D308/$H310)*100,1),")")</f>
        <v>(1.9)</v>
      </c>
      <c r="F308" s="302">
        <f>'Ind T6'!S126</f>
        <v>2.241606067391436</v>
      </c>
      <c r="G308" s="299" t="str">
        <f>CONCATENATE("(",ROUND((F308/$H310)*100,1),")")</f>
        <v>(9.7)</v>
      </c>
      <c r="H308" s="302">
        <f>SUM(B308,D308,F308)</f>
        <v>12.406859345815436</v>
      </c>
      <c r="I308" s="299" t="str">
        <f>CONCATENATE("(",ROUND((H308/$H310)*100,1),")")</f>
        <v>(53.8)</v>
      </c>
      <c r="K308" s="302">
        <f>B313-B308</f>
        <v>-0.68161818568782451</v>
      </c>
      <c r="L308" s="302">
        <f>D313-D308</f>
        <v>-2.7859407989682672E-3</v>
      </c>
      <c r="M308" s="302">
        <f>F313-F308</f>
        <v>-7.3012023850870467E-2</v>
      </c>
      <c r="N308" s="302">
        <f>SUM(K308:M308)</f>
        <v>-0.7574161503376633</v>
      </c>
    </row>
    <row r="309" spans="1:14" x14ac:dyDescent="0.2">
      <c r="A309" s="282" t="s">
        <v>365</v>
      </c>
      <c r="B309" s="302">
        <f>'Ind T6'!Q125</f>
        <v>7.9836251224907544</v>
      </c>
      <c r="C309" s="299" t="str">
        <f>CONCATENATE("(",ROUND((B309/$H310)*100,1),")")</f>
        <v>(34.6)</v>
      </c>
      <c r="D309" s="302">
        <f>'Ind T6'!R125</f>
        <v>2.2257456470396972</v>
      </c>
      <c r="E309" s="299" t="str">
        <f>CONCATENATE("(",ROUND((D309/$H310)*100,1),")")</f>
        <v>(9.6)</v>
      </c>
      <c r="F309" s="302">
        <f>'Ind T6'!S125</f>
        <v>0.45976988465411739</v>
      </c>
      <c r="G309" s="299" t="str">
        <f>CONCATENATE("(",ROUND((F309/$H310)*100,1),")")</f>
        <v>(2)</v>
      </c>
      <c r="H309" s="302">
        <f t="shared" ref="H309" si="236">SUM(B309,D309,F309)</f>
        <v>10.669140654184568</v>
      </c>
      <c r="I309" s="299" t="str">
        <f>CONCATENATE("(",ROUND((H309/$H310)*100,1),")")</f>
        <v>(46.2)</v>
      </c>
      <c r="K309" s="302">
        <f t="shared" ref="K309:K310" si="237">B314-B309</f>
        <v>-0.58327721596636373</v>
      </c>
      <c r="L309" s="302">
        <f t="shared" ref="L309:L310" si="238">D314-D309</f>
        <v>-0.18155042902865004</v>
      </c>
      <c r="M309" s="302">
        <f t="shared" ref="M309:M310" si="239">F314-F309</f>
        <v>-2.5756204667316707E-2</v>
      </c>
      <c r="N309" s="302">
        <f t="shared" ref="N309:N310" si="240">SUM(K309:M309)</f>
        <v>-0.79058384966233053</v>
      </c>
    </row>
    <row r="310" spans="1:14" x14ac:dyDescent="0.2">
      <c r="A310" s="282" t="s">
        <v>363</v>
      </c>
      <c r="B310" s="302">
        <f>SUM(B308:B309)</f>
        <v>17.712078780120432</v>
      </c>
      <c r="C310" s="299" t="str">
        <f>CONCATENATE("(",ROUND((B310/$H310)*100,1),")")</f>
        <v>(76.8)</v>
      </c>
      <c r="D310" s="302">
        <f>SUM(D308:D309)</f>
        <v>2.6625452678340209</v>
      </c>
      <c r="E310" s="299" t="str">
        <f>CONCATENATE("(",ROUND((D310/$H310)*100,1),")")</f>
        <v>(11.5)</v>
      </c>
      <c r="F310" s="302">
        <f>SUM(F308:F309)</f>
        <v>2.7013759520455531</v>
      </c>
      <c r="G310" s="299" t="str">
        <f>CONCATENATE("(",ROUND((F310/$H310)*100,1),")")</f>
        <v>(11.7)</v>
      </c>
      <c r="H310" s="302">
        <f>SUM(H308:H309)</f>
        <v>23.076000000000004</v>
      </c>
      <c r="I310" s="299" t="str">
        <f>CONCATENATE("(",ROUND((H310/$H310)*100,1),")")</f>
        <v>(100)</v>
      </c>
      <c r="K310" s="302">
        <f t="shared" si="237"/>
        <v>-1.26489540165419</v>
      </c>
      <c r="L310" s="302">
        <f t="shared" si="238"/>
        <v>-0.18433636982761836</v>
      </c>
      <c r="M310" s="302">
        <f t="shared" si="239"/>
        <v>-9.8768228518186785E-2</v>
      </c>
      <c r="N310" s="302">
        <f t="shared" si="240"/>
        <v>-1.5479999999999952</v>
      </c>
    </row>
    <row r="311" spans="1:14" x14ac:dyDescent="0.2">
      <c r="B311" s="302"/>
      <c r="C311" s="284"/>
      <c r="D311" s="302"/>
      <c r="E311" s="284"/>
      <c r="F311" s="302"/>
      <c r="G311" s="284"/>
      <c r="H311" s="302"/>
      <c r="I311" s="284"/>
    </row>
    <row r="312" spans="1:14" x14ac:dyDescent="0.2">
      <c r="A312" s="292">
        <f>$A$18</f>
        <v>2035</v>
      </c>
      <c r="B312" s="302"/>
      <c r="C312" s="284"/>
      <c r="D312" s="302"/>
      <c r="E312" s="284"/>
      <c r="F312" s="302"/>
      <c r="G312" s="284"/>
      <c r="H312" s="302"/>
      <c r="I312" s="284"/>
      <c r="K312" s="286" t="str">
        <f>CONCATENATE(A302," - ",A312)</f>
        <v>2020 - 2035</v>
      </c>
    </row>
    <row r="313" spans="1:14" x14ac:dyDescent="0.2">
      <c r="A313" s="282" t="s">
        <v>364</v>
      </c>
      <c r="B313" s="302">
        <f>'Ind T6'!V126</f>
        <v>9.0468354719418524</v>
      </c>
      <c r="C313" s="299" t="str">
        <f>CONCATENATE("(",ROUND((B313/$H315)*100,1),")")</f>
        <v>(42)</v>
      </c>
      <c r="D313" s="302">
        <f>'Ind T6'!W126</f>
        <v>0.43401367999535523</v>
      </c>
      <c r="E313" s="299" t="str">
        <f>CONCATENATE("(",ROUND((D313/$H315)*100,1),")")</f>
        <v>(2)</v>
      </c>
      <c r="F313" s="302">
        <f>'Ind T6'!X126</f>
        <v>2.1685940435405655</v>
      </c>
      <c r="G313" s="299" t="str">
        <f>CONCATENATE("(",ROUND((F313/$H315)*100,1),")")</f>
        <v>(10.1)</v>
      </c>
      <c r="H313" s="302">
        <f>SUM(B313,D313,F313)</f>
        <v>11.649443195477772</v>
      </c>
      <c r="I313" s="299" t="str">
        <f>CONCATENATE("(",ROUND((H313/$H315)*100,1),")")</f>
        <v>(54.1)</v>
      </c>
      <c r="K313" s="302">
        <f>B313-B303</f>
        <v>-0.92434849651087347</v>
      </c>
      <c r="L313" s="302">
        <f>D313-D303</f>
        <v>4.3182543794225148E-3</v>
      </c>
      <c r="M313" s="302">
        <f>F313-F303</f>
        <v>-1.925973462870223E-2</v>
      </c>
      <c r="N313" s="302">
        <f>SUM(K313:M313)</f>
        <v>-0.93928997676015324</v>
      </c>
    </row>
    <row r="314" spans="1:14" x14ac:dyDescent="0.2">
      <c r="A314" s="282" t="s">
        <v>365</v>
      </c>
      <c r="B314" s="302">
        <f>'Ind T6'!V125</f>
        <v>7.4003479065243907</v>
      </c>
      <c r="C314" s="299" t="str">
        <f>CONCATENATE("(",ROUND((B314/$H315)*100,1),")")</f>
        <v>(34.4)</v>
      </c>
      <c r="D314" s="302">
        <f>'Ind T6'!W125</f>
        <v>2.0441952180110472</v>
      </c>
      <c r="E314" s="299" t="str">
        <f>CONCATENATE("(",ROUND((D314/$H315)*100,1),")")</f>
        <v>(9.5)</v>
      </c>
      <c r="F314" s="302">
        <f>'Ind T6'!X125</f>
        <v>0.43401367998680068</v>
      </c>
      <c r="G314" s="299" t="str">
        <f>CONCATENATE("(",ROUND((F314/$H315)*100,1),")")</f>
        <v>(2)</v>
      </c>
      <c r="H314" s="302">
        <f t="shared" ref="H314" si="241">SUM(B314,D314,F314)</f>
        <v>9.8785568045222387</v>
      </c>
      <c r="I314" s="299" t="str">
        <f>CONCATENATE("(",ROUND((H314/$H315)*100,1),")")</f>
        <v>(45.9)</v>
      </c>
      <c r="K314" s="302">
        <f t="shared" ref="K314:K315" si="242">B314-B304</f>
        <v>-0.81721418979734661</v>
      </c>
      <c r="L314" s="302">
        <f t="shared" ref="L314:L315" si="243">D314-D304</f>
        <v>-0.27158730805802955</v>
      </c>
      <c r="M314" s="302">
        <f t="shared" ref="M314:M315" si="244">F314-F304</f>
        <v>-1.890852538450466E-2</v>
      </c>
      <c r="N314" s="302">
        <f t="shared" ref="N314:N315" si="245">SUM(K314:M314)</f>
        <v>-1.1077100232398809</v>
      </c>
    </row>
    <row r="315" spans="1:14" x14ac:dyDescent="0.2">
      <c r="A315" s="282" t="s">
        <v>363</v>
      </c>
      <c r="B315" s="302">
        <f>SUM(B313:B314)</f>
        <v>16.447183378466242</v>
      </c>
      <c r="C315" s="299" t="str">
        <f>CONCATENATE("(",ROUND((B315/$H315)*100,1),")")</f>
        <v>(76.4)</v>
      </c>
      <c r="D315" s="302">
        <f>SUM(D313:D314)</f>
        <v>2.4782088980064025</v>
      </c>
      <c r="E315" s="299" t="str">
        <f>CONCATENATE("(",ROUND((D315/$H315)*100,1),")")</f>
        <v>(11.5)</v>
      </c>
      <c r="F315" s="302">
        <f>SUM(F313:F314)</f>
        <v>2.6026077235273664</v>
      </c>
      <c r="G315" s="299" t="str">
        <f>CONCATENATE("(",ROUND((F315/$H315)*100,1),")")</f>
        <v>(12.1)</v>
      </c>
      <c r="H315" s="302">
        <f>SUM(H313:H314)</f>
        <v>21.528000000000013</v>
      </c>
      <c r="I315" s="299" t="str">
        <f>CONCATENATE("(",ROUND((H315/$H315)*100,1),")")</f>
        <v>(100)</v>
      </c>
      <c r="K315" s="302">
        <f t="shared" si="242"/>
        <v>-1.741562686308221</v>
      </c>
      <c r="L315" s="302">
        <f t="shared" si="243"/>
        <v>-0.26726905367860709</v>
      </c>
      <c r="M315" s="302">
        <f t="shared" si="244"/>
        <v>-3.8168260013206723E-2</v>
      </c>
      <c r="N315" s="302">
        <f t="shared" si="245"/>
        <v>-2.0470000000000348</v>
      </c>
    </row>
    <row r="316" spans="1:14" x14ac:dyDescent="0.2">
      <c r="A316" s="293"/>
      <c r="B316" s="294"/>
      <c r="C316" s="293"/>
      <c r="D316" s="294"/>
      <c r="E316" s="293"/>
      <c r="F316" s="294"/>
      <c r="G316" s="293"/>
      <c r="H316" s="294"/>
      <c r="I316" s="293"/>
      <c r="J316" s="293"/>
      <c r="K316" s="294"/>
      <c r="L316" s="294"/>
      <c r="M316" s="294"/>
      <c r="N316" s="294"/>
    </row>
    <row r="320" spans="1:14" x14ac:dyDescent="0.2">
      <c r="A320" s="288"/>
      <c r="B320" s="289" t="s">
        <v>372</v>
      </c>
      <c r="C320" s="288"/>
      <c r="D320" s="289"/>
      <c r="E320" s="288"/>
      <c r="F320" s="289" t="str">
        <f>name!B18</f>
        <v>Real estate</v>
      </c>
      <c r="G320" s="288"/>
      <c r="H320" s="291"/>
      <c r="I320" s="288"/>
      <c r="J320" s="290"/>
      <c r="K320" s="291"/>
      <c r="L320" s="291"/>
      <c r="M320" s="291"/>
      <c r="N320" s="291"/>
    </row>
    <row r="321" spans="1:14" x14ac:dyDescent="0.2">
      <c r="N321" s="287" t="s">
        <v>370</v>
      </c>
    </row>
    <row r="322" spans="1:14" x14ac:dyDescent="0.2">
      <c r="A322" s="182" t="s">
        <v>371</v>
      </c>
      <c r="B322" s="372" t="s">
        <v>369</v>
      </c>
      <c r="C322" s="372"/>
      <c r="D322" s="372" t="s">
        <v>368</v>
      </c>
      <c r="E322" s="372"/>
      <c r="F322" s="372" t="s">
        <v>367</v>
      </c>
      <c r="G322" s="372"/>
      <c r="H322" s="372" t="s">
        <v>33</v>
      </c>
      <c r="I322" s="372"/>
      <c r="J322" s="182"/>
      <c r="K322" s="297" t="s">
        <v>345</v>
      </c>
      <c r="L322" s="297" t="s">
        <v>347</v>
      </c>
      <c r="M322" s="297" t="s">
        <v>343</v>
      </c>
      <c r="N322" s="297" t="s">
        <v>33</v>
      </c>
    </row>
    <row r="323" spans="1:14" x14ac:dyDescent="0.2">
      <c r="A323" s="292">
        <f>$A$8</f>
        <v>2020</v>
      </c>
      <c r="B323" s="287" t="s">
        <v>66</v>
      </c>
      <c r="C323" s="20" t="s">
        <v>366</v>
      </c>
      <c r="D323" s="287" t="s">
        <v>66</v>
      </c>
      <c r="E323" s="20" t="s">
        <v>366</v>
      </c>
      <c r="F323" s="287" t="s">
        <v>66</v>
      </c>
      <c r="G323" s="20" t="s">
        <v>366</v>
      </c>
      <c r="H323" s="287" t="s">
        <v>66</v>
      </c>
      <c r="I323" s="20" t="s">
        <v>366</v>
      </c>
      <c r="J323" s="182"/>
      <c r="K323" s="286" t="str">
        <f>CONCATENATE(A323," - ",A328)</f>
        <v>2020 - 2025</v>
      </c>
      <c r="L323" s="285"/>
      <c r="M323" s="285"/>
    </row>
    <row r="324" spans="1:14" x14ac:dyDescent="0.2">
      <c r="A324" s="282" t="s">
        <v>364</v>
      </c>
      <c r="B324" s="302">
        <f>'Ind T6'!L135</f>
        <v>4.587305162356631</v>
      </c>
      <c r="C324" s="299" t="str">
        <f>CONCATENATE("(",ROUND((B324/$H326)*100,1),")")</f>
        <v>(30.1)</v>
      </c>
      <c r="D324" s="302">
        <f>'Ind T6'!M135</f>
        <v>1.1198143747608502</v>
      </c>
      <c r="E324" s="299" t="str">
        <f>CONCATENATE("(",ROUND((D324/$H326)*100,1),")")</f>
        <v>(7.4)</v>
      </c>
      <c r="F324" s="302">
        <f>'Ind T6'!N135</f>
        <v>0.71437338568625408</v>
      </c>
      <c r="G324" s="299" t="str">
        <f>CONCATENATE("(",ROUND((F324/$H326)*100,1),")")</f>
        <v>(4.7)</v>
      </c>
      <c r="H324" s="302">
        <f>SUM(B324,D324,F324)</f>
        <v>6.4214929228037354</v>
      </c>
      <c r="I324" s="299" t="str">
        <f>CONCATENATE("(",ROUND((H324/$H326)*100,1),")")</f>
        <v>(42.2)</v>
      </c>
      <c r="K324" s="302">
        <f>B329-B324</f>
        <v>-2.5991073793683483E-2</v>
      </c>
      <c r="L324" s="302">
        <f>D329-D324</f>
        <v>-3.4039361976256899E-3</v>
      </c>
      <c r="M324" s="302">
        <f>F329-F324</f>
        <v>3.3340013174892991E-2</v>
      </c>
      <c r="N324" s="302">
        <f>SUM(K324:M324)</f>
        <v>3.9450031835838173E-3</v>
      </c>
    </row>
    <row r="325" spans="1:14" x14ac:dyDescent="0.2">
      <c r="A325" s="282" t="s">
        <v>365</v>
      </c>
      <c r="B325" s="302">
        <f>'Ind T6'!L134</f>
        <v>4.4684177658177431</v>
      </c>
      <c r="C325" s="299" t="str">
        <f>CONCATENATE("(",ROUND((B325/$H326)*100,1),")")</f>
        <v>(29.3)</v>
      </c>
      <c r="D325" s="302">
        <f>'Ind T6'!M134</f>
        <v>3.4132921216038854</v>
      </c>
      <c r="E325" s="299" t="str">
        <f>CONCATENATE("(",ROUND((D325/$H326)*100,1),")")</f>
        <v>(22.4)</v>
      </c>
      <c r="F325" s="302">
        <f>'Ind T6'!N134</f>
        <v>0.92679718977463688</v>
      </c>
      <c r="G325" s="299" t="str">
        <f>CONCATENATE("(",ROUND((F325/$H326)*100,1),")")</f>
        <v>(6.1)</v>
      </c>
      <c r="H325" s="302">
        <f t="shared" ref="H325" si="246">SUM(B325,D325,F325)</f>
        <v>8.8085070771962659</v>
      </c>
      <c r="I325" s="299" t="str">
        <f>CONCATENATE("(",ROUND((H325/$H326)*100,1),")")</f>
        <v>(57.8)</v>
      </c>
      <c r="K325" s="302">
        <f t="shared" ref="K325:K326" si="247">B330-B325</f>
        <v>0.13627244517481696</v>
      </c>
      <c r="L325" s="302">
        <f t="shared" ref="L325:L326" si="248">D330-D325</f>
        <v>-0.1648053479495486</v>
      </c>
      <c r="M325" s="302">
        <f t="shared" ref="M325:M326" si="249">F330-F325</f>
        <v>8.5878995911476963E-3</v>
      </c>
      <c r="N325" s="302">
        <f t="shared" ref="N325:N326" si="250">SUM(K325:M325)</f>
        <v>-1.9945003183583943E-2</v>
      </c>
    </row>
    <row r="326" spans="1:14" x14ac:dyDescent="0.2">
      <c r="A326" s="282" t="s">
        <v>363</v>
      </c>
      <c r="B326" s="302">
        <f>SUM(B324:B325)</f>
        <v>9.0557229281743741</v>
      </c>
      <c r="C326" s="299" t="str">
        <f>CONCATENATE("(",ROUND((B326/$H326)*100,1),")")</f>
        <v>(59.5)</v>
      </c>
      <c r="D326" s="302">
        <f>SUM(D324:D325)</f>
        <v>4.5331064963647361</v>
      </c>
      <c r="E326" s="299" t="str">
        <f>CONCATENATE("(",ROUND((D326/$H326)*100,1),")")</f>
        <v>(29.8)</v>
      </c>
      <c r="F326" s="302">
        <f>SUM(F324:F325)</f>
        <v>1.641170575460891</v>
      </c>
      <c r="G326" s="299" t="str">
        <f>CONCATENATE("(",ROUND((F326/$H326)*100,1),")")</f>
        <v>(10.8)</v>
      </c>
      <c r="H326" s="302">
        <f>SUM(H324:H325)</f>
        <v>15.23</v>
      </c>
      <c r="I326" s="299" t="str">
        <f>CONCATENATE("(",ROUND((H326/$H326)*100,1),")")</f>
        <v>(100)</v>
      </c>
      <c r="K326" s="302">
        <f t="shared" si="247"/>
        <v>0.11028137138113259</v>
      </c>
      <c r="L326" s="302">
        <f t="shared" si="248"/>
        <v>-0.16820928414717429</v>
      </c>
      <c r="M326" s="302">
        <f t="shared" si="249"/>
        <v>4.1927912766040576E-2</v>
      </c>
      <c r="N326" s="302">
        <f t="shared" si="250"/>
        <v>-1.6000000000001124E-2</v>
      </c>
    </row>
    <row r="327" spans="1:14" x14ac:dyDescent="0.2">
      <c r="B327" s="302"/>
      <c r="C327" s="284"/>
      <c r="D327" s="302"/>
      <c r="E327" s="284"/>
      <c r="F327" s="302"/>
      <c r="G327" s="284"/>
      <c r="H327" s="302"/>
      <c r="I327" s="284"/>
    </row>
    <row r="328" spans="1:14" x14ac:dyDescent="0.2">
      <c r="A328" s="292">
        <f>$A$13</f>
        <v>2025</v>
      </c>
      <c r="B328" s="302"/>
      <c r="C328" s="284"/>
      <c r="D328" s="302"/>
      <c r="E328" s="284"/>
      <c r="F328" s="302"/>
      <c r="G328" s="284"/>
      <c r="H328" s="302"/>
      <c r="I328" s="284"/>
      <c r="K328" s="286" t="str">
        <f>CONCATENATE(A328," - ",A333)</f>
        <v>2025 - 2035</v>
      </c>
    </row>
    <row r="329" spans="1:14" x14ac:dyDescent="0.2">
      <c r="A329" s="282" t="s">
        <v>364</v>
      </c>
      <c r="B329" s="302">
        <f>'Ind T6'!Q135</f>
        <v>4.5613140885629475</v>
      </c>
      <c r="C329" s="299" t="str">
        <f>CONCATENATE("(",ROUND((B329/$H331)*100,1),")")</f>
        <v>(30)</v>
      </c>
      <c r="D329" s="302">
        <f>'Ind T6'!R135</f>
        <v>1.1164104385632245</v>
      </c>
      <c r="E329" s="299" t="str">
        <f>CONCATENATE("(",ROUND((D329/$H331)*100,1),")")</f>
        <v>(7.3)</v>
      </c>
      <c r="F329" s="302">
        <f>'Ind T6'!S135</f>
        <v>0.74771339886114707</v>
      </c>
      <c r="G329" s="299" t="str">
        <f>CONCATENATE("(",ROUND((F329/$H331)*100,1),")")</f>
        <v>(4.9)</v>
      </c>
      <c r="H329" s="302">
        <f>SUM(B329,D329,F329)</f>
        <v>6.4254379259873184</v>
      </c>
      <c r="I329" s="299" t="str">
        <f>CONCATENATE("(",ROUND((H329/$H331)*100,1),")")</f>
        <v>(42.2)</v>
      </c>
      <c r="K329" s="302">
        <f>B334-B329</f>
        <v>0.47335175728934686</v>
      </c>
      <c r="L329" s="302">
        <f>D334-D329</f>
        <v>0.13826554636232125</v>
      </c>
      <c r="M329" s="302">
        <f>F334-F329</f>
        <v>0.14895983405759738</v>
      </c>
      <c r="N329" s="302">
        <f>SUM(K329:M329)</f>
        <v>0.76057713770926549</v>
      </c>
    </row>
    <row r="330" spans="1:14" x14ac:dyDescent="0.2">
      <c r="A330" s="282" t="s">
        <v>365</v>
      </c>
      <c r="B330" s="302">
        <f>'Ind T6'!Q134</f>
        <v>4.60469021099256</v>
      </c>
      <c r="C330" s="299" t="str">
        <f>CONCATENATE("(",ROUND((B330/$H331)*100,1),")")</f>
        <v>(30.3)</v>
      </c>
      <c r="D330" s="302">
        <f>'Ind T6'!R134</f>
        <v>3.2484867736543368</v>
      </c>
      <c r="E330" s="299" t="str">
        <f>CONCATENATE("(",ROUND((D330/$H331)*100,1),")")</f>
        <v>(21.4)</v>
      </c>
      <c r="F330" s="302">
        <f>'Ind T6'!S134</f>
        <v>0.93538508936578457</v>
      </c>
      <c r="G330" s="299" t="str">
        <f>CONCATENATE("(",ROUND((F330/$H331)*100,1),")")</f>
        <v>(6.1)</v>
      </c>
      <c r="H330" s="302">
        <f t="shared" ref="H330" si="251">SUM(B330,D330,F330)</f>
        <v>8.7885620740126811</v>
      </c>
      <c r="I330" s="299" t="str">
        <f>CONCATENATE("(",ROUND((H330/$H331)*100,1),")")</f>
        <v>(57.8)</v>
      </c>
      <c r="K330" s="302">
        <f t="shared" ref="K330:K331" si="252">B335-B330</f>
        <v>0.8395476221540541</v>
      </c>
      <c r="L330" s="302">
        <f t="shared" ref="L330:L331" si="253">D335-D330</f>
        <v>3.5105346881493915E-2</v>
      </c>
      <c r="M330" s="302">
        <f t="shared" ref="M330:M331" si="254">F335-F330</f>
        <v>0.10476989325516894</v>
      </c>
      <c r="N330" s="302">
        <f t="shared" ref="N330:N331" si="255">SUM(K330:M330)</f>
        <v>0.97942286229071696</v>
      </c>
    </row>
    <row r="331" spans="1:14" x14ac:dyDescent="0.2">
      <c r="A331" s="282" t="s">
        <v>363</v>
      </c>
      <c r="B331" s="302">
        <f>SUM(B329:B330)</f>
        <v>9.1660042995555067</v>
      </c>
      <c r="C331" s="299" t="str">
        <f>CONCATENATE("(",ROUND((B331/$H331)*100,1),")")</f>
        <v>(60.2)</v>
      </c>
      <c r="D331" s="302">
        <f>SUM(D329:D330)</f>
        <v>4.3648972122175618</v>
      </c>
      <c r="E331" s="299" t="str">
        <f>CONCATENATE("(",ROUND((D331/$H331)*100,1),")")</f>
        <v>(28.7)</v>
      </c>
      <c r="F331" s="302">
        <f>SUM(F329:F330)</f>
        <v>1.6830984882269315</v>
      </c>
      <c r="G331" s="299" t="str">
        <f>CONCATENATE("(",ROUND((F331/$H331)*100,1),")")</f>
        <v>(11.1)</v>
      </c>
      <c r="H331" s="302">
        <f>SUM(H329:H330)</f>
        <v>15.213999999999999</v>
      </c>
      <c r="I331" s="299" t="str">
        <f>CONCATENATE("(",ROUND((H331/$H331)*100,1),")")</f>
        <v>(100)</v>
      </c>
      <c r="K331" s="302">
        <f t="shared" si="252"/>
        <v>1.312899379443401</v>
      </c>
      <c r="L331" s="302">
        <f t="shared" si="253"/>
        <v>0.17337089324381516</v>
      </c>
      <c r="M331" s="302">
        <f t="shared" si="254"/>
        <v>0.25372972731276633</v>
      </c>
      <c r="N331" s="302">
        <f t="shared" si="255"/>
        <v>1.7399999999999824</v>
      </c>
    </row>
    <row r="332" spans="1:14" x14ac:dyDescent="0.2">
      <c r="B332" s="302"/>
      <c r="C332" s="284"/>
      <c r="D332" s="302"/>
      <c r="E332" s="284"/>
      <c r="F332" s="302"/>
      <c r="G332" s="284"/>
      <c r="H332" s="302"/>
      <c r="I332" s="284"/>
    </row>
    <row r="333" spans="1:14" x14ac:dyDescent="0.2">
      <c r="A333" s="292">
        <f>$A$18</f>
        <v>2035</v>
      </c>
      <c r="B333" s="302"/>
      <c r="C333" s="284"/>
      <c r="D333" s="302"/>
      <c r="E333" s="284"/>
      <c r="F333" s="302"/>
      <c r="G333" s="284"/>
      <c r="H333" s="302"/>
      <c r="I333" s="284"/>
      <c r="K333" s="286" t="str">
        <f>CONCATENATE(A323," - ",A333)</f>
        <v>2020 - 2035</v>
      </c>
    </row>
    <row r="334" spans="1:14" x14ac:dyDescent="0.2">
      <c r="A334" s="282" t="s">
        <v>364</v>
      </c>
      <c r="B334" s="302">
        <f>'Ind T6'!V135</f>
        <v>5.0346658458522944</v>
      </c>
      <c r="C334" s="299" t="str">
        <f>CONCATENATE("(",ROUND((B334/$H336)*100,1),")")</f>
        <v>(29.7)</v>
      </c>
      <c r="D334" s="302">
        <f>'Ind T6'!W135</f>
        <v>1.2546759849255458</v>
      </c>
      <c r="E334" s="299" t="str">
        <f>CONCATENATE("(",ROUND((D334/$H336)*100,1),")")</f>
        <v>(7.4)</v>
      </c>
      <c r="F334" s="302">
        <f>'Ind T6'!X135</f>
        <v>0.89667323291874446</v>
      </c>
      <c r="G334" s="299" t="str">
        <f>CONCATENATE("(",ROUND((F334/$H336)*100,1),")")</f>
        <v>(5.3)</v>
      </c>
      <c r="H334" s="302">
        <f>SUM(B334,D334,F334)</f>
        <v>7.1860150636965843</v>
      </c>
      <c r="I334" s="299" t="str">
        <f>CONCATENATE("(",ROUND((H334/$H336)*100,1),")")</f>
        <v>(42.4)</v>
      </c>
      <c r="K334" s="302">
        <f>B334-B324</f>
        <v>0.44736068349566338</v>
      </c>
      <c r="L334" s="302">
        <f>D334-D324</f>
        <v>0.13486161016469556</v>
      </c>
      <c r="M334" s="302">
        <f>F334-F324</f>
        <v>0.18229984723249038</v>
      </c>
      <c r="N334" s="302">
        <f>SUM(K334:M334)</f>
        <v>0.76452214089284931</v>
      </c>
    </row>
    <row r="335" spans="1:14" x14ac:dyDescent="0.2">
      <c r="A335" s="282" t="s">
        <v>365</v>
      </c>
      <c r="B335" s="302">
        <f>'Ind T6'!V134</f>
        <v>5.4442378331466141</v>
      </c>
      <c r="C335" s="299" t="str">
        <f>CONCATENATE("(",ROUND((B335/$H336)*100,1),")")</f>
        <v>(32.1)</v>
      </c>
      <c r="D335" s="302">
        <f>'Ind T6'!W134</f>
        <v>3.2835921205358307</v>
      </c>
      <c r="E335" s="299" t="str">
        <f>CONCATENATE("(",ROUND((D335/$H336)*100,1),")")</f>
        <v>(19.4)</v>
      </c>
      <c r="F335" s="302">
        <f>'Ind T6'!X134</f>
        <v>1.0401549826209535</v>
      </c>
      <c r="G335" s="299" t="str">
        <f>CONCATENATE("(",ROUND((F335/$H336)*100,1),")")</f>
        <v>(6.1)</v>
      </c>
      <c r="H335" s="302">
        <f>SUM(B335,D335,F335)</f>
        <v>9.7679849363033977</v>
      </c>
      <c r="I335" s="299" t="str">
        <f>CONCATENATE("(",ROUND((H335/$H336)*100,1),")")</f>
        <v>(57.6)</v>
      </c>
      <c r="K335" s="302">
        <f t="shared" ref="K335:K336" si="256">B335-B325</f>
        <v>0.97582006732887105</v>
      </c>
      <c r="L335" s="302">
        <f t="shared" ref="L335:L336" si="257">D335-D325</f>
        <v>-0.12970000106805468</v>
      </c>
      <c r="M335" s="302">
        <f t="shared" ref="M335:M336" si="258">F335-F325</f>
        <v>0.11335779284631664</v>
      </c>
      <c r="N335" s="302">
        <f t="shared" ref="N335:N336" si="259">SUM(K335:M335)</f>
        <v>0.95947785910713301</v>
      </c>
    </row>
    <row r="336" spans="1:14" x14ac:dyDescent="0.2">
      <c r="A336" s="282" t="s">
        <v>363</v>
      </c>
      <c r="B336" s="302">
        <f>SUM(B334:B335)</f>
        <v>10.478903678998908</v>
      </c>
      <c r="C336" s="299" t="str">
        <f>CONCATENATE("(",ROUND((B336/$H336)*100,1),")")</f>
        <v>(61.8)</v>
      </c>
      <c r="D336" s="302">
        <f>SUM(D334:D335)</f>
        <v>4.5382681054613769</v>
      </c>
      <c r="E336" s="299" t="str">
        <f>CONCATENATE("(",ROUND((D336/$H336)*100,1),")")</f>
        <v>(26.8)</v>
      </c>
      <c r="F336" s="302">
        <f>SUM(F334:F335)</f>
        <v>1.9368282155396979</v>
      </c>
      <c r="G336" s="299" t="str">
        <f>CONCATENATE("(",ROUND((F336/$H336)*100,1),")")</f>
        <v>(11.4)</v>
      </c>
      <c r="H336" s="302">
        <f>SUM(H334:H335)</f>
        <v>16.953999999999983</v>
      </c>
      <c r="I336" s="299" t="str">
        <f>CONCATENATE("(",ROUND((H336/$H336)*100,1),")")</f>
        <v>(100)</v>
      </c>
      <c r="K336" s="302">
        <f t="shared" si="256"/>
        <v>1.4231807508245335</v>
      </c>
      <c r="L336" s="302">
        <f t="shared" si="257"/>
        <v>5.1616090966408734E-3</v>
      </c>
      <c r="M336" s="302">
        <f t="shared" si="258"/>
        <v>0.2956576400788069</v>
      </c>
      <c r="N336" s="302">
        <f t="shared" si="259"/>
        <v>1.7239999999999813</v>
      </c>
    </row>
    <row r="337" spans="1:14" x14ac:dyDescent="0.2">
      <c r="A337" s="293"/>
      <c r="B337" s="294"/>
      <c r="C337" s="293"/>
      <c r="D337" s="294"/>
      <c r="E337" s="293"/>
      <c r="F337" s="294"/>
      <c r="G337" s="293"/>
      <c r="H337" s="294"/>
      <c r="I337" s="293"/>
      <c r="J337" s="293"/>
      <c r="K337" s="294"/>
      <c r="L337" s="294"/>
      <c r="M337" s="294"/>
      <c r="N337" s="294"/>
    </row>
    <row r="341" spans="1:14" x14ac:dyDescent="0.2">
      <c r="A341" s="288"/>
      <c r="B341" s="289" t="s">
        <v>372</v>
      </c>
      <c r="C341" s="288"/>
      <c r="D341" s="289"/>
      <c r="E341" s="288"/>
      <c r="F341" s="289" t="str">
        <f>name!B19</f>
        <v>Professional services</v>
      </c>
      <c r="G341" s="288"/>
      <c r="H341" s="291"/>
      <c r="I341" s="288"/>
      <c r="J341" s="290"/>
      <c r="K341" s="291"/>
      <c r="L341" s="291"/>
      <c r="M341" s="291"/>
      <c r="N341" s="291"/>
    </row>
    <row r="342" spans="1:14" x14ac:dyDescent="0.2">
      <c r="N342" s="287" t="s">
        <v>370</v>
      </c>
    </row>
    <row r="343" spans="1:14" x14ac:dyDescent="0.2">
      <c r="A343" s="182" t="s">
        <v>371</v>
      </c>
      <c r="B343" s="372" t="s">
        <v>369</v>
      </c>
      <c r="C343" s="372"/>
      <c r="D343" s="372" t="s">
        <v>368</v>
      </c>
      <c r="E343" s="372"/>
      <c r="F343" s="372" t="s">
        <v>367</v>
      </c>
      <c r="G343" s="372"/>
      <c r="H343" s="372" t="s">
        <v>33</v>
      </c>
      <c r="I343" s="372"/>
      <c r="J343" s="182"/>
      <c r="K343" s="297" t="s">
        <v>345</v>
      </c>
      <c r="L343" s="297" t="s">
        <v>347</v>
      </c>
      <c r="M343" s="297" t="s">
        <v>343</v>
      </c>
      <c r="N343" s="297" t="s">
        <v>33</v>
      </c>
    </row>
    <row r="344" spans="1:14" x14ac:dyDescent="0.2">
      <c r="A344" s="292">
        <f>$A$8</f>
        <v>2020</v>
      </c>
      <c r="B344" s="287" t="s">
        <v>66</v>
      </c>
      <c r="C344" s="20" t="s">
        <v>366</v>
      </c>
      <c r="D344" s="287" t="s">
        <v>66</v>
      </c>
      <c r="E344" s="20" t="s">
        <v>366</v>
      </c>
      <c r="F344" s="287" t="s">
        <v>66</v>
      </c>
      <c r="G344" s="20" t="s">
        <v>366</v>
      </c>
      <c r="H344" s="287" t="s">
        <v>66</v>
      </c>
      <c r="I344" s="20" t="s">
        <v>366</v>
      </c>
      <c r="J344" s="182"/>
      <c r="K344" s="286" t="str">
        <f>CONCATENATE(A344," - ",A349)</f>
        <v>2020 - 2025</v>
      </c>
      <c r="L344" s="285"/>
      <c r="M344" s="285"/>
    </row>
    <row r="345" spans="1:14" x14ac:dyDescent="0.2">
      <c r="A345" s="282" t="s">
        <v>364</v>
      </c>
      <c r="B345" s="302">
        <f>'Ind T6'!L144</f>
        <v>37.446641517647734</v>
      </c>
      <c r="C345" s="299" t="str">
        <f>CONCATENATE("(",ROUND((B345/$H347)*100,1),")")</f>
        <v>(40.2)</v>
      </c>
      <c r="D345" s="302">
        <f>'Ind T6'!M144</f>
        <v>5.9980561981129918</v>
      </c>
      <c r="E345" s="299" t="str">
        <f>CONCATENATE("(",ROUND((D345/$H347)*100,1),")")</f>
        <v>(6.4)</v>
      </c>
      <c r="F345" s="302">
        <f>'Ind T6'!N144</f>
        <v>7.6929053817905926</v>
      </c>
      <c r="G345" s="299" t="str">
        <f>CONCATENATE("(",ROUND((F345/$H347)*100,1),")")</f>
        <v>(8.3)</v>
      </c>
      <c r="H345" s="302">
        <f>SUM(B345,D345,F345)</f>
        <v>51.13760309755132</v>
      </c>
      <c r="I345" s="299" t="str">
        <f>CONCATENATE("(",ROUND((H345/$H347)*100,1),")")</f>
        <v>(54.9)</v>
      </c>
      <c r="K345" s="302">
        <f>B350-B345</f>
        <v>0.94140431611518949</v>
      </c>
      <c r="L345" s="302">
        <f>D350-D345</f>
        <v>0.37814041045579572</v>
      </c>
      <c r="M345" s="302">
        <f>F350-F345</f>
        <v>0.4096290206765909</v>
      </c>
      <c r="N345" s="302">
        <f>SUM(K345:M345)</f>
        <v>1.7291737472475761</v>
      </c>
    </row>
    <row r="346" spans="1:14" x14ac:dyDescent="0.2">
      <c r="A346" s="282" t="s">
        <v>365</v>
      </c>
      <c r="B346" s="302">
        <f>'Ind T6'!L143</f>
        <v>25.049145386783362</v>
      </c>
      <c r="C346" s="299" t="str">
        <f>CONCATENATE("(",ROUND((B346/$H347)*100,1),")")</f>
        <v>(26.9)</v>
      </c>
      <c r="D346" s="302">
        <f>'Ind T6'!M143</f>
        <v>10.604634639868312</v>
      </c>
      <c r="E346" s="299" t="str">
        <f>CONCATENATE("(",ROUND((D346/$H347)*100,1),")")</f>
        <v>(11.4)</v>
      </c>
      <c r="F346" s="302">
        <f>'Ind T6'!N143</f>
        <v>6.3606168757969606</v>
      </c>
      <c r="G346" s="299" t="str">
        <f>CONCATENATE("(",ROUND((F346/$H347)*100,1),")")</f>
        <v>(6.8)</v>
      </c>
      <c r="H346" s="302">
        <f t="shared" ref="H346" si="260">SUM(B346,D346,F346)</f>
        <v>42.014396902448638</v>
      </c>
      <c r="I346" s="299" t="str">
        <f>CONCATENATE("(",ROUND((H346/$H347)*100,1),")")</f>
        <v>(45.1)</v>
      </c>
      <c r="K346" s="302">
        <f t="shared" ref="K346:K347" si="261">B351-B346</f>
        <v>1.4307100134341866</v>
      </c>
      <c r="L346" s="302">
        <f t="shared" ref="L346:L347" si="262">D351-D346</f>
        <v>0.61866836360172783</v>
      </c>
      <c r="M346" s="302">
        <f t="shared" ref="M346:M347" si="263">F351-F346</f>
        <v>0.57444787571642841</v>
      </c>
      <c r="N346" s="302">
        <f t="shared" ref="N346:N347" si="264">SUM(K346:M346)</f>
        <v>2.6238262527523428</v>
      </c>
    </row>
    <row r="347" spans="1:14" x14ac:dyDescent="0.2">
      <c r="A347" s="282" t="s">
        <v>363</v>
      </c>
      <c r="B347" s="302">
        <f>SUM(B345:B346)</f>
        <v>62.4957869044311</v>
      </c>
      <c r="C347" s="299" t="str">
        <f>CONCATENATE("(",ROUND((B347/$H347)*100,1),")")</f>
        <v>(67.1)</v>
      </c>
      <c r="D347" s="302">
        <f>SUM(D345:D346)</f>
        <v>16.602690837981303</v>
      </c>
      <c r="E347" s="299" t="str">
        <f>CONCATENATE("(",ROUND((D347/$H347)*100,1),")")</f>
        <v>(17.8)</v>
      </c>
      <c r="F347" s="302">
        <f>SUM(F345:F346)</f>
        <v>14.053522257587552</v>
      </c>
      <c r="G347" s="299" t="str">
        <f>CONCATENATE("(",ROUND((F347/$H347)*100,1),")")</f>
        <v>(15.1)</v>
      </c>
      <c r="H347" s="302">
        <f>SUM(H345:H346)</f>
        <v>93.151999999999958</v>
      </c>
      <c r="I347" s="299" t="str">
        <f>CONCATENATE("(",ROUND((H347/$H347)*100,1),")")</f>
        <v>(100)</v>
      </c>
      <c r="K347" s="302">
        <f t="shared" si="261"/>
        <v>2.3721143295493761</v>
      </c>
      <c r="L347" s="302">
        <f t="shared" si="262"/>
        <v>0.99680877405752355</v>
      </c>
      <c r="M347" s="302">
        <f t="shared" si="263"/>
        <v>0.98407689639302021</v>
      </c>
      <c r="N347" s="302">
        <f t="shared" si="264"/>
        <v>4.3529999999999198</v>
      </c>
    </row>
    <row r="348" spans="1:14" x14ac:dyDescent="0.2">
      <c r="B348" s="302"/>
      <c r="C348" s="284"/>
      <c r="D348" s="302"/>
      <c r="E348" s="284"/>
      <c r="F348" s="302"/>
      <c r="G348" s="284"/>
      <c r="H348" s="302"/>
      <c r="I348" s="284"/>
    </row>
    <row r="349" spans="1:14" x14ac:dyDescent="0.2">
      <c r="A349" s="292">
        <f>$A$13</f>
        <v>2025</v>
      </c>
      <c r="B349" s="302"/>
      <c r="C349" s="284"/>
      <c r="D349" s="302"/>
      <c r="E349" s="284"/>
      <c r="F349" s="302"/>
      <c r="G349" s="284"/>
      <c r="H349" s="302"/>
      <c r="I349" s="284"/>
      <c r="K349" s="286" t="str">
        <f>CONCATENATE(A349," - ",A354)</f>
        <v>2025 - 2035</v>
      </c>
    </row>
    <row r="350" spans="1:14" x14ac:dyDescent="0.2">
      <c r="A350" s="282" t="s">
        <v>364</v>
      </c>
      <c r="B350" s="302">
        <f>'Ind T6'!Q144</f>
        <v>38.388045833762924</v>
      </c>
      <c r="C350" s="299" t="str">
        <f>CONCATENATE("(",ROUND((B350/$H352)*100,1),")")</f>
        <v>(39.4)</v>
      </c>
      <c r="D350" s="302">
        <f>'Ind T6'!R144</f>
        <v>6.3761966085687876</v>
      </c>
      <c r="E350" s="299" t="str">
        <f>CONCATENATE("(",ROUND((D350/$H352)*100,1),")")</f>
        <v>(6.5)</v>
      </c>
      <c r="F350" s="302">
        <f>'Ind T6'!S144</f>
        <v>8.1025344024671835</v>
      </c>
      <c r="G350" s="299" t="str">
        <f>CONCATENATE("(",ROUND((F350/$H352)*100,1),")")</f>
        <v>(8.3)</v>
      </c>
      <c r="H350" s="302">
        <f>SUM(B350,D350,F350)</f>
        <v>52.866776844798899</v>
      </c>
      <c r="I350" s="299" t="str">
        <f>CONCATENATE("(",ROUND((H350/$H352)*100,1),")")</f>
        <v>(54.2)</v>
      </c>
      <c r="K350" s="302">
        <f>B355-B350</f>
        <v>1.2981862671558773</v>
      </c>
      <c r="L350" s="302">
        <f>D355-D350</f>
        <v>0.68037971273693199</v>
      </c>
      <c r="M350" s="302">
        <f>F355-F350</f>
        <v>0.64536876062213189</v>
      </c>
      <c r="N350" s="302">
        <f>SUM(K350:M350)</f>
        <v>2.6239347405149411</v>
      </c>
    </row>
    <row r="351" spans="1:14" x14ac:dyDescent="0.2">
      <c r="A351" s="282" t="s">
        <v>365</v>
      </c>
      <c r="B351" s="302">
        <f>'Ind T6'!Q143</f>
        <v>26.479855400217549</v>
      </c>
      <c r="C351" s="299" t="str">
        <f>CONCATENATE("(",ROUND((B351/$H352)*100,1),")")</f>
        <v>(27.2)</v>
      </c>
      <c r="D351" s="302">
        <f>'Ind T6'!R143</f>
        <v>11.22330300347004</v>
      </c>
      <c r="E351" s="299" t="str">
        <f>CONCATENATE("(",ROUND((D351/$H352)*100,1),")")</f>
        <v>(11.5)</v>
      </c>
      <c r="F351" s="302">
        <f>'Ind T6'!S143</f>
        <v>6.935064751513389</v>
      </c>
      <c r="G351" s="299" t="str">
        <f>CONCATENATE("(",ROUND((F351/$H352)*100,1),")")</f>
        <v>(7.1)</v>
      </c>
      <c r="H351" s="302">
        <f t="shared" ref="H351" si="265">SUM(B351,D351,F351)</f>
        <v>44.638223155200976</v>
      </c>
      <c r="I351" s="299" t="str">
        <f>CONCATENATE("(",ROUND((H351/$H352)*100,1),")")</f>
        <v>(45.8)</v>
      </c>
      <c r="K351" s="302">
        <f t="shared" ref="K351:K352" si="266">B356-B351</f>
        <v>1.9837336458450956</v>
      </c>
      <c r="L351" s="302">
        <f t="shared" ref="L351:L352" si="267">D356-D351</f>
        <v>0.88360916453262206</v>
      </c>
      <c r="M351" s="302">
        <f t="shared" ref="M351:M352" si="268">F356-F351</f>
        <v>0.96372244910763261</v>
      </c>
      <c r="N351" s="302">
        <f t="shared" ref="N351:N352" si="269">SUM(K351:M351)</f>
        <v>3.8310652594853503</v>
      </c>
    </row>
    <row r="352" spans="1:14" x14ac:dyDescent="0.2">
      <c r="A352" s="282" t="s">
        <v>363</v>
      </c>
      <c r="B352" s="302">
        <f>SUM(B350:B351)</f>
        <v>64.867901233980476</v>
      </c>
      <c r="C352" s="299" t="str">
        <f>CONCATENATE("(",ROUND((B352/$H352)*100,1),")")</f>
        <v>(66.5)</v>
      </c>
      <c r="D352" s="302">
        <f>SUM(D350:D351)</f>
        <v>17.599499612038827</v>
      </c>
      <c r="E352" s="299" t="str">
        <f>CONCATENATE("(",ROUND((D352/$H352)*100,1),")")</f>
        <v>(18)</v>
      </c>
      <c r="F352" s="302">
        <f>SUM(F350:F351)</f>
        <v>15.037599153980572</v>
      </c>
      <c r="G352" s="299" t="str">
        <f>CONCATENATE("(",ROUND((F352/$H352)*100,1),")")</f>
        <v>(15.4)</v>
      </c>
      <c r="H352" s="302">
        <f>SUM(H350:H351)</f>
        <v>97.504999999999882</v>
      </c>
      <c r="I352" s="299" t="str">
        <f>CONCATENATE("(",ROUND((H352/$H352)*100,1),")")</f>
        <v>(100)</v>
      </c>
      <c r="K352" s="302">
        <f t="shared" si="266"/>
        <v>3.2819199130009764</v>
      </c>
      <c r="L352" s="302">
        <f t="shared" si="267"/>
        <v>1.5639888772695549</v>
      </c>
      <c r="M352" s="302">
        <f t="shared" si="268"/>
        <v>1.6090912097297654</v>
      </c>
      <c r="N352" s="302">
        <f t="shared" si="269"/>
        <v>6.4550000000002967</v>
      </c>
    </row>
    <row r="353" spans="1:14" x14ac:dyDescent="0.2">
      <c r="B353" s="302"/>
      <c r="C353" s="284"/>
      <c r="D353" s="302"/>
      <c r="E353" s="284"/>
      <c r="F353" s="302"/>
      <c r="G353" s="284"/>
      <c r="H353" s="302"/>
      <c r="I353" s="284"/>
    </row>
    <row r="354" spans="1:14" x14ac:dyDescent="0.2">
      <c r="A354" s="292">
        <f>$A$18</f>
        <v>2035</v>
      </c>
      <c r="B354" s="302"/>
      <c r="C354" s="284"/>
      <c r="D354" s="302"/>
      <c r="E354" s="284"/>
      <c r="F354" s="302"/>
      <c r="G354" s="284"/>
      <c r="H354" s="302"/>
      <c r="I354" s="284"/>
      <c r="K354" s="286" t="str">
        <f>CONCATENATE(A344," - ",A354)</f>
        <v>2020 - 2035</v>
      </c>
    </row>
    <row r="355" spans="1:14" x14ac:dyDescent="0.2">
      <c r="A355" s="282" t="s">
        <v>364</v>
      </c>
      <c r="B355" s="302">
        <f>'Ind T6'!V144</f>
        <v>39.686232100918801</v>
      </c>
      <c r="C355" s="299" t="str">
        <f>CONCATENATE("(",ROUND((B355/$H357)*100,1),")")</f>
        <v>(38.2)</v>
      </c>
      <c r="D355" s="302">
        <f>'Ind T6'!W144</f>
        <v>7.0565763213057195</v>
      </c>
      <c r="E355" s="299" t="str">
        <f>CONCATENATE("(",ROUND((D355/$H357)*100,1),")")</f>
        <v>(6.8)</v>
      </c>
      <c r="F355" s="302">
        <f>'Ind T6'!X144</f>
        <v>8.7479031630893154</v>
      </c>
      <c r="G355" s="299" t="str">
        <f>CONCATENATE("(",ROUND((F355/$H357)*100,1),")")</f>
        <v>(8.4)</v>
      </c>
      <c r="H355" s="302">
        <f>SUM(B355,D355,F355)</f>
        <v>55.490711585313832</v>
      </c>
      <c r="I355" s="299" t="str">
        <f>CONCATENATE("(",ROUND((H355/$H357)*100,1),")")</f>
        <v>(53.4)</v>
      </c>
      <c r="K355" s="302">
        <f>B355-B345</f>
        <v>2.2395905832710667</v>
      </c>
      <c r="L355" s="302">
        <f>D355-D345</f>
        <v>1.0585201231927277</v>
      </c>
      <c r="M355" s="302">
        <f>F355-F345</f>
        <v>1.0549977812987228</v>
      </c>
      <c r="N355" s="302">
        <f>SUM(K355:M355)</f>
        <v>4.3531084877625172</v>
      </c>
    </row>
    <row r="356" spans="1:14" x14ac:dyDescent="0.2">
      <c r="A356" s="282" t="s">
        <v>365</v>
      </c>
      <c r="B356" s="302">
        <f>'Ind T6'!V143</f>
        <v>28.463589046062644</v>
      </c>
      <c r="C356" s="299" t="str">
        <f>CONCATENATE("(",ROUND((B356/$H357)*100,1),")")</f>
        <v>(27.4)</v>
      </c>
      <c r="D356" s="302">
        <f>'Ind T6'!W143</f>
        <v>12.106912168002662</v>
      </c>
      <c r="E356" s="299" t="str">
        <f>CONCATENATE("(",ROUND((D356/$H357)*100,1),")")</f>
        <v>(11.6)</v>
      </c>
      <c r="F356" s="302">
        <f>'Ind T6'!X143</f>
        <v>7.8987872006210216</v>
      </c>
      <c r="G356" s="299" t="str">
        <f>CONCATENATE("(",ROUND((F356/$H357)*100,1),")")</f>
        <v>(7.6)</v>
      </c>
      <c r="H356" s="302">
        <f t="shared" ref="H356" si="270">SUM(B356,D356,F356)</f>
        <v>48.469288414686325</v>
      </c>
      <c r="I356" s="299" t="str">
        <f>CONCATENATE("(",ROUND((H356/$H357)*100,1),")")</f>
        <v>(46.6)</v>
      </c>
      <c r="K356" s="302">
        <f t="shared" ref="K356:K357" si="271">B356-B346</f>
        <v>3.4144436592792822</v>
      </c>
      <c r="L356" s="302">
        <f t="shared" ref="L356:L357" si="272">D356-D346</f>
        <v>1.5022775281343499</v>
      </c>
      <c r="M356" s="302">
        <f t="shared" ref="M356:M357" si="273">F356-F346</f>
        <v>1.538170324824061</v>
      </c>
      <c r="N356" s="302">
        <f t="shared" ref="N356:N357" si="274">SUM(K356:M356)</f>
        <v>6.4548915122376931</v>
      </c>
    </row>
    <row r="357" spans="1:14" x14ac:dyDescent="0.2">
      <c r="A357" s="282" t="s">
        <v>363</v>
      </c>
      <c r="B357" s="302">
        <f>SUM(B355:B356)</f>
        <v>68.149821146981452</v>
      </c>
      <c r="C357" s="299" t="str">
        <f>CONCATENATE("(",ROUND((B357/$H357)*100,1),")")</f>
        <v>(65.6)</v>
      </c>
      <c r="D357" s="302">
        <f>SUM(D355:D356)</f>
        <v>19.163488489308381</v>
      </c>
      <c r="E357" s="299" t="str">
        <f>CONCATENATE("(",ROUND((D357/$H357)*100,1),")")</f>
        <v>(18.4)</v>
      </c>
      <c r="F357" s="302">
        <f>SUM(F355:F356)</f>
        <v>16.646690363710338</v>
      </c>
      <c r="G357" s="299" t="str">
        <f>CONCATENATE("(",ROUND((F357/$H357)*100,1),")")</f>
        <v>(16)</v>
      </c>
      <c r="H357" s="302">
        <f>SUM(H355:H356)</f>
        <v>103.96000000000015</v>
      </c>
      <c r="I357" s="299" t="str">
        <f>CONCATENATE("(",ROUND((H357/$H357)*100,1),")")</f>
        <v>(100)</v>
      </c>
      <c r="K357" s="302">
        <f t="shared" si="271"/>
        <v>5.6540342425503525</v>
      </c>
      <c r="L357" s="302">
        <f t="shared" si="272"/>
        <v>2.5607976513270785</v>
      </c>
      <c r="M357" s="302">
        <f t="shared" si="273"/>
        <v>2.5931681061227856</v>
      </c>
      <c r="N357" s="302">
        <f t="shared" si="274"/>
        <v>10.808000000000217</v>
      </c>
    </row>
    <row r="358" spans="1:14" x14ac:dyDescent="0.2">
      <c r="A358" s="293"/>
      <c r="B358" s="294"/>
      <c r="C358" s="293"/>
      <c r="D358" s="294"/>
      <c r="E358" s="293"/>
      <c r="F358" s="294"/>
      <c r="G358" s="293"/>
      <c r="H358" s="294"/>
      <c r="I358" s="293"/>
      <c r="J358" s="293"/>
      <c r="K358" s="294"/>
      <c r="L358" s="294"/>
      <c r="M358" s="294"/>
      <c r="N358" s="294"/>
    </row>
    <row r="361" spans="1:14" x14ac:dyDescent="0.2">
      <c r="C361" s="182"/>
      <c r="E361" s="182"/>
      <c r="G361" s="182"/>
      <c r="I361" s="182"/>
    </row>
    <row r="362" spans="1:14" x14ac:dyDescent="0.2">
      <c r="A362" s="288"/>
      <c r="B362" s="289" t="s">
        <v>372</v>
      </c>
      <c r="C362" s="288"/>
      <c r="D362" s="289"/>
      <c r="E362" s="288"/>
      <c r="F362" s="289" t="str">
        <f>name!B20</f>
        <v>Support services</v>
      </c>
      <c r="G362" s="288"/>
      <c r="H362" s="291"/>
      <c r="I362" s="288"/>
      <c r="J362" s="290"/>
      <c r="K362" s="291"/>
      <c r="L362" s="291"/>
      <c r="M362" s="291"/>
      <c r="N362" s="291"/>
    </row>
    <row r="363" spans="1:14" x14ac:dyDescent="0.2">
      <c r="N363" s="287" t="s">
        <v>370</v>
      </c>
    </row>
    <row r="364" spans="1:14" x14ac:dyDescent="0.2">
      <c r="A364" s="182" t="s">
        <v>371</v>
      </c>
      <c r="B364" s="372" t="s">
        <v>369</v>
      </c>
      <c r="C364" s="372"/>
      <c r="D364" s="372" t="s">
        <v>368</v>
      </c>
      <c r="E364" s="372"/>
      <c r="F364" s="372" t="s">
        <v>367</v>
      </c>
      <c r="G364" s="372"/>
      <c r="H364" s="372" t="s">
        <v>33</v>
      </c>
      <c r="I364" s="372"/>
      <c r="J364" s="182"/>
      <c r="K364" s="297" t="s">
        <v>345</v>
      </c>
      <c r="L364" s="297" t="s">
        <v>347</v>
      </c>
      <c r="M364" s="297" t="s">
        <v>343</v>
      </c>
      <c r="N364" s="297" t="s">
        <v>33</v>
      </c>
    </row>
    <row r="365" spans="1:14" x14ac:dyDescent="0.2">
      <c r="A365" s="292">
        <f>$A$8</f>
        <v>2020</v>
      </c>
      <c r="B365" s="287" t="s">
        <v>66</v>
      </c>
      <c r="C365" s="20" t="s">
        <v>366</v>
      </c>
      <c r="D365" s="287" t="s">
        <v>66</v>
      </c>
      <c r="E365" s="20" t="s">
        <v>366</v>
      </c>
      <c r="F365" s="287" t="s">
        <v>66</v>
      </c>
      <c r="G365" s="20" t="s">
        <v>366</v>
      </c>
      <c r="H365" s="287" t="s">
        <v>66</v>
      </c>
      <c r="I365" s="20" t="s">
        <v>366</v>
      </c>
      <c r="J365" s="182"/>
      <c r="K365" s="286" t="str">
        <f>CONCATENATE(A365," - ",A370)</f>
        <v>2020 - 2025</v>
      </c>
      <c r="L365" s="285"/>
      <c r="M365" s="285"/>
    </row>
    <row r="366" spans="1:14" x14ac:dyDescent="0.2">
      <c r="A366" s="282" t="s">
        <v>364</v>
      </c>
      <c r="B366" s="302">
        <f>'Ind T6'!L153</f>
        <v>21.483968506919943</v>
      </c>
      <c r="C366" s="299" t="str">
        <f>CONCATENATE("(",ROUND((B366/$H368)*100,1),")")</f>
        <v>(33)</v>
      </c>
      <c r="D366" s="302">
        <f>'Ind T6'!M153</f>
        <v>9.4192229990072072</v>
      </c>
      <c r="E366" s="299" t="str">
        <f>CONCATENATE("(",ROUND((D366/$H368)*100,1),")")</f>
        <v>(14.5)</v>
      </c>
      <c r="F366" s="302">
        <f>'Ind T6'!N153</f>
        <v>5.3496983992608085</v>
      </c>
      <c r="G366" s="299" t="str">
        <f>CONCATENATE("(",ROUND((F366/$H368)*100,1),")")</f>
        <v>(8.2)</v>
      </c>
      <c r="H366" s="302">
        <f>SUM(B366,D366,F366)</f>
        <v>36.252889905187956</v>
      </c>
      <c r="I366" s="299" t="str">
        <f>CONCATENATE("(",ROUND((H366/$H368)*100,1),")")</f>
        <v>(55.7)</v>
      </c>
      <c r="K366" s="302">
        <f>B371-B366</f>
        <v>0.9879937014814395</v>
      </c>
      <c r="L366" s="302">
        <f>D371-D366</f>
        <v>0.41291375134126795</v>
      </c>
      <c r="M366" s="302">
        <f>F371-F366</f>
        <v>0.15845612601980807</v>
      </c>
      <c r="N366" s="302">
        <f>SUM(K366:M366)</f>
        <v>1.5593635788425155</v>
      </c>
    </row>
    <row r="367" spans="1:14" x14ac:dyDescent="0.2">
      <c r="A367" s="282" t="s">
        <v>365</v>
      </c>
      <c r="B367" s="302">
        <f>'Ind T6'!L152</f>
        <v>11.863793923502998</v>
      </c>
      <c r="C367" s="299" t="str">
        <f>CONCATENATE("(",ROUND((B367/$H368)*100,1),")")</f>
        <v>(18.2)</v>
      </c>
      <c r="D367" s="302">
        <f>'Ind T6'!M152</f>
        <v>12.084976674534438</v>
      </c>
      <c r="E367" s="299" t="str">
        <f>CONCATENATE("(",ROUND((D367/$H368)*100,1),")")</f>
        <v>(18.6)</v>
      </c>
      <c r="F367" s="302">
        <f>'Ind T6'!N152</f>
        <v>4.8483394967745097</v>
      </c>
      <c r="G367" s="299" t="str">
        <f>CONCATENATE("(",ROUND((F367/$H368)*100,1),")")</f>
        <v>(7.5)</v>
      </c>
      <c r="H367" s="302">
        <f t="shared" ref="H367" si="275">SUM(B367,D367,F367)</f>
        <v>28.797110094811945</v>
      </c>
      <c r="I367" s="299" t="str">
        <f>CONCATENATE("(",ROUND((H367/$H368)*100,1),")")</f>
        <v>(44.3)</v>
      </c>
      <c r="K367" s="302">
        <f t="shared" ref="K367:K368" si="276">B372-B367</f>
        <v>0.76861359910430949</v>
      </c>
      <c r="L367" s="302">
        <f t="shared" ref="L367:L368" si="277">D372-D367</f>
        <v>0.31848637456777595</v>
      </c>
      <c r="M367" s="302">
        <f t="shared" ref="M367:M368" si="278">F372-F367</f>
        <v>0.13853644748550575</v>
      </c>
      <c r="N367" s="302">
        <f t="shared" ref="N367:N368" si="279">SUM(K367:M367)</f>
        <v>1.2256364211575912</v>
      </c>
    </row>
    <row r="368" spans="1:14" x14ac:dyDescent="0.2">
      <c r="A368" s="282" t="s">
        <v>363</v>
      </c>
      <c r="B368" s="302">
        <f>SUM(B366:B367)</f>
        <v>33.347762430422939</v>
      </c>
      <c r="C368" s="299" t="str">
        <f>CONCATENATE("(",ROUND((B368/$H368)*100,1),")")</f>
        <v>(51.3)</v>
      </c>
      <c r="D368" s="302">
        <f>SUM(D366:D367)</f>
        <v>21.504199673541645</v>
      </c>
      <c r="E368" s="299" t="str">
        <f>CONCATENATE("(",ROUND((D368/$H368)*100,1),")")</f>
        <v>(33.1)</v>
      </c>
      <c r="F368" s="302">
        <f>SUM(F366:F367)</f>
        <v>10.198037896035318</v>
      </c>
      <c r="G368" s="299" t="str">
        <f>CONCATENATE("(",ROUND((F368/$H368)*100,1),")")</f>
        <v>(15.7)</v>
      </c>
      <c r="H368" s="302">
        <f>SUM(H366:H367)</f>
        <v>65.049999999999898</v>
      </c>
      <c r="I368" s="299" t="str">
        <f>CONCATENATE("(",ROUND((H368/$H368)*100,1),")")</f>
        <v>(100)</v>
      </c>
      <c r="K368" s="302">
        <f t="shared" si="276"/>
        <v>1.756607300585749</v>
      </c>
      <c r="L368" s="302">
        <f t="shared" si="277"/>
        <v>0.73140012590904391</v>
      </c>
      <c r="M368" s="302">
        <f t="shared" si="278"/>
        <v>0.29699257350531383</v>
      </c>
      <c r="N368" s="302">
        <f t="shared" si="279"/>
        <v>2.7850000000001067</v>
      </c>
    </row>
    <row r="369" spans="1:14" x14ac:dyDescent="0.2">
      <c r="B369" s="302"/>
      <c r="C369" s="284"/>
      <c r="D369" s="302"/>
      <c r="E369" s="284"/>
      <c r="F369" s="302"/>
      <c r="G369" s="284"/>
      <c r="H369" s="302"/>
      <c r="I369" s="284"/>
    </row>
    <row r="370" spans="1:14" x14ac:dyDescent="0.2">
      <c r="A370" s="292">
        <f>$A$13</f>
        <v>2025</v>
      </c>
      <c r="B370" s="302"/>
      <c r="C370" s="284"/>
      <c r="D370" s="302"/>
      <c r="E370" s="284"/>
      <c r="F370" s="302"/>
      <c r="G370" s="284"/>
      <c r="H370" s="302"/>
      <c r="I370" s="284"/>
      <c r="K370" s="286" t="str">
        <f>CONCATENATE(A370," - ",A375)</f>
        <v>2025 - 2035</v>
      </c>
    </row>
    <row r="371" spans="1:14" x14ac:dyDescent="0.2">
      <c r="A371" s="282" t="s">
        <v>364</v>
      </c>
      <c r="B371" s="302">
        <f>'Ind T6'!Q153</f>
        <v>22.471962208401383</v>
      </c>
      <c r="C371" s="299" t="str">
        <f>CONCATENATE("(",ROUND((B371/$H373)*100,1),")")</f>
        <v>(33.1)</v>
      </c>
      <c r="D371" s="302">
        <f>'Ind T6'!R153</f>
        <v>9.8321367503484751</v>
      </c>
      <c r="E371" s="299" t="str">
        <f>CONCATENATE("(",ROUND((D371/$H373)*100,1),")")</f>
        <v>(14.5)</v>
      </c>
      <c r="F371" s="302">
        <f>'Ind T6'!S153</f>
        <v>5.5081545252806166</v>
      </c>
      <c r="G371" s="299" t="str">
        <f>CONCATENATE("(",ROUND((F371/$H373)*100,1),")")</f>
        <v>(8.1)</v>
      </c>
      <c r="H371" s="302">
        <f>SUM(B371,D371,F371)</f>
        <v>37.812253484030478</v>
      </c>
      <c r="I371" s="299" t="str">
        <f>CONCATENATE("(",ROUND((H371/$H373)*100,1),")")</f>
        <v>(55.7)</v>
      </c>
      <c r="K371" s="302">
        <f>B376-B371</f>
        <v>1.7227995428670475</v>
      </c>
      <c r="L371" s="302">
        <f>D376-D371</f>
        <v>0.65696025926339452</v>
      </c>
      <c r="M371" s="302">
        <f>F376-F371</f>
        <v>0.440766442032265</v>
      </c>
      <c r="N371" s="302">
        <f>SUM(K371:M371)</f>
        <v>2.820526244162707</v>
      </c>
    </row>
    <row r="372" spans="1:14" x14ac:dyDescent="0.2">
      <c r="A372" s="282" t="s">
        <v>365</v>
      </c>
      <c r="B372" s="302">
        <f>'Ind T6'!Q152</f>
        <v>12.632407522607307</v>
      </c>
      <c r="C372" s="299" t="str">
        <f>CONCATENATE("(",ROUND((B372/$H373)*100,1),")")</f>
        <v>(18.6)</v>
      </c>
      <c r="D372" s="302">
        <f>'Ind T6'!R152</f>
        <v>12.403463049102214</v>
      </c>
      <c r="E372" s="299" t="str">
        <f>CONCATENATE("(",ROUND((D372/$H373)*100,1),")")</f>
        <v>(18.3)</v>
      </c>
      <c r="F372" s="302">
        <f>'Ind T6'!S152</f>
        <v>4.9868759442600155</v>
      </c>
      <c r="G372" s="299" t="str">
        <f>CONCATENATE("(",ROUND((F372/$H373)*100,1),")")</f>
        <v>(7.4)</v>
      </c>
      <c r="H372" s="302">
        <f t="shared" ref="H372" si="280">SUM(B372,D372,F372)</f>
        <v>30.022746515969537</v>
      </c>
      <c r="I372" s="299" t="str">
        <f>CONCATENATE("(",ROUND((H372/$H373)*100,1),")")</f>
        <v>(44.3)</v>
      </c>
      <c r="K372" s="302">
        <f t="shared" ref="K372:K373" si="281">B377-B372</f>
        <v>1.271632183122076</v>
      </c>
      <c r="L372" s="302">
        <f t="shared" ref="L372:L373" si="282">D377-D372</f>
        <v>0.49456782811100553</v>
      </c>
      <c r="M372" s="302">
        <f t="shared" ref="M372:M373" si="283">F377-F372</f>
        <v>0.43027374460417978</v>
      </c>
      <c r="N372" s="302">
        <f t="shared" ref="N372:N373" si="284">SUM(K372:M372)</f>
        <v>2.1964737558372613</v>
      </c>
    </row>
    <row r="373" spans="1:14" x14ac:dyDescent="0.2">
      <c r="A373" s="282" t="s">
        <v>363</v>
      </c>
      <c r="B373" s="302">
        <f>SUM(B371:B372)</f>
        <v>35.104369731008688</v>
      </c>
      <c r="C373" s="299" t="str">
        <f>CONCATENATE("(",ROUND((B373/$H373)*100,1),")")</f>
        <v>(51.7)</v>
      </c>
      <c r="D373" s="302">
        <f>SUM(D371:D372)</f>
        <v>22.235599799450689</v>
      </c>
      <c r="E373" s="299" t="str">
        <f>CONCATENATE("(",ROUND((D373/$H373)*100,1),")")</f>
        <v>(32.8)</v>
      </c>
      <c r="F373" s="302">
        <f>SUM(F371:F372)</f>
        <v>10.495030469540632</v>
      </c>
      <c r="G373" s="299" t="str">
        <f>CONCATENATE("(",ROUND((F373/$H373)*100,1),")")</f>
        <v>(15.5)</v>
      </c>
      <c r="H373" s="302">
        <f>SUM(H371:H372)</f>
        <v>67.835000000000008</v>
      </c>
      <c r="I373" s="299" t="str">
        <f>CONCATENATE("(",ROUND((H373/$H373)*100,1),")")</f>
        <v>(100)</v>
      </c>
      <c r="K373" s="302">
        <f t="shared" si="281"/>
        <v>2.9944317259891235</v>
      </c>
      <c r="L373" s="302">
        <f t="shared" si="282"/>
        <v>1.1515280873744018</v>
      </c>
      <c r="M373" s="302">
        <f t="shared" si="283"/>
        <v>0.87104018663644389</v>
      </c>
      <c r="N373" s="302">
        <f t="shared" si="284"/>
        <v>5.0169999999999693</v>
      </c>
    </row>
    <row r="374" spans="1:14" x14ac:dyDescent="0.2">
      <c r="B374" s="302"/>
      <c r="C374" s="284"/>
      <c r="D374" s="302"/>
      <c r="E374" s="284"/>
      <c r="F374" s="302"/>
      <c r="G374" s="284"/>
      <c r="H374" s="302"/>
      <c r="I374" s="284"/>
    </row>
    <row r="375" spans="1:14" x14ac:dyDescent="0.2">
      <c r="A375" s="292">
        <f>$A$18</f>
        <v>2035</v>
      </c>
      <c r="B375" s="302"/>
      <c r="C375" s="284"/>
      <c r="D375" s="302"/>
      <c r="E375" s="284"/>
      <c r="F375" s="302"/>
      <c r="G375" s="284"/>
      <c r="H375" s="302"/>
      <c r="I375" s="284"/>
      <c r="K375" s="286" t="str">
        <f>CONCATENATE(A365," - ",A375)</f>
        <v>2020 - 2035</v>
      </c>
    </row>
    <row r="376" spans="1:14" x14ac:dyDescent="0.2">
      <c r="A376" s="282" t="s">
        <v>364</v>
      </c>
      <c r="B376" s="302">
        <f>'Ind T6'!V153</f>
        <v>24.19476175126843</v>
      </c>
      <c r="C376" s="299" t="str">
        <f>CONCATENATE("(",ROUND((B376/$H378)*100,1),")")</f>
        <v>(33.2)</v>
      </c>
      <c r="D376" s="302">
        <f>'Ind T6'!W153</f>
        <v>10.48909700961187</v>
      </c>
      <c r="E376" s="299" t="str">
        <f>CONCATENATE("(",ROUND((D376/$H378)*100,1),")")</f>
        <v>(14.4)</v>
      </c>
      <c r="F376" s="302">
        <f>'Ind T6'!X153</f>
        <v>5.9489209673128816</v>
      </c>
      <c r="G376" s="299" t="str">
        <f>CONCATENATE("(",ROUND((F376/$H378)*100,1),")")</f>
        <v>(8.2)</v>
      </c>
      <c r="H376" s="302">
        <f>SUM(B376,D376,F376)</f>
        <v>40.632779728193178</v>
      </c>
      <c r="I376" s="299" t="str">
        <f>CONCATENATE("(",ROUND((H376/$H378)*100,1),")")</f>
        <v>(55.8)</v>
      </c>
      <c r="K376" s="302">
        <f>B376-B366</f>
        <v>2.710793244348487</v>
      </c>
      <c r="L376" s="302">
        <f>D376-D366</f>
        <v>1.0698740106046625</v>
      </c>
      <c r="M376" s="302">
        <f>F376-F366</f>
        <v>0.59922256805207308</v>
      </c>
      <c r="N376" s="302">
        <f>SUM(K376:M376)</f>
        <v>4.3798898230052226</v>
      </c>
    </row>
    <row r="377" spans="1:14" x14ac:dyDescent="0.2">
      <c r="A377" s="282" t="s">
        <v>365</v>
      </c>
      <c r="B377" s="302">
        <f>'Ind T6'!V152</f>
        <v>13.904039705729383</v>
      </c>
      <c r="C377" s="299" t="str">
        <f>CONCATENATE("(",ROUND((B377/$H378)*100,1),")")</f>
        <v>(19.1)</v>
      </c>
      <c r="D377" s="302">
        <f>'Ind T6'!W152</f>
        <v>12.89803087721322</v>
      </c>
      <c r="E377" s="299" t="str">
        <f>CONCATENATE("(",ROUND((D377/$H378)*100,1),")")</f>
        <v>(17.7)</v>
      </c>
      <c r="F377" s="302">
        <f>'Ind T6'!X152</f>
        <v>5.4171496888641952</v>
      </c>
      <c r="G377" s="299" t="str">
        <f>CONCATENATE("(",ROUND((F377/$H378)*100,1),")")</f>
        <v>(7.4)</v>
      </c>
      <c r="H377" s="302">
        <f t="shared" ref="H377" si="285">SUM(B377,D377,F377)</f>
        <v>32.219220271806797</v>
      </c>
      <c r="I377" s="299" t="str">
        <f>CONCATENATE("(",ROUND((H377/$H378)*100,1),")")</f>
        <v>(44.2)</v>
      </c>
      <c r="K377" s="302">
        <f t="shared" ref="K377:K378" si="286">B377-B367</f>
        <v>2.0402457822263855</v>
      </c>
      <c r="L377" s="302">
        <f t="shared" ref="L377:L378" si="287">D377-D367</f>
        <v>0.81305420267878148</v>
      </c>
      <c r="M377" s="302">
        <f t="shared" ref="M377:M378" si="288">F377-F367</f>
        <v>0.56881019208968553</v>
      </c>
      <c r="N377" s="302">
        <f t="shared" ref="N377:N378" si="289">SUM(K377:M377)</f>
        <v>3.4221101769948525</v>
      </c>
    </row>
    <row r="378" spans="1:14" x14ac:dyDescent="0.2">
      <c r="A378" s="282" t="s">
        <v>363</v>
      </c>
      <c r="B378" s="302">
        <f>SUM(B376:B377)</f>
        <v>38.098801456997812</v>
      </c>
      <c r="C378" s="299" t="str">
        <f>CONCATENATE("(",ROUND((B378/$H378)*100,1),")")</f>
        <v>(52.3)</v>
      </c>
      <c r="D378" s="302">
        <f>SUM(D376:D377)</f>
        <v>23.387127886825091</v>
      </c>
      <c r="E378" s="299" t="str">
        <f>CONCATENATE("(",ROUND((D378/$H378)*100,1),")")</f>
        <v>(32.1)</v>
      </c>
      <c r="F378" s="302">
        <f>SUM(F376:F377)</f>
        <v>11.366070656177076</v>
      </c>
      <c r="G378" s="299" t="str">
        <f>CONCATENATE("(",ROUND((F378/$H378)*100,1),")")</f>
        <v>(15.6)</v>
      </c>
      <c r="H378" s="302">
        <f>SUM(H376:H377)</f>
        <v>72.851999999999975</v>
      </c>
      <c r="I378" s="299" t="str">
        <f>CONCATENATE("(",ROUND((H378/$H378)*100,1),")")</f>
        <v>(100)</v>
      </c>
      <c r="K378" s="302">
        <f t="shared" si="286"/>
        <v>4.7510390265748725</v>
      </c>
      <c r="L378" s="302">
        <f t="shared" si="287"/>
        <v>1.8829282132834457</v>
      </c>
      <c r="M378" s="302">
        <f t="shared" si="288"/>
        <v>1.1680327601417577</v>
      </c>
      <c r="N378" s="302">
        <f t="shared" si="289"/>
        <v>7.802000000000076</v>
      </c>
    </row>
    <row r="379" spans="1:14" x14ac:dyDescent="0.2">
      <c r="A379" s="293"/>
      <c r="B379" s="294"/>
      <c r="C379" s="293"/>
      <c r="D379" s="294"/>
      <c r="E379" s="293"/>
      <c r="F379" s="294"/>
      <c r="G379" s="293"/>
      <c r="H379" s="294"/>
      <c r="I379" s="293"/>
      <c r="J379" s="293"/>
      <c r="K379" s="294"/>
      <c r="L379" s="294"/>
      <c r="M379" s="294"/>
      <c r="N379" s="294"/>
    </row>
    <row r="383" spans="1:14" x14ac:dyDescent="0.2">
      <c r="A383" s="288"/>
      <c r="B383" s="289" t="s">
        <v>372</v>
      </c>
      <c r="C383" s="288"/>
      <c r="D383" s="289"/>
      <c r="E383" s="288"/>
      <c r="F383" s="289" t="str">
        <f>name!B21</f>
        <v>Public admin. and defence</v>
      </c>
      <c r="G383" s="288"/>
      <c r="H383" s="291"/>
      <c r="I383" s="288"/>
      <c r="J383" s="290"/>
      <c r="K383" s="291"/>
      <c r="L383" s="291"/>
      <c r="M383" s="291"/>
      <c r="N383" s="291"/>
    </row>
    <row r="384" spans="1:14" x14ac:dyDescent="0.2">
      <c r="N384" s="287" t="s">
        <v>370</v>
      </c>
    </row>
    <row r="385" spans="1:14" x14ac:dyDescent="0.2">
      <c r="A385" s="182" t="s">
        <v>371</v>
      </c>
      <c r="B385" s="372" t="s">
        <v>369</v>
      </c>
      <c r="C385" s="372"/>
      <c r="D385" s="372" t="s">
        <v>368</v>
      </c>
      <c r="E385" s="372"/>
      <c r="F385" s="372" t="s">
        <v>367</v>
      </c>
      <c r="G385" s="372"/>
      <c r="H385" s="372" t="s">
        <v>33</v>
      </c>
      <c r="I385" s="372"/>
      <c r="J385" s="182"/>
      <c r="K385" s="297" t="s">
        <v>345</v>
      </c>
      <c r="L385" s="297" t="s">
        <v>347</v>
      </c>
      <c r="M385" s="297" t="s">
        <v>343</v>
      </c>
      <c r="N385" s="297" t="s">
        <v>33</v>
      </c>
    </row>
    <row r="386" spans="1:14" x14ac:dyDescent="0.2">
      <c r="A386" s="292">
        <f>$A$8</f>
        <v>2020</v>
      </c>
      <c r="B386" s="287" t="s">
        <v>66</v>
      </c>
      <c r="C386" s="20" t="s">
        <v>366</v>
      </c>
      <c r="D386" s="287" t="s">
        <v>66</v>
      </c>
      <c r="E386" s="20" t="s">
        <v>366</v>
      </c>
      <c r="F386" s="287" t="s">
        <v>66</v>
      </c>
      <c r="G386" s="20" t="s">
        <v>366</v>
      </c>
      <c r="H386" s="287" t="s">
        <v>66</v>
      </c>
      <c r="I386" s="20" t="s">
        <v>366</v>
      </c>
      <c r="J386" s="182"/>
      <c r="K386" s="286" t="str">
        <f>CONCATENATE(A386," - ",A391)</f>
        <v>2020 - 2025</v>
      </c>
      <c r="L386" s="285"/>
      <c r="M386" s="285"/>
    </row>
    <row r="387" spans="1:14" x14ac:dyDescent="0.2">
      <c r="A387" s="282" t="s">
        <v>364</v>
      </c>
      <c r="B387" s="302">
        <f>'Ind T6'!L162</f>
        <v>9.5000434170541119</v>
      </c>
      <c r="C387" s="299" t="str">
        <f>CONCATENATE("(",ROUND((B387/$H389)*100,1),")")</f>
        <v>(35.9)</v>
      </c>
      <c r="D387" s="302">
        <f>'Ind T6'!M162</f>
        <v>1.3681658586213923</v>
      </c>
      <c r="E387" s="299" t="str">
        <f>CONCATENATE("(",ROUND((D387/$H389)*100,1),")")</f>
        <v>(5.2)</v>
      </c>
      <c r="F387" s="302">
        <f>'Ind T6'!N162</f>
        <v>0.51373361881988411</v>
      </c>
      <c r="G387" s="299" t="str">
        <f>CONCATENATE("(",ROUND((F387/$H389)*100,1),")")</f>
        <v>(1.9)</v>
      </c>
      <c r="H387" s="302">
        <f>SUM(B387,D387,F387)</f>
        <v>11.381942894495388</v>
      </c>
      <c r="I387" s="299" t="str">
        <f>CONCATENATE("(",ROUND((H387/$H389)*100,1),")")</f>
        <v>(43.1)</v>
      </c>
      <c r="K387" s="302">
        <f>B392-B387</f>
        <v>0.17827753900318832</v>
      </c>
      <c r="L387" s="302">
        <f>D392-D387</f>
        <v>0.13100880411067539</v>
      </c>
      <c r="M387" s="302">
        <f>F392-F387</f>
        <v>2.0919962759570088E-2</v>
      </c>
      <c r="N387" s="302">
        <f>SUM(K387:M387)</f>
        <v>0.3302063058734338</v>
      </c>
    </row>
    <row r="388" spans="1:14" x14ac:dyDescent="0.2">
      <c r="A388" s="282" t="s">
        <v>365</v>
      </c>
      <c r="B388" s="302">
        <f>'Ind T6'!L161</f>
        <v>7.9060879880493502</v>
      </c>
      <c r="C388" s="299" t="str">
        <f>CONCATENATE("(",ROUND((B388/$H389)*100,1),")")</f>
        <v>(29.9)</v>
      </c>
      <c r="D388" s="302">
        <f>'Ind T6'!M161</f>
        <v>6.2929490782702411</v>
      </c>
      <c r="E388" s="299" t="str">
        <f>CONCATENATE("(",ROUND((D388/$H389)*100,1),")")</f>
        <v>(23.8)</v>
      </c>
      <c r="F388" s="302">
        <f>'Ind T6'!N161</f>
        <v>0.85002003918497737</v>
      </c>
      <c r="G388" s="299" t="str">
        <f>CONCATENATE("(",ROUND((F388/$H389)*100,1),")")</f>
        <v>(3.2)</v>
      </c>
      <c r="H388" s="302">
        <f t="shared" ref="H388" si="290">SUM(B388,D388,F388)</f>
        <v>15.049057105504568</v>
      </c>
      <c r="I388" s="299" t="str">
        <f>CONCATENATE("(",ROUND((H388/$H389)*100,1),")")</f>
        <v>(56.9)</v>
      </c>
      <c r="K388" s="302">
        <f t="shared" ref="K388:K389" si="291">B393-B388</f>
        <v>0.31425785999558542</v>
      </c>
      <c r="L388" s="302">
        <f t="shared" ref="L388:L389" si="292">D393-D388</f>
        <v>0.26361201418462432</v>
      </c>
      <c r="M388" s="302">
        <f t="shared" ref="M388:M389" si="293">F393-F388</f>
        <v>3.4923819946392376E-2</v>
      </c>
      <c r="N388" s="302">
        <f t="shared" ref="N388:N389" si="294">SUM(K388:M388)</f>
        <v>0.61279369412660212</v>
      </c>
    </row>
    <row r="389" spans="1:14" x14ac:dyDescent="0.2">
      <c r="A389" s="282" t="s">
        <v>363</v>
      </c>
      <c r="B389" s="302">
        <f>SUM(B387:B388)</f>
        <v>17.406131405103462</v>
      </c>
      <c r="C389" s="299" t="str">
        <f>CONCATENATE("(",ROUND((B389/$H389)*100,1),")")</f>
        <v>(65.9)</v>
      </c>
      <c r="D389" s="302">
        <f>SUM(D387:D388)</f>
        <v>7.6611149368916331</v>
      </c>
      <c r="E389" s="299" t="str">
        <f>CONCATENATE("(",ROUND((D389/$H389)*100,1),")")</f>
        <v>(29)</v>
      </c>
      <c r="F389" s="302">
        <f>SUM(F387:F388)</f>
        <v>1.3637536580048615</v>
      </c>
      <c r="G389" s="299" t="str">
        <f>CONCATENATE("(",ROUND((F389/$H389)*100,1),")")</f>
        <v>(5.2)</v>
      </c>
      <c r="H389" s="302">
        <f>SUM(H387:H388)</f>
        <v>26.430999999999955</v>
      </c>
      <c r="I389" s="299" t="str">
        <f>CONCATENATE("(",ROUND((H389/$H389)*100,1),")")</f>
        <v>(100)</v>
      </c>
      <c r="K389" s="302">
        <f t="shared" si="291"/>
        <v>0.49253539899877197</v>
      </c>
      <c r="L389" s="302">
        <f t="shared" si="292"/>
        <v>0.3946208182953006</v>
      </c>
      <c r="M389" s="302">
        <f t="shared" si="293"/>
        <v>5.5843782705962353E-2</v>
      </c>
      <c r="N389" s="302">
        <f t="shared" si="294"/>
        <v>0.94300000000003492</v>
      </c>
    </row>
    <row r="390" spans="1:14" x14ac:dyDescent="0.2">
      <c r="B390" s="302"/>
      <c r="C390" s="284"/>
      <c r="D390" s="302"/>
      <c r="E390" s="284"/>
      <c r="F390" s="302"/>
      <c r="G390" s="284"/>
      <c r="H390" s="302"/>
      <c r="I390" s="284"/>
    </row>
    <row r="391" spans="1:14" x14ac:dyDescent="0.2">
      <c r="A391" s="292">
        <f>$A$13</f>
        <v>2025</v>
      </c>
      <c r="B391" s="302"/>
      <c r="C391" s="284"/>
      <c r="D391" s="302"/>
      <c r="E391" s="284"/>
      <c r="F391" s="302"/>
      <c r="G391" s="284"/>
      <c r="H391" s="302"/>
      <c r="I391" s="284"/>
      <c r="K391" s="286" t="str">
        <f>CONCATENATE(A391," - ",A396)</f>
        <v>2025 - 2035</v>
      </c>
    </row>
    <row r="392" spans="1:14" x14ac:dyDescent="0.2">
      <c r="A392" s="282" t="s">
        <v>364</v>
      </c>
      <c r="B392" s="302">
        <f>'Ind T6'!Q162</f>
        <v>9.6783209560573003</v>
      </c>
      <c r="C392" s="299" t="str">
        <f>CONCATENATE("(",ROUND((B392/$H394)*100,1),")")</f>
        <v>(35.4)</v>
      </c>
      <c r="D392" s="302">
        <f>'Ind T6'!R162</f>
        <v>1.4991746627320677</v>
      </c>
      <c r="E392" s="299" t="str">
        <f>CONCATENATE("(",ROUND((D392/$H394)*100,1),")")</f>
        <v>(5.5)</v>
      </c>
      <c r="F392" s="302">
        <f>'Ind T6'!S162</f>
        <v>0.5346535815794542</v>
      </c>
      <c r="G392" s="299" t="str">
        <f>CONCATENATE("(",ROUND((F392/$H394)*100,1),")")</f>
        <v>(2)</v>
      </c>
      <c r="H392" s="302">
        <f>SUM(B392,D392,F392)</f>
        <v>11.712149200368822</v>
      </c>
      <c r="I392" s="299" t="str">
        <f>CONCATENATE("(",ROUND((H392/$H394)*100,1),")")</f>
        <v>(42.8)</v>
      </c>
      <c r="K392" s="302">
        <f>B397-B392</f>
        <v>-0.4478691797274017</v>
      </c>
      <c r="L392" s="302">
        <f>D397-D392</f>
        <v>0.14502852676186406</v>
      </c>
      <c r="M392" s="302">
        <f>F397-F392</f>
        <v>2.5998678788271556E-3</v>
      </c>
      <c r="N392" s="302">
        <f>SUM(K392:M392)</f>
        <v>-0.30024078508671048</v>
      </c>
    </row>
    <row r="393" spans="1:14" x14ac:dyDescent="0.2">
      <c r="A393" s="282" t="s">
        <v>365</v>
      </c>
      <c r="B393" s="302">
        <f>'Ind T6'!Q161</f>
        <v>8.2203458480449356</v>
      </c>
      <c r="C393" s="299" t="str">
        <f>CONCATENATE("(",ROUND((B393/$H394)*100,1),")")</f>
        <v>(30)</v>
      </c>
      <c r="D393" s="302">
        <f>'Ind T6'!R161</f>
        <v>6.5565610924548654</v>
      </c>
      <c r="E393" s="299" t="str">
        <f>CONCATENATE("(",ROUND((D393/$H394)*100,1),")")</f>
        <v>(24)</v>
      </c>
      <c r="F393" s="302">
        <f>'Ind T6'!S161</f>
        <v>0.88494385913136975</v>
      </c>
      <c r="G393" s="299" t="str">
        <f>CONCATENATE("(",ROUND((F393/$H394)*100,1),")")</f>
        <v>(3.2)</v>
      </c>
      <c r="H393" s="302">
        <f t="shared" ref="H393" si="295">SUM(B393,D393,F393)</f>
        <v>15.661850799631171</v>
      </c>
      <c r="I393" s="299" t="str">
        <f>CONCATENATE("(",ROUND((H393/$H394)*100,1),")")</f>
        <v>(57.2)</v>
      </c>
      <c r="K393" s="302">
        <f t="shared" ref="K393:K394" si="296">B398-B393</f>
        <v>-4.7716080763088087E-2</v>
      </c>
      <c r="L393" s="302">
        <f t="shared" ref="L393:L394" si="297">D398-D393</f>
        <v>-3.5179245900772926E-2</v>
      </c>
      <c r="M393" s="302">
        <f t="shared" ref="M393:M394" si="298">F398-F393</f>
        <v>2.1361117505941385E-3</v>
      </c>
      <c r="N393" s="302">
        <f t="shared" ref="N393:N394" si="299">SUM(K393:M393)</f>
        <v>-8.0759214913266875E-2</v>
      </c>
    </row>
    <row r="394" spans="1:14" x14ac:dyDescent="0.2">
      <c r="A394" s="282" t="s">
        <v>363</v>
      </c>
      <c r="B394" s="302">
        <f>SUM(B392:B393)</f>
        <v>17.898666804102234</v>
      </c>
      <c r="C394" s="299" t="str">
        <f>CONCATENATE("(",ROUND((B394/$H394)*100,1),")")</f>
        <v>(65.4)</v>
      </c>
      <c r="D394" s="302">
        <f>SUM(D392:D393)</f>
        <v>8.0557357551869337</v>
      </c>
      <c r="E394" s="299" t="str">
        <f>CONCATENATE("(",ROUND((D394/$H394)*100,1),")")</f>
        <v>(29.4)</v>
      </c>
      <c r="F394" s="302">
        <f>SUM(F392:F393)</f>
        <v>1.4195974407108238</v>
      </c>
      <c r="G394" s="299" t="str">
        <f>CONCATENATE("(",ROUND((F394/$H394)*100,1),")")</f>
        <v>(5.2)</v>
      </c>
      <c r="H394" s="302">
        <f>SUM(H392:H393)</f>
        <v>27.373999999999995</v>
      </c>
      <c r="I394" s="299" t="str">
        <f>CONCATENATE("(",ROUND((H394/$H394)*100,1),")")</f>
        <v>(100)</v>
      </c>
      <c r="K394" s="302">
        <f t="shared" si="296"/>
        <v>-0.49558526049048623</v>
      </c>
      <c r="L394" s="302">
        <f t="shared" si="297"/>
        <v>0.10984928086109136</v>
      </c>
      <c r="M394" s="302">
        <f t="shared" si="298"/>
        <v>4.7359796294212941E-3</v>
      </c>
      <c r="N394" s="302">
        <f t="shared" si="299"/>
        <v>-0.38099999999997358</v>
      </c>
    </row>
    <row r="395" spans="1:14" x14ac:dyDescent="0.2">
      <c r="B395" s="302"/>
      <c r="C395" s="284"/>
      <c r="D395" s="302"/>
      <c r="E395" s="284"/>
      <c r="F395" s="302"/>
      <c r="G395" s="284"/>
      <c r="H395" s="302"/>
      <c r="I395" s="284"/>
    </row>
    <row r="396" spans="1:14" x14ac:dyDescent="0.2">
      <c r="A396" s="292">
        <f>$A$18</f>
        <v>2035</v>
      </c>
      <c r="B396" s="302"/>
      <c r="C396" s="284"/>
      <c r="D396" s="302"/>
      <c r="E396" s="284"/>
      <c r="F396" s="302"/>
      <c r="G396" s="284"/>
      <c r="H396" s="302"/>
      <c r="I396" s="284"/>
      <c r="K396" s="286" t="str">
        <f>CONCATENATE(A386," - ",A396)</f>
        <v>2020 - 2035</v>
      </c>
    </row>
    <row r="397" spans="1:14" x14ac:dyDescent="0.2">
      <c r="A397" s="282" t="s">
        <v>364</v>
      </c>
      <c r="B397" s="302">
        <f>'Ind T6'!V162</f>
        <v>9.2304517763298985</v>
      </c>
      <c r="C397" s="299" t="str">
        <f>CONCATENATE("(",ROUND((B397/$H399)*100,1),")")</f>
        <v>(34.2)</v>
      </c>
      <c r="D397" s="302">
        <f>'Ind T6'!W162</f>
        <v>1.6442031894939317</v>
      </c>
      <c r="E397" s="299" t="str">
        <f>CONCATENATE("(",ROUND((D397/$H399)*100,1),")")</f>
        <v>(6.1)</v>
      </c>
      <c r="F397" s="302">
        <f>'Ind T6'!X162</f>
        <v>0.53725344945828135</v>
      </c>
      <c r="G397" s="299" t="str">
        <f>CONCATENATE("(",ROUND((F397/$H399)*100,1),")")</f>
        <v>(2)</v>
      </c>
      <c r="H397" s="302">
        <f>SUM(B397,D397,F397)</f>
        <v>11.411908415282111</v>
      </c>
      <c r="I397" s="299" t="str">
        <f>CONCATENATE("(",ROUND((H397/$H399)*100,1),")")</f>
        <v>(42.3)</v>
      </c>
      <c r="K397" s="302">
        <f>B397-B387</f>
        <v>-0.26959164072421338</v>
      </c>
      <c r="L397" s="302">
        <f>D397-D387</f>
        <v>0.27603733087253945</v>
      </c>
      <c r="M397" s="302">
        <f>F397-F387</f>
        <v>2.3519830638397243E-2</v>
      </c>
      <c r="N397" s="302">
        <f>SUM(K397:M397)</f>
        <v>2.9965520786723321E-2</v>
      </c>
    </row>
    <row r="398" spans="1:14" x14ac:dyDescent="0.2">
      <c r="A398" s="282" t="s">
        <v>365</v>
      </c>
      <c r="B398" s="302">
        <f>'Ind T6'!V161</f>
        <v>8.1726297672818475</v>
      </c>
      <c r="C398" s="299" t="str">
        <f>CONCATENATE("(",ROUND((B398/$H399)*100,1),")")</f>
        <v>(30.3)</v>
      </c>
      <c r="D398" s="302">
        <f>'Ind T6'!W161</f>
        <v>6.5213818465540925</v>
      </c>
      <c r="E398" s="299" t="str">
        <f>CONCATENATE("(",ROUND((D398/$H399)*100,1),")")</f>
        <v>(24.2)</v>
      </c>
      <c r="F398" s="302">
        <f>'Ind T6'!X161</f>
        <v>0.88707997088196389</v>
      </c>
      <c r="G398" s="299" t="str">
        <f>CONCATENATE("(",ROUND((F398/$H399)*100,1),")")</f>
        <v>(3.3)</v>
      </c>
      <c r="H398" s="302">
        <f t="shared" ref="H398" si="300">SUM(B398,D398,F398)</f>
        <v>15.581091584717903</v>
      </c>
      <c r="I398" s="299" t="str">
        <f>CONCATENATE("(",ROUND((H398/$H399)*100,1),")")</f>
        <v>(57.7)</v>
      </c>
      <c r="K398" s="302">
        <f t="shared" ref="K398:K399" si="301">B398-B388</f>
        <v>0.26654177923249733</v>
      </c>
      <c r="L398" s="302">
        <f t="shared" ref="L398:L399" si="302">D398-D388</f>
        <v>0.2284327682838514</v>
      </c>
      <c r="M398" s="302">
        <f t="shared" ref="M398:M399" si="303">F398-F388</f>
        <v>3.7059931696986514E-2</v>
      </c>
      <c r="N398" s="302">
        <f t="shared" ref="N398:N399" si="304">SUM(K398:M398)</f>
        <v>0.53203447921333524</v>
      </c>
    </row>
    <row r="399" spans="1:14" x14ac:dyDescent="0.2">
      <c r="A399" s="282" t="s">
        <v>363</v>
      </c>
      <c r="B399" s="302">
        <f>SUM(B397:B398)</f>
        <v>17.403081543611748</v>
      </c>
      <c r="C399" s="299" t="str">
        <f>CONCATENATE("(",ROUND((B399/$H399)*100,1),")")</f>
        <v>(64.5)</v>
      </c>
      <c r="D399" s="302">
        <f>SUM(D397:D398)</f>
        <v>8.1655850360480251</v>
      </c>
      <c r="E399" s="299" t="str">
        <f>CONCATENATE("(",ROUND((D399/$H399)*100,1),")")</f>
        <v>(30.3)</v>
      </c>
      <c r="F399" s="302">
        <f>SUM(F397:F398)</f>
        <v>1.4243334203402451</v>
      </c>
      <c r="G399" s="299" t="str">
        <f>CONCATENATE("(",ROUND((F399/$H399)*100,1),")")</f>
        <v>(5.3)</v>
      </c>
      <c r="H399" s="302">
        <f>SUM(H397:H398)</f>
        <v>26.993000000000016</v>
      </c>
      <c r="I399" s="299" t="str">
        <f>CONCATENATE("(",ROUND((H399/$H399)*100,1),")")</f>
        <v>(100)</v>
      </c>
      <c r="K399" s="302">
        <f t="shared" si="301"/>
        <v>-3.0498614917142675E-3</v>
      </c>
      <c r="L399" s="302">
        <f t="shared" si="302"/>
        <v>0.50447009915639196</v>
      </c>
      <c r="M399" s="302">
        <f t="shared" si="303"/>
        <v>6.0579762335383647E-2</v>
      </c>
      <c r="N399" s="302">
        <f t="shared" si="304"/>
        <v>0.56200000000006134</v>
      </c>
    </row>
    <row r="400" spans="1:14" x14ac:dyDescent="0.2">
      <c r="A400" s="293"/>
      <c r="B400" s="294"/>
      <c r="C400" s="293"/>
      <c r="D400" s="294"/>
      <c r="E400" s="293"/>
      <c r="F400" s="294"/>
      <c r="G400" s="293"/>
      <c r="H400" s="294"/>
      <c r="I400" s="293"/>
      <c r="J400" s="293"/>
      <c r="K400" s="294"/>
      <c r="L400" s="294"/>
      <c r="M400" s="294"/>
      <c r="N400" s="294"/>
    </row>
    <row r="404" spans="1:14" x14ac:dyDescent="0.2">
      <c r="A404" s="288"/>
      <c r="B404" s="289" t="s">
        <v>372</v>
      </c>
      <c r="C404" s="288"/>
      <c r="D404" s="289"/>
      <c r="E404" s="288"/>
      <c r="F404" s="289" t="str">
        <f>name!B22</f>
        <v>Education</v>
      </c>
      <c r="G404" s="288"/>
      <c r="H404" s="291"/>
      <c r="I404" s="288"/>
      <c r="J404" s="290"/>
      <c r="K404" s="291"/>
      <c r="L404" s="291"/>
      <c r="M404" s="291"/>
      <c r="N404" s="291"/>
    </row>
    <row r="405" spans="1:14" x14ac:dyDescent="0.2">
      <c r="N405" s="287" t="s">
        <v>370</v>
      </c>
    </row>
    <row r="406" spans="1:14" x14ac:dyDescent="0.2">
      <c r="A406" s="182" t="s">
        <v>371</v>
      </c>
      <c r="B406" s="372" t="s">
        <v>369</v>
      </c>
      <c r="C406" s="372"/>
      <c r="D406" s="372" t="s">
        <v>368</v>
      </c>
      <c r="E406" s="372"/>
      <c r="F406" s="372" t="s">
        <v>367</v>
      </c>
      <c r="G406" s="372"/>
      <c r="H406" s="372" t="s">
        <v>33</v>
      </c>
      <c r="I406" s="372"/>
      <c r="J406" s="182"/>
      <c r="K406" s="297" t="s">
        <v>345</v>
      </c>
      <c r="L406" s="297" t="s">
        <v>347</v>
      </c>
      <c r="M406" s="297" t="s">
        <v>343</v>
      </c>
      <c r="N406" s="297" t="s">
        <v>33</v>
      </c>
    </row>
    <row r="407" spans="1:14" x14ac:dyDescent="0.2">
      <c r="A407" s="292">
        <f>$A$8</f>
        <v>2020</v>
      </c>
      <c r="B407" s="287" t="s">
        <v>66</v>
      </c>
      <c r="C407" s="20" t="s">
        <v>366</v>
      </c>
      <c r="D407" s="287" t="s">
        <v>66</v>
      </c>
      <c r="E407" s="20" t="s">
        <v>366</v>
      </c>
      <c r="F407" s="287" t="s">
        <v>66</v>
      </c>
      <c r="G407" s="20" t="s">
        <v>366</v>
      </c>
      <c r="H407" s="287" t="s">
        <v>66</v>
      </c>
      <c r="I407" s="20" t="s">
        <v>366</v>
      </c>
      <c r="J407" s="182"/>
      <c r="K407" s="286" t="str">
        <f>CONCATENATE(A407," - ",A412)</f>
        <v>2020 - 2025</v>
      </c>
      <c r="L407" s="285"/>
      <c r="M407" s="285"/>
    </row>
    <row r="408" spans="1:14" x14ac:dyDescent="0.2">
      <c r="A408" s="282" t="s">
        <v>364</v>
      </c>
      <c r="B408" s="302">
        <f>'Ind T6'!L171</f>
        <v>12.441393581104489</v>
      </c>
      <c r="C408" s="299" t="str">
        <f>CONCATENATE("(",ROUND((B408/$H410)*100,1),")")</f>
        <v>(16.6)</v>
      </c>
      <c r="D408" s="302">
        <f>'Ind T6'!M171</f>
        <v>6.2652840682780866</v>
      </c>
      <c r="E408" s="299" t="str">
        <f>CONCATENATE("(",ROUND((D408/$H410)*100,1),")")</f>
        <v>(8.3)</v>
      </c>
      <c r="F408" s="302">
        <f>'Ind T6'!N171</f>
        <v>4.038356644885754</v>
      </c>
      <c r="G408" s="299" t="str">
        <f>CONCATENATE("(",ROUND((F408/$H410)*100,1),")")</f>
        <v>(5.4)</v>
      </c>
      <c r="H408" s="302">
        <f>SUM(B408,D408,F408)</f>
        <v>22.745034294268329</v>
      </c>
      <c r="I408" s="299" t="str">
        <f>CONCATENATE("(",ROUND((H408/$H410)*100,1),")")</f>
        <v>(30.3)</v>
      </c>
      <c r="K408" s="302">
        <f>B413-B408</f>
        <v>-0.18869113131721882</v>
      </c>
      <c r="L408" s="302">
        <f>D413-D408</f>
        <v>7.0626310570164996E-2</v>
      </c>
      <c r="M408" s="302">
        <f>F413-F408</f>
        <v>6.9523414200993727E-2</v>
      </c>
      <c r="N408" s="302">
        <f>SUM(K408:M408)</f>
        <v>-4.8541406546060095E-2</v>
      </c>
    </row>
    <row r="409" spans="1:14" x14ac:dyDescent="0.2">
      <c r="A409" s="282" t="s">
        <v>365</v>
      </c>
      <c r="B409" s="302">
        <f>'Ind T6'!L170</f>
        <v>19.472539268660721</v>
      </c>
      <c r="C409" s="299" t="str">
        <f>CONCATENATE("(",ROUND((B409/$H410)*100,1),")")</f>
        <v>(25.9)</v>
      </c>
      <c r="D409" s="302">
        <f>'Ind T6'!M170</f>
        <v>26.832282633172483</v>
      </c>
      <c r="E409" s="299" t="str">
        <f>CONCATENATE("(",ROUND((D409/$H410)*100,1),")")</f>
        <v>(35.7)</v>
      </c>
      <c r="F409" s="302">
        <f>'Ind T6'!N170</f>
        <v>6.0661438038984778</v>
      </c>
      <c r="G409" s="299" t="str">
        <f>CONCATENATE("(",ROUND((F409/$H410)*100,1),")")</f>
        <v>(8.1)</v>
      </c>
      <c r="H409" s="302">
        <f t="shared" ref="H409" si="305">SUM(B409,D409,F409)</f>
        <v>52.370965705731685</v>
      </c>
      <c r="I409" s="299" t="str">
        <f>CONCATENATE("(",ROUND((H409/$H410)*100,1),")")</f>
        <v>(69.7)</v>
      </c>
      <c r="K409" s="302">
        <f t="shared" ref="K409:K410" si="306">B414-B409</f>
        <v>0.39034940602522639</v>
      </c>
      <c r="L409" s="302">
        <f t="shared" ref="L409:L410" si="307">D414-D409</f>
        <v>-0.63348357948030554</v>
      </c>
      <c r="M409" s="302">
        <f t="shared" ref="M409:M410" si="308">F414-F409</f>
        <v>5.4675580001118718E-2</v>
      </c>
      <c r="N409" s="302">
        <f t="shared" ref="N409:N410" si="309">SUM(K409:M409)</f>
        <v>-0.18845859345396043</v>
      </c>
    </row>
    <row r="410" spans="1:14" x14ac:dyDescent="0.2">
      <c r="A410" s="282" t="s">
        <v>363</v>
      </c>
      <c r="B410" s="302">
        <f>SUM(B408:B409)</f>
        <v>31.91393284976521</v>
      </c>
      <c r="C410" s="299" t="str">
        <f>CONCATENATE("(",ROUND((B410/$H410)*100,1),")")</f>
        <v>(42.5)</v>
      </c>
      <c r="D410" s="302">
        <f>SUM(D408:D409)</f>
        <v>33.097566701450567</v>
      </c>
      <c r="E410" s="299" t="str">
        <f>CONCATENATE("(",ROUND((D410/$H410)*100,1),")")</f>
        <v>(44.1)</v>
      </c>
      <c r="F410" s="302">
        <f>SUM(F408:F409)</f>
        <v>10.104500448784233</v>
      </c>
      <c r="G410" s="299" t="str">
        <f>CONCATENATE("(",ROUND((F410/$H410)*100,1),")")</f>
        <v>(13.5)</v>
      </c>
      <c r="H410" s="302">
        <f>SUM(H408:H409)</f>
        <v>75.116000000000014</v>
      </c>
      <c r="I410" s="299" t="str">
        <f>CONCATENATE("(",ROUND((H410/$H410)*100,1),")")</f>
        <v>(100)</v>
      </c>
      <c r="K410" s="302">
        <f t="shared" si="306"/>
        <v>0.20165827470800934</v>
      </c>
      <c r="L410" s="302">
        <f t="shared" si="307"/>
        <v>-0.5628572689101361</v>
      </c>
      <c r="M410" s="302">
        <f t="shared" si="308"/>
        <v>0.12419899420211067</v>
      </c>
      <c r="N410" s="302">
        <f t="shared" si="309"/>
        <v>-0.23700000000001609</v>
      </c>
    </row>
    <row r="411" spans="1:14" x14ac:dyDescent="0.2">
      <c r="B411" s="302"/>
      <c r="C411" s="284"/>
      <c r="D411" s="302"/>
      <c r="E411" s="284"/>
      <c r="F411" s="302"/>
      <c r="G411" s="284"/>
      <c r="H411" s="302"/>
      <c r="I411" s="284"/>
    </row>
    <row r="412" spans="1:14" x14ac:dyDescent="0.2">
      <c r="A412" s="292">
        <f>$A$13</f>
        <v>2025</v>
      </c>
      <c r="B412" s="302"/>
      <c r="C412" s="284"/>
      <c r="D412" s="302"/>
      <c r="E412" s="284"/>
      <c r="F412" s="302"/>
      <c r="G412" s="284"/>
      <c r="H412" s="302"/>
      <c r="I412" s="284"/>
      <c r="K412" s="286" t="str">
        <f>CONCATENATE(A412," - ",A417)</f>
        <v>2025 - 2035</v>
      </c>
    </row>
    <row r="413" spans="1:14" x14ac:dyDescent="0.2">
      <c r="A413" s="282" t="s">
        <v>364</v>
      </c>
      <c r="B413" s="302">
        <f>'Ind T6'!Q171</f>
        <v>12.25270244978727</v>
      </c>
      <c r="C413" s="299" t="str">
        <f>CONCATENATE("(",ROUND((B413/$H415)*100,1),")")</f>
        <v>(16.4)</v>
      </c>
      <c r="D413" s="302">
        <f>'Ind T6'!R171</f>
        <v>6.3359103788482516</v>
      </c>
      <c r="E413" s="299" t="str">
        <f>CONCATENATE("(",ROUND((D413/$H415)*100,1),")")</f>
        <v>(8.5)</v>
      </c>
      <c r="F413" s="302">
        <f>'Ind T6'!S171</f>
        <v>4.1078800590867477</v>
      </c>
      <c r="G413" s="299" t="str">
        <f>CONCATENATE("(",ROUND((F413/$H415)*100,1),")")</f>
        <v>(5.5)</v>
      </c>
      <c r="H413" s="302">
        <f>SUM(B413,D413,F413)</f>
        <v>22.696492887722272</v>
      </c>
      <c r="I413" s="299" t="str">
        <f>CONCATENATE("(",ROUND((H413/$H415)*100,1),")")</f>
        <v>(30.3)</v>
      </c>
      <c r="K413" s="302">
        <f>B418-B413</f>
        <v>1.7562069601382291E-3</v>
      </c>
      <c r="L413" s="302">
        <f>D418-D413</f>
        <v>0.30582036016303871</v>
      </c>
      <c r="M413" s="302">
        <f>F418-F413</f>
        <v>0.23647416888105521</v>
      </c>
      <c r="N413" s="302">
        <f>SUM(K413:M413)</f>
        <v>0.54405073600423215</v>
      </c>
    </row>
    <row r="414" spans="1:14" x14ac:dyDescent="0.2">
      <c r="A414" s="282" t="s">
        <v>365</v>
      </c>
      <c r="B414" s="302">
        <f>'Ind T6'!Q170</f>
        <v>19.862888674685948</v>
      </c>
      <c r="C414" s="299" t="str">
        <f>CONCATENATE("(",ROUND((B414/$H415)*100,1),")")</f>
        <v>(26.5)</v>
      </c>
      <c r="D414" s="302">
        <f>'Ind T6'!R170</f>
        <v>26.198799053692177</v>
      </c>
      <c r="E414" s="299" t="str">
        <f>CONCATENATE("(",ROUND((D414/$H415)*100,1),")")</f>
        <v>(35)</v>
      </c>
      <c r="F414" s="302">
        <f>'Ind T6'!S170</f>
        <v>6.1208193838995966</v>
      </c>
      <c r="G414" s="299" t="str">
        <f>CONCATENATE("(",ROUND((F414/$H415)*100,1),")")</f>
        <v>(8.2)</v>
      </c>
      <c r="H414" s="302">
        <f t="shared" ref="H414" si="310">SUM(B414,D414,F414)</f>
        <v>52.182507112277719</v>
      </c>
      <c r="I414" s="299" t="str">
        <f>CONCATENATE("(",ROUND((H414/$H415)*100,1),")")</f>
        <v>(69.7)</v>
      </c>
      <c r="K414" s="302">
        <f t="shared" ref="K414:K415" si="311">B419-B414</f>
        <v>1.4631745233213813</v>
      </c>
      <c r="L414" s="302">
        <f t="shared" ref="L414:L415" si="312">D419-D414</f>
        <v>-0.48556732643657341</v>
      </c>
      <c r="M414" s="302">
        <f t="shared" ref="M414:M415" si="313">F419-F414</f>
        <v>0.16834206711092836</v>
      </c>
      <c r="N414" s="302">
        <f t="shared" ref="N414:N415" si="314">SUM(K414:M414)</f>
        <v>1.1459492639957363</v>
      </c>
    </row>
    <row r="415" spans="1:14" x14ac:dyDescent="0.2">
      <c r="A415" s="282" t="s">
        <v>363</v>
      </c>
      <c r="B415" s="302">
        <f>SUM(B413:B414)</f>
        <v>32.11559112447322</v>
      </c>
      <c r="C415" s="299" t="str">
        <f>CONCATENATE("(",ROUND((B415/$H415)*100,1),")")</f>
        <v>(42.9)</v>
      </c>
      <c r="D415" s="302">
        <f>SUM(D413:D414)</f>
        <v>32.534709432540431</v>
      </c>
      <c r="E415" s="299" t="str">
        <f>CONCATENATE("(",ROUND((D415/$H415)*100,1),")")</f>
        <v>(43.4)</v>
      </c>
      <c r="F415" s="302">
        <f>SUM(F413:F414)</f>
        <v>10.228699442986343</v>
      </c>
      <c r="G415" s="299" t="str">
        <f>CONCATENATE("(",ROUND((F415/$H415)*100,1),")")</f>
        <v>(13.7)</v>
      </c>
      <c r="H415" s="302">
        <f>SUM(H413:H414)</f>
        <v>74.878999999999991</v>
      </c>
      <c r="I415" s="299" t="str">
        <f>CONCATENATE("(",ROUND((H415/$H415)*100,1),")")</f>
        <v>(100)</v>
      </c>
      <c r="K415" s="302">
        <f t="shared" si="311"/>
        <v>1.464930730281516</v>
      </c>
      <c r="L415" s="302">
        <f t="shared" si="312"/>
        <v>-0.17974696627353381</v>
      </c>
      <c r="M415" s="302">
        <f t="shared" si="313"/>
        <v>0.40481623599198358</v>
      </c>
      <c r="N415" s="302">
        <f t="shared" si="314"/>
        <v>1.6899999999999658</v>
      </c>
    </row>
    <row r="416" spans="1:14" x14ac:dyDescent="0.2">
      <c r="B416" s="302"/>
      <c r="C416" s="284"/>
      <c r="D416" s="302"/>
      <c r="E416" s="284"/>
      <c r="F416" s="302"/>
      <c r="G416" s="284"/>
      <c r="H416" s="302"/>
      <c r="I416" s="284"/>
    </row>
    <row r="417" spans="1:14" x14ac:dyDescent="0.2">
      <c r="A417" s="292">
        <f>$A$18</f>
        <v>2035</v>
      </c>
      <c r="B417" s="302"/>
      <c r="C417" s="284"/>
      <c r="D417" s="302"/>
      <c r="E417" s="284"/>
      <c r="F417" s="302"/>
      <c r="G417" s="284"/>
      <c r="H417" s="302"/>
      <c r="I417" s="284"/>
      <c r="K417" s="286" t="str">
        <f>CONCATENATE(A407," - ",A417)</f>
        <v>2020 - 2035</v>
      </c>
    </row>
    <row r="418" spans="1:14" x14ac:dyDescent="0.2">
      <c r="A418" s="282" t="s">
        <v>364</v>
      </c>
      <c r="B418" s="302">
        <f>'Ind T6'!V171</f>
        <v>12.254458656747408</v>
      </c>
      <c r="C418" s="299" t="str">
        <f>CONCATENATE("(",ROUND((B418/$H420)*100,1),")")</f>
        <v>(16)</v>
      </c>
      <c r="D418" s="302">
        <f>'Ind T6'!W171</f>
        <v>6.6417307390112903</v>
      </c>
      <c r="E418" s="299" t="str">
        <f>CONCATENATE("(",ROUND((D418/$H420)*100,1),")")</f>
        <v>(8.7)</v>
      </c>
      <c r="F418" s="302">
        <f>'Ind T6'!X171</f>
        <v>4.3443542279678029</v>
      </c>
      <c r="G418" s="299" t="str">
        <f>CONCATENATE("(",ROUND((F418/$H420)*100,1),")")</f>
        <v>(5.7)</v>
      </c>
      <c r="H418" s="302">
        <f>SUM(B418,D418,F418)</f>
        <v>23.240543623726499</v>
      </c>
      <c r="I418" s="299" t="str">
        <f>CONCATENATE("(",ROUND((H418/$H420)*100,1),")")</f>
        <v>(30.4)</v>
      </c>
      <c r="K418" s="302">
        <f>B418-B408</f>
        <v>-0.18693492435708059</v>
      </c>
      <c r="L418" s="302">
        <f>D418-D408</f>
        <v>0.3764466707332037</v>
      </c>
      <c r="M418" s="302">
        <f>F418-F408</f>
        <v>0.30599758308204894</v>
      </c>
      <c r="N418" s="302">
        <f>SUM(K418:M418)</f>
        <v>0.49550932945817205</v>
      </c>
    </row>
    <row r="419" spans="1:14" x14ac:dyDescent="0.2">
      <c r="A419" s="282" t="s">
        <v>365</v>
      </c>
      <c r="B419" s="302">
        <f>'Ind T6'!V170</f>
        <v>21.326063198007329</v>
      </c>
      <c r="C419" s="299" t="str">
        <f>CONCATENATE("(",ROUND((B419/$H420)*100,1),")")</f>
        <v>(27.9)</v>
      </c>
      <c r="D419" s="302">
        <f>'Ind T6'!W170</f>
        <v>25.713231727255604</v>
      </c>
      <c r="E419" s="299" t="str">
        <f>CONCATENATE("(",ROUND((D419/$H420)*100,1),")")</f>
        <v>(33.6)</v>
      </c>
      <c r="F419" s="302">
        <f>'Ind T6'!X170</f>
        <v>6.2891614510105249</v>
      </c>
      <c r="G419" s="299" t="str">
        <f>CONCATENATE("(",ROUND((F419/$H420)*100,1),")")</f>
        <v>(8.2)</v>
      </c>
      <c r="H419" s="302">
        <f t="shared" ref="H419" si="315">SUM(B419,D419,F419)</f>
        <v>53.328456376273465</v>
      </c>
      <c r="I419" s="299" t="str">
        <f>CONCATENATE("(",ROUND((H419/$H420)*100,1),")")</f>
        <v>(69.6)</v>
      </c>
      <c r="K419" s="302">
        <f t="shared" ref="K419:K420" si="316">B419-B409</f>
        <v>1.8535239293466077</v>
      </c>
      <c r="L419" s="302">
        <f t="shared" ref="L419:L420" si="317">D419-D409</f>
        <v>-1.1190509059168789</v>
      </c>
      <c r="M419" s="302">
        <f t="shared" ref="M419:M420" si="318">F419-F409</f>
        <v>0.22301764711204708</v>
      </c>
      <c r="N419" s="302">
        <f t="shared" ref="N419:N420" si="319">SUM(K419:M419)</f>
        <v>0.95749067054177583</v>
      </c>
    </row>
    <row r="420" spans="1:14" x14ac:dyDescent="0.2">
      <c r="A420" s="282" t="s">
        <v>363</v>
      </c>
      <c r="B420" s="302">
        <f>SUM(B418:B419)</f>
        <v>33.580521854754736</v>
      </c>
      <c r="C420" s="299" t="str">
        <f>CONCATENATE("(",ROUND((B420/$H420)*100,1),")")</f>
        <v>(43.9)</v>
      </c>
      <c r="D420" s="302">
        <f>SUM(D418:D419)</f>
        <v>32.354962466266898</v>
      </c>
      <c r="E420" s="299" t="str">
        <f>CONCATENATE("(",ROUND((D420/$H420)*100,1),")")</f>
        <v>(42.3)</v>
      </c>
      <c r="F420" s="302">
        <f>SUM(F418:F419)</f>
        <v>10.633515678978327</v>
      </c>
      <c r="G420" s="299" t="str">
        <f>CONCATENATE("(",ROUND((F420/$H420)*100,1),")")</f>
        <v>(13.9)</v>
      </c>
      <c r="H420" s="302">
        <f>SUM(H418:H419)</f>
        <v>76.56899999999996</v>
      </c>
      <c r="I420" s="299" t="str">
        <f>CONCATENATE("(",ROUND((H420/$H420)*100,1),")")</f>
        <v>(100)</v>
      </c>
      <c r="K420" s="302">
        <f t="shared" si="316"/>
        <v>1.6665890049895253</v>
      </c>
      <c r="L420" s="302">
        <f t="shared" si="317"/>
        <v>-0.74260423518366991</v>
      </c>
      <c r="M420" s="302">
        <f t="shared" si="318"/>
        <v>0.52901523019409424</v>
      </c>
      <c r="N420" s="302">
        <f t="shared" si="319"/>
        <v>1.4529999999999497</v>
      </c>
    </row>
    <row r="421" spans="1:14" x14ac:dyDescent="0.2">
      <c r="A421" s="293"/>
      <c r="B421" s="294"/>
      <c r="C421" s="293"/>
      <c r="D421" s="294"/>
      <c r="E421" s="293"/>
      <c r="F421" s="294"/>
      <c r="G421" s="293"/>
      <c r="H421" s="294"/>
      <c r="I421" s="293"/>
      <c r="J421" s="293"/>
      <c r="K421" s="294"/>
      <c r="L421" s="294"/>
      <c r="M421" s="294"/>
      <c r="N421" s="294"/>
    </row>
    <row r="424" spans="1:14" x14ac:dyDescent="0.2">
      <c r="C424" s="182"/>
      <c r="E424" s="182"/>
      <c r="G424" s="182"/>
      <c r="I424" s="182"/>
    </row>
    <row r="425" spans="1:14" x14ac:dyDescent="0.2">
      <c r="A425" s="288"/>
      <c r="B425" s="289" t="s">
        <v>372</v>
      </c>
      <c r="C425" s="288"/>
      <c r="D425" s="289"/>
      <c r="E425" s="288"/>
      <c r="F425" s="289" t="str">
        <f>name!B23</f>
        <v>Health and social work</v>
      </c>
      <c r="G425" s="288"/>
      <c r="H425" s="291"/>
      <c r="I425" s="288"/>
      <c r="J425" s="290"/>
      <c r="K425" s="291"/>
      <c r="L425" s="291"/>
      <c r="M425" s="291"/>
      <c r="N425" s="291"/>
    </row>
    <row r="426" spans="1:14" x14ac:dyDescent="0.2">
      <c r="N426" s="287" t="s">
        <v>370</v>
      </c>
    </row>
    <row r="427" spans="1:14" x14ac:dyDescent="0.2">
      <c r="A427" s="182" t="s">
        <v>371</v>
      </c>
      <c r="B427" s="372" t="s">
        <v>369</v>
      </c>
      <c r="C427" s="372"/>
      <c r="D427" s="372" t="s">
        <v>368</v>
      </c>
      <c r="E427" s="372"/>
      <c r="F427" s="372" t="s">
        <v>367</v>
      </c>
      <c r="G427" s="372"/>
      <c r="H427" s="372" t="s">
        <v>33</v>
      </c>
      <c r="I427" s="372"/>
      <c r="J427" s="182"/>
      <c r="K427" s="297" t="s">
        <v>345</v>
      </c>
      <c r="L427" s="297" t="s">
        <v>347</v>
      </c>
      <c r="M427" s="297" t="s">
        <v>343</v>
      </c>
      <c r="N427" s="297" t="s">
        <v>33</v>
      </c>
    </row>
    <row r="428" spans="1:14" x14ac:dyDescent="0.2">
      <c r="A428" s="292">
        <f>$A$8</f>
        <v>2020</v>
      </c>
      <c r="B428" s="287" t="s">
        <v>66</v>
      </c>
      <c r="C428" s="20" t="s">
        <v>366</v>
      </c>
      <c r="D428" s="287" t="s">
        <v>66</v>
      </c>
      <c r="E428" s="20" t="s">
        <v>366</v>
      </c>
      <c r="F428" s="287" t="s">
        <v>66</v>
      </c>
      <c r="G428" s="20" t="s">
        <v>366</v>
      </c>
      <c r="H428" s="287" t="s">
        <v>66</v>
      </c>
      <c r="I428" s="20" t="s">
        <v>366</v>
      </c>
      <c r="J428" s="182"/>
      <c r="K428" s="286" t="str">
        <f>CONCATENATE(A428," - ",A433)</f>
        <v>2020 - 2025</v>
      </c>
      <c r="L428" s="285"/>
      <c r="M428" s="285"/>
    </row>
    <row r="429" spans="1:14" x14ac:dyDescent="0.2">
      <c r="A429" s="282" t="s">
        <v>364</v>
      </c>
      <c r="B429" s="302">
        <f>'Ind T6'!L180</f>
        <v>12.839971823851872</v>
      </c>
      <c r="C429" s="299" t="str">
        <f>CONCATENATE("(",ROUND((B429/$H431)*100,1),")")</f>
        <v>(13.3)</v>
      </c>
      <c r="D429" s="302">
        <f>'Ind T6'!M180</f>
        <v>5.4970466697223115</v>
      </c>
      <c r="E429" s="299" t="str">
        <f>CONCATENATE("(",ROUND((D429/$H431)*100,1),")")</f>
        <v>(5.7)</v>
      </c>
      <c r="F429" s="302">
        <f>'Ind T6'!N180</f>
        <v>1.738690961699332</v>
      </c>
      <c r="G429" s="299" t="str">
        <f>CONCATENATE("(",ROUND((F429/$H431)*100,1),")")</f>
        <v>(1.8)</v>
      </c>
      <c r="H429" s="302">
        <f>SUM(B429,D429,F429)</f>
        <v>20.075709455273518</v>
      </c>
      <c r="I429" s="299" t="str">
        <f>CONCATENATE("(",ROUND((H429/$H431)*100,1),")")</f>
        <v>(20.8)</v>
      </c>
      <c r="K429" s="302">
        <f>B434-B429</f>
        <v>0.57236362725682</v>
      </c>
      <c r="L429" s="302">
        <f>D434-D429</f>
        <v>0.31668745325499437</v>
      </c>
      <c r="M429" s="302">
        <f>F434-F429</f>
        <v>8.3457250000715799E-3</v>
      </c>
      <c r="N429" s="302">
        <f>SUM(K429:M429)</f>
        <v>0.89739680551188594</v>
      </c>
    </row>
    <row r="430" spans="1:14" x14ac:dyDescent="0.2">
      <c r="A430" s="282" t="s">
        <v>365</v>
      </c>
      <c r="B430" s="302">
        <f>'Ind T6'!L179</f>
        <v>35.964313110904996</v>
      </c>
      <c r="C430" s="299" t="str">
        <f>CONCATENATE("(",ROUND((B430/$H431)*100,1),")")</f>
        <v>(37.2)</v>
      </c>
      <c r="D430" s="302">
        <f>'Ind T6'!M179</f>
        <v>33.584650702540515</v>
      </c>
      <c r="E430" s="299" t="str">
        <f>CONCATENATE("(",ROUND((D430/$H431)*100,1),")")</f>
        <v>(34.8)</v>
      </c>
      <c r="F430" s="302">
        <f>'Ind T6'!N179</f>
        <v>6.9443267312811194</v>
      </c>
      <c r="G430" s="299" t="str">
        <f>CONCATENATE("(",ROUND((F430/$H431)*100,1),")")</f>
        <v>(7.2)</v>
      </c>
      <c r="H430" s="302">
        <f t="shared" ref="H430" si="320">SUM(B430,D430,F430)</f>
        <v>76.493290544726634</v>
      </c>
      <c r="I430" s="299" t="str">
        <f>CONCATENATE("(",ROUND((H430/$H431)*100,1),")")</f>
        <v>(79.2)</v>
      </c>
      <c r="K430" s="302">
        <f t="shared" ref="K430:K431" si="321">B435-B430</f>
        <v>2.4676608708723933</v>
      </c>
      <c r="L430" s="302">
        <f t="shared" ref="L430:L431" si="322">D435-D430</f>
        <v>0.21383467851697446</v>
      </c>
      <c r="M430" s="302">
        <f t="shared" ref="M430:M431" si="323">F435-F430</f>
        <v>0.65810764509865471</v>
      </c>
      <c r="N430" s="302">
        <f t="shared" ref="N430:N431" si="324">SUM(K430:M430)</f>
        <v>3.3396031944880225</v>
      </c>
    </row>
    <row r="431" spans="1:14" x14ac:dyDescent="0.2">
      <c r="A431" s="282" t="s">
        <v>363</v>
      </c>
      <c r="B431" s="302">
        <f>SUM(B429:B430)</f>
        <v>48.804284934756865</v>
      </c>
      <c r="C431" s="299" t="str">
        <f>CONCATENATE("(",ROUND((B431/$H431)*100,1),")")</f>
        <v>(50.5)</v>
      </c>
      <c r="D431" s="302">
        <f>SUM(D429:D430)</f>
        <v>39.081697372262823</v>
      </c>
      <c r="E431" s="299" t="str">
        <f>CONCATENATE("(",ROUND((D431/$H431)*100,1),")")</f>
        <v>(40.5)</v>
      </c>
      <c r="F431" s="302">
        <f>SUM(F429:F430)</f>
        <v>8.6830176929804512</v>
      </c>
      <c r="G431" s="299" t="str">
        <f>CONCATENATE("(",ROUND((F431/$H431)*100,1),")")</f>
        <v>(9)</v>
      </c>
      <c r="H431" s="302">
        <f>SUM(H429:H430)</f>
        <v>96.569000000000159</v>
      </c>
      <c r="I431" s="299" t="str">
        <f>CONCATENATE("(",ROUND((H431/$H431)*100,1),")")</f>
        <v>(100)</v>
      </c>
      <c r="K431" s="302">
        <f t="shared" si="321"/>
        <v>3.0400244981292133</v>
      </c>
      <c r="L431" s="302">
        <f t="shared" si="322"/>
        <v>0.53052213177197416</v>
      </c>
      <c r="M431" s="302">
        <f t="shared" si="323"/>
        <v>0.6664533700987274</v>
      </c>
      <c r="N431" s="302">
        <f t="shared" si="324"/>
        <v>4.2369999999999148</v>
      </c>
    </row>
    <row r="432" spans="1:14" x14ac:dyDescent="0.2">
      <c r="B432" s="302"/>
      <c r="C432" s="284"/>
      <c r="D432" s="302"/>
      <c r="E432" s="284"/>
      <c r="F432" s="302"/>
      <c r="G432" s="284"/>
      <c r="H432" s="302"/>
      <c r="I432" s="284"/>
    </row>
    <row r="433" spans="1:14" x14ac:dyDescent="0.2">
      <c r="A433" s="292">
        <f>$A$13</f>
        <v>2025</v>
      </c>
      <c r="B433" s="302"/>
      <c r="C433" s="284"/>
      <c r="D433" s="302"/>
      <c r="E433" s="284"/>
      <c r="F433" s="302"/>
      <c r="G433" s="284"/>
      <c r="H433" s="302"/>
      <c r="I433" s="284"/>
      <c r="K433" s="286" t="str">
        <f>CONCATENATE(A433," - ",A438)</f>
        <v>2025 - 2035</v>
      </c>
    </row>
    <row r="434" spans="1:14" x14ac:dyDescent="0.2">
      <c r="A434" s="282" t="s">
        <v>364</v>
      </c>
      <c r="B434" s="302">
        <f>'Ind T6'!Q180</f>
        <v>13.412335451108692</v>
      </c>
      <c r="C434" s="299" t="str">
        <f>CONCATENATE("(",ROUND((B434/$H436)*100,1),")")</f>
        <v>(13.3)</v>
      </c>
      <c r="D434" s="302">
        <f>'Ind T6'!R180</f>
        <v>5.8137341229773059</v>
      </c>
      <c r="E434" s="299" t="str">
        <f>CONCATENATE("(",ROUND((D434/$H436)*100,1),")")</f>
        <v>(5.8)</v>
      </c>
      <c r="F434" s="302">
        <f>'Ind T6'!S180</f>
        <v>1.7470366866994036</v>
      </c>
      <c r="G434" s="299" t="str">
        <f>CONCATENATE("(",ROUND((F434/$H436)*100,1),")")</f>
        <v>(1.7)</v>
      </c>
      <c r="H434" s="302">
        <f>SUM(B434,D434,F434)</f>
        <v>20.9731062607854</v>
      </c>
      <c r="I434" s="299" t="str">
        <f>CONCATENATE("(",ROUND((H434/$H436)*100,1),")")</f>
        <v>(20.8)</v>
      </c>
      <c r="K434" s="302">
        <f>B439-B434</f>
        <v>0.26481843342772748</v>
      </c>
      <c r="L434" s="302">
        <f>D439-D434</f>
        <v>0.25214489977538435</v>
      </c>
      <c r="M434" s="302">
        <f>F439-F434</f>
        <v>-0.11866097143993937</v>
      </c>
      <c r="N434" s="302">
        <f>SUM(K434:M434)</f>
        <v>0.39830236176317246</v>
      </c>
    </row>
    <row r="435" spans="1:14" x14ac:dyDescent="0.2">
      <c r="A435" s="282" t="s">
        <v>365</v>
      </c>
      <c r="B435" s="302">
        <f>'Ind T6'!Q179</f>
        <v>38.431973981777389</v>
      </c>
      <c r="C435" s="299" t="str">
        <f>CONCATENATE("(",ROUND((B435/$H436)*100,1),")")</f>
        <v>(38.1)</v>
      </c>
      <c r="D435" s="302">
        <f>'Ind T6'!R179</f>
        <v>33.798485381057489</v>
      </c>
      <c r="E435" s="299" t="str">
        <f>CONCATENATE("(",ROUND((D435/$H436)*100,1),")")</f>
        <v>(33.5)</v>
      </c>
      <c r="F435" s="302">
        <f>'Ind T6'!S179</f>
        <v>7.6024343763797742</v>
      </c>
      <c r="G435" s="299" t="str">
        <f>CONCATENATE("(",ROUND((F435/$H436)*100,1),")")</f>
        <v>(7.5)</v>
      </c>
      <c r="H435" s="302">
        <f t="shared" ref="H435" si="325">SUM(B435,D435,F435)</f>
        <v>79.832893739214654</v>
      </c>
      <c r="I435" s="299" t="str">
        <f>CONCATENATE("(",ROUND((H435/$H436)*100,1),")")</f>
        <v>(79.2)</v>
      </c>
      <c r="K435" s="302">
        <f t="shared" ref="K435:K436" si="326">B440-B435</f>
        <v>2.4974741827967932</v>
      </c>
      <c r="L435" s="302">
        <f t="shared" ref="L435:L436" si="327">D440-D435</f>
        <v>-2.0028341891678245</v>
      </c>
      <c r="M435" s="302">
        <f t="shared" ref="M435:M436" si="328">F440-F435</f>
        <v>0.69805764460781994</v>
      </c>
      <c r="N435" s="302">
        <f t="shared" ref="N435:N436" si="329">SUM(K435:M435)</f>
        <v>1.1926976382367886</v>
      </c>
    </row>
    <row r="436" spans="1:14" x14ac:dyDescent="0.2">
      <c r="A436" s="282" t="s">
        <v>363</v>
      </c>
      <c r="B436" s="302">
        <f>SUM(B434:B435)</f>
        <v>51.844309432886078</v>
      </c>
      <c r="C436" s="299" t="str">
        <f>CONCATENATE("(",ROUND((B436/$H436)*100,1),")")</f>
        <v>(51.4)</v>
      </c>
      <c r="D436" s="302">
        <f>SUM(D434:D435)</f>
        <v>39.612219504034798</v>
      </c>
      <c r="E436" s="299" t="str">
        <f>CONCATENATE("(",ROUND((D436/$H436)*100,1),")")</f>
        <v>(39.3)</v>
      </c>
      <c r="F436" s="302">
        <f>SUM(F434:F435)</f>
        <v>9.3494710630791786</v>
      </c>
      <c r="G436" s="299" t="str">
        <f>CONCATENATE("(",ROUND((F436/$H436)*100,1),")")</f>
        <v>(9.3)</v>
      </c>
      <c r="H436" s="302">
        <f>SUM(H434:H435)</f>
        <v>100.80600000000005</v>
      </c>
      <c r="I436" s="299" t="str">
        <f>CONCATENATE("(",ROUND((H436/$H436)*100,1),")")</f>
        <v>(100)</v>
      </c>
      <c r="K436" s="302">
        <f t="shared" si="326"/>
        <v>2.7622926162245278</v>
      </c>
      <c r="L436" s="302">
        <f t="shared" si="327"/>
        <v>-1.7506892893924402</v>
      </c>
      <c r="M436" s="302">
        <f t="shared" si="328"/>
        <v>0.57939667316787968</v>
      </c>
      <c r="N436" s="302">
        <f t="shared" si="329"/>
        <v>1.5909999999999673</v>
      </c>
    </row>
    <row r="437" spans="1:14" x14ac:dyDescent="0.2">
      <c r="B437" s="302"/>
      <c r="C437" s="284"/>
      <c r="D437" s="302"/>
      <c r="E437" s="284"/>
      <c r="F437" s="302"/>
      <c r="G437" s="284"/>
      <c r="H437" s="302"/>
      <c r="I437" s="284"/>
    </row>
    <row r="438" spans="1:14" x14ac:dyDescent="0.2">
      <c r="A438" s="292">
        <f>$A$18</f>
        <v>2035</v>
      </c>
      <c r="B438" s="302"/>
      <c r="C438" s="284"/>
      <c r="D438" s="302"/>
      <c r="E438" s="284"/>
      <c r="F438" s="302"/>
      <c r="G438" s="284"/>
      <c r="H438" s="302"/>
      <c r="I438" s="284"/>
      <c r="K438" s="286" t="str">
        <f>CONCATENATE(A428," - ",A438)</f>
        <v>2020 - 2035</v>
      </c>
    </row>
    <row r="439" spans="1:14" x14ac:dyDescent="0.2">
      <c r="A439" s="282" t="s">
        <v>364</v>
      </c>
      <c r="B439" s="302">
        <f>'Ind T6'!V180</f>
        <v>13.67715388453642</v>
      </c>
      <c r="C439" s="299" t="str">
        <f>CONCATENATE("(",ROUND((B439/$H441)*100,1),")")</f>
        <v>(13.4)</v>
      </c>
      <c r="D439" s="302">
        <f>'Ind T6'!W180</f>
        <v>6.0658790227526902</v>
      </c>
      <c r="E439" s="299" t="str">
        <f>CONCATENATE("(",ROUND((D439/$H441)*100,1),")")</f>
        <v>(5.9)</v>
      </c>
      <c r="F439" s="302">
        <f>'Ind T6'!X180</f>
        <v>1.6283757152594642</v>
      </c>
      <c r="G439" s="299" t="str">
        <f>CONCATENATE("(",ROUND((F439/$H441)*100,1),")")</f>
        <v>(1.6)</v>
      </c>
      <c r="H439" s="302">
        <f>SUM(B439,D439,F439)</f>
        <v>21.371408622548572</v>
      </c>
      <c r="I439" s="299" t="str">
        <f>CONCATENATE("(",ROUND((H439/$H441)*100,1),")")</f>
        <v>(20.9)</v>
      </c>
      <c r="K439" s="302">
        <f>B439-B429</f>
        <v>0.83718206068454748</v>
      </c>
      <c r="L439" s="302">
        <f>D439-D429</f>
        <v>0.56883235303037871</v>
      </c>
      <c r="M439" s="302">
        <f>F439-F429</f>
        <v>-0.11031524643986779</v>
      </c>
      <c r="N439" s="302">
        <f>SUM(K439:M439)</f>
        <v>1.2956991672750584</v>
      </c>
    </row>
    <row r="440" spans="1:14" x14ac:dyDescent="0.2">
      <c r="A440" s="282" t="s">
        <v>365</v>
      </c>
      <c r="B440" s="302">
        <f>'Ind T6'!V179</f>
        <v>40.929448164574183</v>
      </c>
      <c r="C440" s="299" t="str">
        <f>CONCATENATE("(",ROUND((B440/$H441)*100,1),")")</f>
        <v>(40)</v>
      </c>
      <c r="D440" s="302">
        <f>'Ind T6'!W179</f>
        <v>31.795651191889664</v>
      </c>
      <c r="E440" s="299" t="str">
        <f>CONCATENATE("(",ROUND((D440/$H441)*100,1),")")</f>
        <v>(31.1)</v>
      </c>
      <c r="F440" s="302">
        <f>'Ind T6'!X179</f>
        <v>8.3004920209875941</v>
      </c>
      <c r="G440" s="299" t="str">
        <f>CONCATENATE("(",ROUND((F440/$H441)*100,1),")")</f>
        <v>(8.1)</v>
      </c>
      <c r="H440" s="302">
        <f t="shared" ref="H440" si="330">SUM(B440,D440,F440)</f>
        <v>81.025591377451434</v>
      </c>
      <c r="I440" s="299" t="str">
        <f>CONCATENATE("(",ROUND((H440/$H441)*100,1),")")</f>
        <v>(79.1)</v>
      </c>
      <c r="K440" s="302">
        <f t="shared" ref="K440:K441" si="331">B440-B430</f>
        <v>4.9651350536691865</v>
      </c>
      <c r="L440" s="302">
        <f t="shared" ref="L440:L441" si="332">D440-D430</f>
        <v>-1.7889995106508501</v>
      </c>
      <c r="M440" s="302">
        <f t="shared" ref="M440:M441" si="333">F440-F430</f>
        <v>1.3561652897064747</v>
      </c>
      <c r="N440" s="302">
        <f t="shared" ref="N440:N441" si="334">SUM(K440:M440)</f>
        <v>4.5323008327248111</v>
      </c>
    </row>
    <row r="441" spans="1:14" x14ac:dyDescent="0.2">
      <c r="A441" s="282" t="s">
        <v>363</v>
      </c>
      <c r="B441" s="302">
        <f>SUM(B439:B440)</f>
        <v>54.606602049110606</v>
      </c>
      <c r="C441" s="299" t="str">
        <f>CONCATENATE("(",ROUND((B441/$H441)*100,1),")")</f>
        <v>(53.3)</v>
      </c>
      <c r="D441" s="302">
        <f>SUM(D439:D440)</f>
        <v>37.861530214642357</v>
      </c>
      <c r="E441" s="299" t="str">
        <f>CONCATENATE("(",ROUND((D441/$H441)*100,1),")")</f>
        <v>(37)</v>
      </c>
      <c r="F441" s="302">
        <f>SUM(F439:F440)</f>
        <v>9.9288677362470583</v>
      </c>
      <c r="G441" s="299" t="str">
        <f>CONCATENATE("(",ROUND((F441/$H441)*100,1),")")</f>
        <v>(9.7)</v>
      </c>
      <c r="H441" s="302">
        <f>SUM(H439:H440)</f>
        <v>102.39700000000001</v>
      </c>
      <c r="I441" s="299" t="str">
        <f>CONCATENATE("(",ROUND((H441/$H441)*100,1),")")</f>
        <v>(100)</v>
      </c>
      <c r="K441" s="302">
        <f t="shared" si="331"/>
        <v>5.8023171143537411</v>
      </c>
      <c r="L441" s="302">
        <f t="shared" si="332"/>
        <v>-1.220167157620466</v>
      </c>
      <c r="M441" s="302">
        <f t="shared" si="333"/>
        <v>1.2458500432666071</v>
      </c>
      <c r="N441" s="302">
        <f t="shared" si="334"/>
        <v>5.8279999999998822</v>
      </c>
    </row>
    <row r="442" spans="1:14" x14ac:dyDescent="0.2">
      <c r="A442" s="293"/>
      <c r="B442" s="294"/>
      <c r="C442" s="293"/>
      <c r="D442" s="294"/>
      <c r="E442" s="293"/>
      <c r="F442" s="294"/>
      <c r="G442" s="293"/>
      <c r="H442" s="294"/>
      <c r="I442" s="293"/>
      <c r="J442" s="293"/>
      <c r="K442" s="294"/>
      <c r="L442" s="294"/>
      <c r="M442" s="294"/>
      <c r="N442" s="294"/>
    </row>
    <row r="446" spans="1:14" x14ac:dyDescent="0.2">
      <c r="A446" s="288"/>
      <c r="B446" s="289" t="s">
        <v>372</v>
      </c>
      <c r="C446" s="288"/>
      <c r="D446" s="289"/>
      <c r="E446" s="288"/>
      <c r="F446" s="289" t="str">
        <f>name!B24</f>
        <v>Arts and entertainment</v>
      </c>
      <c r="G446" s="288"/>
      <c r="H446" s="291"/>
      <c r="I446" s="288"/>
      <c r="J446" s="290"/>
      <c r="K446" s="291"/>
      <c r="L446" s="291"/>
      <c r="M446" s="291"/>
      <c r="N446" s="291"/>
    </row>
    <row r="447" spans="1:14" x14ac:dyDescent="0.2">
      <c r="N447" s="287" t="s">
        <v>370</v>
      </c>
    </row>
    <row r="448" spans="1:14" x14ac:dyDescent="0.2">
      <c r="A448" s="182" t="s">
        <v>371</v>
      </c>
      <c r="B448" s="372" t="s">
        <v>369</v>
      </c>
      <c r="C448" s="372"/>
      <c r="D448" s="372" t="s">
        <v>368</v>
      </c>
      <c r="E448" s="372"/>
      <c r="F448" s="372" t="s">
        <v>367</v>
      </c>
      <c r="G448" s="372"/>
      <c r="H448" s="372" t="s">
        <v>33</v>
      </c>
      <c r="I448" s="372"/>
      <c r="J448" s="182"/>
      <c r="K448" s="297" t="s">
        <v>345</v>
      </c>
      <c r="L448" s="297" t="s">
        <v>347</v>
      </c>
      <c r="M448" s="297" t="s">
        <v>343</v>
      </c>
      <c r="N448" s="297" t="s">
        <v>33</v>
      </c>
    </row>
    <row r="449" spans="1:14" x14ac:dyDescent="0.2">
      <c r="A449" s="292">
        <f>$A$8</f>
        <v>2020</v>
      </c>
      <c r="B449" s="287" t="s">
        <v>66</v>
      </c>
      <c r="C449" s="20" t="s">
        <v>366</v>
      </c>
      <c r="D449" s="287" t="s">
        <v>66</v>
      </c>
      <c r="E449" s="20" t="s">
        <v>366</v>
      </c>
      <c r="F449" s="287" t="s">
        <v>343</v>
      </c>
      <c r="G449" s="20" t="s">
        <v>366</v>
      </c>
      <c r="H449" s="287" t="s">
        <v>66</v>
      </c>
      <c r="I449" s="20" t="s">
        <v>366</v>
      </c>
      <c r="J449" s="182"/>
      <c r="K449" s="286" t="str">
        <f>CONCATENATE(A449," - ",A454)</f>
        <v>2020 - 2025</v>
      </c>
      <c r="L449" s="285"/>
      <c r="M449" s="285"/>
    </row>
    <row r="450" spans="1:14" x14ac:dyDescent="0.2">
      <c r="A450" s="282" t="s">
        <v>364</v>
      </c>
      <c r="B450" s="302">
        <f>'Ind T6'!L189</f>
        <v>4.8090953087989243</v>
      </c>
      <c r="C450" s="299" t="str">
        <f>CONCATENATE("(",ROUND((B450/$H452)*100,1),")")</f>
        <v>(18.3)</v>
      </c>
      <c r="D450" s="302">
        <f>'Ind T6'!M189</f>
        <v>3.8527586774894567</v>
      </c>
      <c r="E450" s="299" t="str">
        <f>CONCATENATE("(",ROUND((D450/$H452)*100,1),")")</f>
        <v>(14.7)</v>
      </c>
      <c r="F450" s="302">
        <f>'Ind T6'!N189</f>
        <v>3.5707223799674108</v>
      </c>
      <c r="G450" s="299" t="str">
        <f>CONCATENATE("(",ROUND((F450/$H452)*100,1),")")</f>
        <v>(13.6)</v>
      </c>
      <c r="H450" s="302">
        <f>SUM(B450,D450,F450)</f>
        <v>12.232576366255792</v>
      </c>
      <c r="I450" s="299" t="str">
        <f>CONCATENATE("(",ROUND((H450/$H452)*100,1),")")</f>
        <v>(46.6)</v>
      </c>
      <c r="K450" s="302">
        <f>B455-B450</f>
        <v>0.54380356031421506</v>
      </c>
      <c r="L450" s="302">
        <f>D455-D450</f>
        <v>0.54557202043159281</v>
      </c>
      <c r="M450" s="302">
        <f>F455-F450</f>
        <v>0.35337302852519548</v>
      </c>
      <c r="N450" s="302">
        <f>SUM(K450:M450)</f>
        <v>1.4427486092710033</v>
      </c>
    </row>
    <row r="451" spans="1:14" x14ac:dyDescent="0.2">
      <c r="A451" s="282" t="s">
        <v>365</v>
      </c>
      <c r="B451" s="302">
        <f>'Ind T6'!L188</f>
        <v>3.5618423868763012</v>
      </c>
      <c r="C451" s="299" t="str">
        <f>CONCATENATE("(",ROUND((B451/$H452)*100,1),")")</f>
        <v>(13.6)</v>
      </c>
      <c r="D451" s="302">
        <f>'Ind T6'!M188</f>
        <v>5.9974700166885233</v>
      </c>
      <c r="E451" s="299" t="str">
        <f>CONCATENATE("(",ROUND((D451/$H452)*100,1),")")</f>
        <v>(22.8)</v>
      </c>
      <c r="F451" s="302">
        <f>'Ind T6'!N188</f>
        <v>4.4701112301793975</v>
      </c>
      <c r="G451" s="299" t="str">
        <f>CONCATENATE("(",ROUND((F451/$H452)*100,1),")")</f>
        <v>(17)</v>
      </c>
      <c r="H451" s="302">
        <f t="shared" ref="H451" si="335">SUM(B451,D451,F451)</f>
        <v>14.029423633744223</v>
      </c>
      <c r="I451" s="299" t="str">
        <f>CONCATENATE("(",ROUND((H451/$H452)*100,1),")")</f>
        <v>(53.4)</v>
      </c>
      <c r="K451" s="302">
        <f t="shared" ref="K451:K452" si="336">B456-B451</f>
        <v>0.22338528407553415</v>
      </c>
      <c r="L451" s="302">
        <f t="shared" ref="L451:L452" si="337">D456-D451</f>
        <v>0.65106877508754835</v>
      </c>
      <c r="M451" s="302">
        <f t="shared" ref="M451:M452" si="338">F456-F451</f>
        <v>0.15579733156588027</v>
      </c>
      <c r="N451" s="302">
        <f t="shared" ref="N451:N452" si="339">SUM(K451:M451)</f>
        <v>1.0302513907289628</v>
      </c>
    </row>
    <row r="452" spans="1:14" x14ac:dyDescent="0.2">
      <c r="A452" s="282" t="s">
        <v>363</v>
      </c>
      <c r="B452" s="302">
        <f>SUM(B450:B451)</f>
        <v>8.3709376956752255</v>
      </c>
      <c r="C452" s="299" t="str">
        <f>CONCATENATE("(",ROUND((B452/$H452)*100,1),")")</f>
        <v>(31.9)</v>
      </c>
      <c r="D452" s="302">
        <f>SUM(D450:D451)</f>
        <v>9.8502286941779804</v>
      </c>
      <c r="E452" s="299" t="str">
        <f>CONCATENATE("(",ROUND((D452/$H452)*100,1),")")</f>
        <v>(37.5)</v>
      </c>
      <c r="F452" s="302">
        <f>SUM(F450:F451)</f>
        <v>8.0408336101468088</v>
      </c>
      <c r="G452" s="299" t="str">
        <f>CONCATENATE("(",ROUND((F452/$H452)*100,1),")")</f>
        <v>(30.6)</v>
      </c>
      <c r="H452" s="302">
        <f>SUM(H450:H451)</f>
        <v>26.262000000000015</v>
      </c>
      <c r="I452" s="299" t="str">
        <f>CONCATENATE("(",ROUND((H452/$H452)*100,1),")")</f>
        <v>(100)</v>
      </c>
      <c r="K452" s="302">
        <f t="shared" si="336"/>
        <v>0.76718884438974833</v>
      </c>
      <c r="L452" s="302">
        <f t="shared" si="337"/>
        <v>1.1966407955191407</v>
      </c>
      <c r="M452" s="302">
        <f t="shared" si="338"/>
        <v>0.50917036009107619</v>
      </c>
      <c r="N452" s="302">
        <f t="shared" si="339"/>
        <v>2.4729999999999652</v>
      </c>
    </row>
    <row r="453" spans="1:14" x14ac:dyDescent="0.2">
      <c r="B453" s="302"/>
      <c r="C453" s="284"/>
      <c r="D453" s="302"/>
      <c r="E453" s="284"/>
      <c r="F453" s="302"/>
      <c r="G453" s="284"/>
      <c r="H453" s="302"/>
      <c r="I453" s="284"/>
    </row>
    <row r="454" spans="1:14" x14ac:dyDescent="0.2">
      <c r="A454" s="292">
        <f>$A$13</f>
        <v>2025</v>
      </c>
      <c r="B454" s="302"/>
      <c r="C454" s="284"/>
      <c r="D454" s="302"/>
      <c r="E454" s="284"/>
      <c r="F454" s="302"/>
      <c r="G454" s="284"/>
      <c r="H454" s="302"/>
      <c r="I454" s="284"/>
      <c r="K454" s="286" t="str">
        <f>CONCATENATE(A454," - ",A459)</f>
        <v>2025 - 2035</v>
      </c>
    </row>
    <row r="455" spans="1:14" x14ac:dyDescent="0.2">
      <c r="A455" s="282" t="s">
        <v>364</v>
      </c>
      <c r="B455" s="302">
        <f>'Ind T6'!Q189</f>
        <v>5.3528988691131394</v>
      </c>
      <c r="C455" s="299" t="str">
        <f>CONCATENATE("(",ROUND((B455/$H457)*100,1),")")</f>
        <v>(18.6)</v>
      </c>
      <c r="D455" s="302">
        <f>'Ind T6'!R189</f>
        <v>4.3983306979210495</v>
      </c>
      <c r="E455" s="299" t="str">
        <f>CONCATENATE("(",ROUND((D455/$H457)*100,1),")")</f>
        <v>(15.3)</v>
      </c>
      <c r="F455" s="302">
        <f>'Ind T6'!S189</f>
        <v>3.9240954084926063</v>
      </c>
      <c r="G455" s="299" t="str">
        <f>CONCATENATE("(",ROUND((F455/$H457)*100,1),")")</f>
        <v>(13.7)</v>
      </c>
      <c r="H455" s="302">
        <f>SUM(B455,D455,F455)</f>
        <v>13.675324975526795</v>
      </c>
      <c r="I455" s="299" t="str">
        <f>CONCATENATE("(",ROUND((H455/$H457)*100,1),")")</f>
        <v>(47.6)</v>
      </c>
      <c r="K455" s="302">
        <f>B460-B455</f>
        <v>0.58207891165074521</v>
      </c>
      <c r="L455" s="302">
        <f>D460-D455</f>
        <v>0.65021282167917427</v>
      </c>
      <c r="M455" s="302">
        <f>F460-F455</f>
        <v>0.61306676080900058</v>
      </c>
      <c r="N455" s="302">
        <f>SUM(K455:M455)</f>
        <v>1.8453584941389201</v>
      </c>
    </row>
    <row r="456" spans="1:14" x14ac:dyDescent="0.2">
      <c r="A456" s="282" t="s">
        <v>365</v>
      </c>
      <c r="B456" s="302">
        <f>'Ind T6'!Q188</f>
        <v>3.7852276709518353</v>
      </c>
      <c r="C456" s="299" t="str">
        <f>CONCATENATE("(",ROUND((B456/$H457)*100,1),")")</f>
        <v>(13.2)</v>
      </c>
      <c r="D456" s="302">
        <f>'Ind T6'!R188</f>
        <v>6.6485387917760717</v>
      </c>
      <c r="E456" s="299" t="str">
        <f>CONCATENATE("(",ROUND((D456/$H457)*100,1),")")</f>
        <v>(23.1)</v>
      </c>
      <c r="F456" s="302">
        <f>'Ind T6'!S188</f>
        <v>4.6259085617452778</v>
      </c>
      <c r="G456" s="299" t="str">
        <f>CONCATENATE("(",ROUND((F456/$H457)*100,1),")")</f>
        <v>(16.1)</v>
      </c>
      <c r="H456" s="302">
        <f t="shared" ref="H456" si="340">SUM(B456,D456,F456)</f>
        <v>15.059675024473183</v>
      </c>
      <c r="I456" s="299" t="str">
        <f>CONCATENATE("(",ROUND((H456/$H457)*100,1),")")</f>
        <v>(52.4)</v>
      </c>
      <c r="K456" s="302">
        <f t="shared" ref="K456:K457" si="341">B461-B456</f>
        <v>0.12518296009652685</v>
      </c>
      <c r="L456" s="302">
        <f t="shared" ref="L456:L457" si="342">D461-D456</f>
        <v>0.61678898931958681</v>
      </c>
      <c r="M456" s="302">
        <f t="shared" ref="M456:M457" si="343">F461-F456</f>
        <v>0.50566955644496137</v>
      </c>
      <c r="N456" s="302">
        <f t="shared" ref="N456:N457" si="344">SUM(K456:M456)</f>
        <v>1.247641505861075</v>
      </c>
    </row>
    <row r="457" spans="1:14" x14ac:dyDescent="0.2">
      <c r="A457" s="282" t="s">
        <v>363</v>
      </c>
      <c r="B457" s="302">
        <f>SUM(B455:B456)</f>
        <v>9.1381265400649738</v>
      </c>
      <c r="C457" s="299" t="str">
        <f>CONCATENATE("(",ROUND((B457/$H457)*100,1),")")</f>
        <v>(31.8)</v>
      </c>
      <c r="D457" s="302">
        <f>SUM(D455:D456)</f>
        <v>11.046869489697121</v>
      </c>
      <c r="E457" s="299" t="str">
        <f>CONCATENATE("(",ROUND((D457/$H457)*100,1),")")</f>
        <v>(38.4)</v>
      </c>
      <c r="F457" s="302">
        <f>SUM(F455:F456)</f>
        <v>8.5500039702378849</v>
      </c>
      <c r="G457" s="299" t="str">
        <f>CONCATENATE("(",ROUND((F457/$H457)*100,1),")")</f>
        <v>(29.8)</v>
      </c>
      <c r="H457" s="302">
        <f>SUM(H455:H456)</f>
        <v>28.734999999999978</v>
      </c>
      <c r="I457" s="299" t="str">
        <f>CONCATENATE("(",ROUND((H457/$H457)*100,1),")")</f>
        <v>(100)</v>
      </c>
      <c r="K457" s="302">
        <f t="shared" si="341"/>
        <v>0.70726187174727251</v>
      </c>
      <c r="L457" s="302">
        <f t="shared" si="342"/>
        <v>1.267001810998762</v>
      </c>
      <c r="M457" s="302">
        <f t="shared" si="343"/>
        <v>1.1187363172539619</v>
      </c>
      <c r="N457" s="302">
        <f t="shared" si="344"/>
        <v>3.0929999999999964</v>
      </c>
    </row>
    <row r="458" spans="1:14" x14ac:dyDescent="0.2">
      <c r="B458" s="302"/>
      <c r="C458" s="284"/>
      <c r="D458" s="302"/>
      <c r="E458" s="284"/>
      <c r="F458" s="302"/>
      <c r="G458" s="284"/>
      <c r="H458" s="302"/>
      <c r="I458" s="284"/>
    </row>
    <row r="459" spans="1:14" x14ac:dyDescent="0.2">
      <c r="A459" s="292">
        <f>$A$18</f>
        <v>2035</v>
      </c>
      <c r="B459" s="302"/>
      <c r="C459" s="284"/>
      <c r="D459" s="302"/>
      <c r="E459" s="284"/>
      <c r="F459" s="302"/>
      <c r="G459" s="284"/>
      <c r="H459" s="302"/>
      <c r="I459" s="284"/>
      <c r="K459" s="286" t="str">
        <f>CONCATENATE(A449," - ",A459)</f>
        <v>2020 - 2035</v>
      </c>
    </row>
    <row r="460" spans="1:14" x14ac:dyDescent="0.2">
      <c r="A460" s="282" t="s">
        <v>364</v>
      </c>
      <c r="B460" s="302">
        <f>'Ind T6'!V189</f>
        <v>5.9349777807638846</v>
      </c>
      <c r="C460" s="299" t="str">
        <f>CONCATENATE("(",ROUND((B460/$H462)*100,1),")")</f>
        <v>(18.6)</v>
      </c>
      <c r="D460" s="302">
        <f>'Ind T6'!W189</f>
        <v>5.0485435196002237</v>
      </c>
      <c r="E460" s="299" t="str">
        <f>CONCATENATE("(",ROUND((D460/$H462)*100,1),")")</f>
        <v>(15.9)</v>
      </c>
      <c r="F460" s="302">
        <f>'Ind T6'!X189</f>
        <v>4.5371621693016069</v>
      </c>
      <c r="G460" s="299" t="str">
        <f>CONCATENATE("(",ROUND((F460/$H462)*100,1),")")</f>
        <v>(14.3)</v>
      </c>
      <c r="H460" s="302">
        <f>SUM(B460,D460,F460)</f>
        <v>15.520683469665716</v>
      </c>
      <c r="I460" s="299" t="str">
        <f>CONCATENATE("(",ROUND((H460/$H462)*100,1),")")</f>
        <v>(48.8)</v>
      </c>
      <c r="K460" s="302">
        <f>B460-B450</f>
        <v>1.1258824719649603</v>
      </c>
      <c r="L460" s="302">
        <f>D460-D450</f>
        <v>1.1957848421107671</v>
      </c>
      <c r="M460" s="302">
        <f>F460-F450</f>
        <v>0.96643978933419605</v>
      </c>
      <c r="N460" s="302">
        <f>SUM(K460:M460)</f>
        <v>3.2881071034099234</v>
      </c>
    </row>
    <row r="461" spans="1:14" x14ac:dyDescent="0.2">
      <c r="A461" s="282" t="s">
        <v>365</v>
      </c>
      <c r="B461" s="302">
        <f>'Ind T6'!V188</f>
        <v>3.9104106310483622</v>
      </c>
      <c r="C461" s="299" t="str">
        <f>CONCATENATE("(",ROUND((B461/$H462)*100,1),")")</f>
        <v>(12.3)</v>
      </c>
      <c r="D461" s="302">
        <f>'Ind T6'!W188</f>
        <v>7.2653277810956585</v>
      </c>
      <c r="E461" s="299" t="str">
        <f>CONCATENATE("(",ROUND((D461/$H462)*100,1),")")</f>
        <v>(22.8)</v>
      </c>
      <c r="F461" s="302">
        <f>'Ind T6'!X188</f>
        <v>5.1315781181902391</v>
      </c>
      <c r="G461" s="299" t="str">
        <f>CONCATENATE("(",ROUND((F461/$H462)*100,1),")")</f>
        <v>(16.1)</v>
      </c>
      <c r="H461" s="302">
        <f t="shared" ref="H461" si="345">SUM(B461,D461,F461)</f>
        <v>16.307316530334262</v>
      </c>
      <c r="I461" s="299" t="str">
        <f>CONCATENATE("(",ROUND((H461/$H462)*100,1),")")</f>
        <v>(51.2)</v>
      </c>
      <c r="K461" s="302">
        <f t="shared" ref="K461:K462" si="346">B461-B451</f>
        <v>0.348568244172061</v>
      </c>
      <c r="L461" s="302">
        <f t="shared" ref="L461:L462" si="347">D461-D451</f>
        <v>1.2678577644071352</v>
      </c>
      <c r="M461" s="302">
        <f t="shared" ref="M461:M462" si="348">F461-F451</f>
        <v>0.66146688801084164</v>
      </c>
      <c r="N461" s="302">
        <f t="shared" ref="N461:N462" si="349">SUM(K461:M461)</f>
        <v>2.2778928965900378</v>
      </c>
    </row>
    <row r="462" spans="1:14" x14ac:dyDescent="0.2">
      <c r="A462" s="282" t="s">
        <v>363</v>
      </c>
      <c r="B462" s="302">
        <f>SUM(B460:B461)</f>
        <v>9.8453884118122463</v>
      </c>
      <c r="C462" s="299" t="str">
        <f>CONCATENATE("(",ROUND((B462/$H462)*100,1),")")</f>
        <v>(30.9)</v>
      </c>
      <c r="D462" s="302">
        <f>SUM(D460:D461)</f>
        <v>12.313871300695883</v>
      </c>
      <c r="E462" s="299" t="str">
        <f>CONCATENATE("(",ROUND((D462/$H462)*100,1),")")</f>
        <v>(38.7)</v>
      </c>
      <c r="F462" s="302">
        <f>SUM(F460:F461)</f>
        <v>9.6687402874918469</v>
      </c>
      <c r="G462" s="299" t="str">
        <f>CONCATENATE("(",ROUND((F462/$H462)*100,1),")")</f>
        <v>(30.4)</v>
      </c>
      <c r="H462" s="302">
        <f>SUM(H460:H461)</f>
        <v>31.827999999999978</v>
      </c>
      <c r="I462" s="299" t="str">
        <f>CONCATENATE("(",ROUND((H462/$H462)*100,1),")")</f>
        <v>(100)</v>
      </c>
      <c r="K462" s="302">
        <f t="shared" si="346"/>
        <v>1.4744507161370208</v>
      </c>
      <c r="L462" s="302">
        <f t="shared" si="347"/>
        <v>2.4636426065179027</v>
      </c>
      <c r="M462" s="302">
        <f t="shared" si="348"/>
        <v>1.6279066773450381</v>
      </c>
      <c r="N462" s="302">
        <f t="shared" si="349"/>
        <v>5.5659999999999616</v>
      </c>
    </row>
    <row r="463" spans="1:14" x14ac:dyDescent="0.2">
      <c r="A463" s="293"/>
      <c r="B463" s="294"/>
      <c r="C463" s="293"/>
      <c r="D463" s="294"/>
      <c r="E463" s="293"/>
      <c r="F463" s="294"/>
      <c r="G463" s="293"/>
      <c r="H463" s="294"/>
      <c r="I463" s="293"/>
      <c r="J463" s="293"/>
      <c r="K463" s="294"/>
      <c r="L463" s="294"/>
      <c r="M463" s="294"/>
      <c r="N463" s="294"/>
    </row>
    <row r="466" spans="1:14" x14ac:dyDescent="0.2">
      <c r="C466" s="182"/>
      <c r="E466" s="182"/>
      <c r="G466" s="182"/>
      <c r="I466" s="182"/>
    </row>
    <row r="467" spans="1:14" x14ac:dyDescent="0.2">
      <c r="A467" s="288"/>
      <c r="B467" s="289" t="s">
        <v>372</v>
      </c>
      <c r="C467" s="288"/>
      <c r="D467" s="289"/>
      <c r="E467" s="288"/>
      <c r="F467" s="289" t="str">
        <f>name!B25</f>
        <v>Other services</v>
      </c>
      <c r="G467" s="288"/>
      <c r="H467" s="291"/>
      <c r="I467" s="288"/>
      <c r="J467" s="290"/>
      <c r="K467" s="291"/>
      <c r="L467" s="291"/>
      <c r="M467" s="291"/>
      <c r="N467" s="291"/>
    </row>
    <row r="468" spans="1:14" x14ac:dyDescent="0.2">
      <c r="N468" s="287" t="s">
        <v>370</v>
      </c>
    </row>
    <row r="469" spans="1:14" x14ac:dyDescent="0.2">
      <c r="A469" s="182" t="s">
        <v>371</v>
      </c>
      <c r="B469" s="372" t="s">
        <v>369</v>
      </c>
      <c r="C469" s="372"/>
      <c r="D469" s="372" t="s">
        <v>368</v>
      </c>
      <c r="E469" s="372"/>
      <c r="F469" s="372" t="s">
        <v>367</v>
      </c>
      <c r="G469" s="372"/>
      <c r="H469" s="372" t="s">
        <v>33</v>
      </c>
      <c r="I469" s="372"/>
      <c r="J469" s="182"/>
      <c r="K469" s="297" t="s">
        <v>345</v>
      </c>
      <c r="L469" s="297" t="s">
        <v>347</v>
      </c>
      <c r="M469" s="297" t="s">
        <v>343</v>
      </c>
      <c r="N469" s="297" t="s">
        <v>33</v>
      </c>
    </row>
    <row r="470" spans="1:14" x14ac:dyDescent="0.2">
      <c r="A470" s="292">
        <f>$A$8</f>
        <v>2020</v>
      </c>
      <c r="B470" s="287" t="s">
        <v>66</v>
      </c>
      <c r="C470" s="20" t="s">
        <v>366</v>
      </c>
      <c r="D470" s="287" t="s">
        <v>66</v>
      </c>
      <c r="E470" s="20" t="s">
        <v>366</v>
      </c>
      <c r="F470" s="287" t="s">
        <v>66</v>
      </c>
      <c r="G470" s="20" t="s">
        <v>366</v>
      </c>
      <c r="H470" s="287" t="s">
        <v>66</v>
      </c>
      <c r="I470" s="20" t="s">
        <v>366</v>
      </c>
      <c r="J470" s="182"/>
      <c r="K470" s="286" t="str">
        <f>CONCATENATE(A470," - ",A475)</f>
        <v>2020 - 2025</v>
      </c>
      <c r="L470" s="285"/>
      <c r="M470" s="285"/>
    </row>
    <row r="471" spans="1:14" x14ac:dyDescent="0.2">
      <c r="A471" s="282" t="s">
        <v>364</v>
      </c>
      <c r="B471" s="302">
        <f>'Ind T6'!L198</f>
        <v>5.2624277947722788</v>
      </c>
      <c r="C471" s="299" t="str">
        <f>CONCATENATE("(",ROUND((B471/$H473)*100,1),")")</f>
        <v>(16.7)</v>
      </c>
      <c r="D471" s="302">
        <f>'Ind T6'!M198</f>
        <v>1.5586518342659998</v>
      </c>
      <c r="E471" s="299" t="str">
        <f>CONCATENATE("(",ROUND((D471/$H473)*100,1),")")</f>
        <v>(5)</v>
      </c>
      <c r="F471" s="302">
        <f>'Ind T6'!N198</f>
        <v>2.4856232811520922</v>
      </c>
      <c r="G471" s="299" t="str">
        <f>CONCATENATE("(",ROUND((F471/$H473)*100,1),")")</f>
        <v>(7.9)</v>
      </c>
      <c r="H471" s="302">
        <f>SUM(B471,D471,F471)</f>
        <v>9.3067029101903707</v>
      </c>
      <c r="I471" s="299" t="str">
        <f>CONCATENATE("(",ROUND((H471/$H473)*100,1),")")</f>
        <v>(29.6)</v>
      </c>
      <c r="K471" s="302">
        <f>B476-B471</f>
        <v>-8.3787380836103154E-2</v>
      </c>
      <c r="L471" s="302">
        <f>D476-D471</f>
        <v>-7.88050644030589E-2</v>
      </c>
      <c r="M471" s="302">
        <f>F476-F471</f>
        <v>-4.2744100044437072E-2</v>
      </c>
      <c r="N471" s="302">
        <f>SUM(K471:M471)</f>
        <v>-0.20533654528359913</v>
      </c>
    </row>
    <row r="472" spans="1:14" x14ac:dyDescent="0.2">
      <c r="A472" s="282" t="s">
        <v>365</v>
      </c>
      <c r="B472" s="302">
        <f>'Ind T6'!L197</f>
        <v>6.1811795879047366</v>
      </c>
      <c r="C472" s="299" t="str">
        <f>CONCATENATE("(",ROUND((B472/$H473)*100,1),")")</f>
        <v>(19.6)</v>
      </c>
      <c r="D472" s="302">
        <f>'Ind T6'!M197</f>
        <v>7.9003201609414138</v>
      </c>
      <c r="E472" s="299" t="str">
        <f>CONCATENATE("(",ROUND((D472/$H473)*100,1),")")</f>
        <v>(25.1)</v>
      </c>
      <c r="F472" s="302">
        <f>'Ind T6'!N197</f>
        <v>8.0977973409634956</v>
      </c>
      <c r="G472" s="299" t="str">
        <f>CONCATENATE("(",ROUND((F472/$H473)*100,1),")")</f>
        <v>(25.7)</v>
      </c>
      <c r="H472" s="302">
        <f t="shared" ref="H472" si="350">SUM(B472,D472,F472)</f>
        <v>22.179297089809644</v>
      </c>
      <c r="I472" s="299" t="str">
        <f>CONCATENATE("(",ROUND((H472/$H473)*100,1),")")</f>
        <v>(70.4)</v>
      </c>
      <c r="K472" s="302">
        <f t="shared" ref="K472:K473" si="351">B477-B472</f>
        <v>-0.47584544866008027</v>
      </c>
      <c r="L472" s="302">
        <f t="shared" ref="L472:L473" si="352">D477-D472</f>
        <v>-0.47988683757135497</v>
      </c>
      <c r="M472" s="302">
        <f t="shared" ref="M472:M473" si="353">F477-F472</f>
        <v>-0.35793116848495199</v>
      </c>
      <c r="N472" s="302">
        <f t="shared" ref="N472:N473" si="354">SUM(K472:M472)</f>
        <v>-1.3136634547163872</v>
      </c>
    </row>
    <row r="473" spans="1:14" x14ac:dyDescent="0.2">
      <c r="A473" s="282" t="s">
        <v>363</v>
      </c>
      <c r="B473" s="302">
        <f>SUM(B471:B472)</f>
        <v>11.443607382677015</v>
      </c>
      <c r="C473" s="299" t="str">
        <f>CONCATENATE("(",ROUND((B473/$H473)*100,1),")")</f>
        <v>(36.3)</v>
      </c>
      <c r="D473" s="302">
        <f>SUM(D471:D472)</f>
        <v>9.4589719952074134</v>
      </c>
      <c r="E473" s="299" t="str">
        <f>CONCATENATE("(",ROUND((D473/$H473)*100,1),")")</f>
        <v>(30)</v>
      </c>
      <c r="F473" s="302">
        <f>SUM(F471:F472)</f>
        <v>10.583420622115588</v>
      </c>
      <c r="G473" s="299" t="str">
        <f>CONCATENATE("(",ROUND((F473/$H473)*100,1),")")</f>
        <v>(33.6)</v>
      </c>
      <c r="H473" s="302">
        <f>SUM(H471:H472)</f>
        <v>31.486000000000015</v>
      </c>
      <c r="I473" s="299" t="str">
        <f>CONCATENATE("(",ROUND((H473/$H473)*100,1),")")</f>
        <v>(100)</v>
      </c>
      <c r="K473" s="302">
        <f t="shared" si="351"/>
        <v>-0.55963282949618431</v>
      </c>
      <c r="L473" s="302">
        <f t="shared" si="352"/>
        <v>-0.55869190197441299</v>
      </c>
      <c r="M473" s="302">
        <f t="shared" si="353"/>
        <v>-0.40067526852938862</v>
      </c>
      <c r="N473" s="302">
        <f t="shared" si="354"/>
        <v>-1.5189999999999859</v>
      </c>
    </row>
    <row r="474" spans="1:14" x14ac:dyDescent="0.2">
      <c r="B474" s="302"/>
      <c r="C474" s="284"/>
      <c r="D474" s="302"/>
      <c r="E474" s="284"/>
      <c r="F474" s="302"/>
      <c r="G474" s="284"/>
      <c r="H474" s="302"/>
      <c r="I474" s="284"/>
    </row>
    <row r="475" spans="1:14" x14ac:dyDescent="0.2">
      <c r="A475" s="292">
        <f>$A$13</f>
        <v>2025</v>
      </c>
      <c r="B475" s="302"/>
      <c r="C475" s="284"/>
      <c r="D475" s="302"/>
      <c r="E475" s="284"/>
      <c r="F475" s="302"/>
      <c r="G475" s="284"/>
      <c r="H475" s="302"/>
      <c r="I475" s="284"/>
      <c r="K475" s="286" t="str">
        <f>CONCATENATE(A475," - ",A480)</f>
        <v>2025 - 2035</v>
      </c>
    </row>
    <row r="476" spans="1:14" x14ac:dyDescent="0.2">
      <c r="A476" s="282" t="s">
        <v>364</v>
      </c>
      <c r="B476" s="302">
        <f>'Ind T6'!Q198</f>
        <v>5.1786404139361757</v>
      </c>
      <c r="C476" s="299" t="str">
        <f>CONCATENATE("(",ROUND((B476/$H478)*100,1),")")</f>
        <v>(17.3)</v>
      </c>
      <c r="D476" s="302">
        <f>'Ind T6'!R198</f>
        <v>1.4798467698629409</v>
      </c>
      <c r="E476" s="299" t="str">
        <f>CONCATENATE("(",ROUND((D476/$H478)*100,1),")")</f>
        <v>(4.9)</v>
      </c>
      <c r="F476" s="302">
        <f>'Ind T6'!S198</f>
        <v>2.4428791811076551</v>
      </c>
      <c r="G476" s="299" t="str">
        <f>CONCATENATE("(",ROUND((F476/$H478)*100,1),")")</f>
        <v>(8.2)</v>
      </c>
      <c r="H476" s="302">
        <f>SUM(B476,D476,F476)</f>
        <v>9.101366364906772</v>
      </c>
      <c r="I476" s="299" t="str">
        <f>CONCATENATE("(",ROUND((H476/$H478)*100,1),")")</f>
        <v>(30.4)</v>
      </c>
      <c r="K476" s="302">
        <f>B481-B476</f>
        <v>0.2347446418170076</v>
      </c>
      <c r="L476" s="302">
        <f>D481-D476</f>
        <v>1.3427040418572123E-3</v>
      </c>
      <c r="M476" s="302">
        <f>F481-F476</f>
        <v>9.9980445514612715E-2</v>
      </c>
      <c r="N476" s="302">
        <f>SUM(K476:M476)</f>
        <v>0.33606779137347753</v>
      </c>
    </row>
    <row r="477" spans="1:14" x14ac:dyDescent="0.2">
      <c r="A477" s="282" t="s">
        <v>365</v>
      </c>
      <c r="B477" s="302">
        <f>'Ind T6'!Q197</f>
        <v>5.7053341392446564</v>
      </c>
      <c r="C477" s="299" t="str">
        <f>CONCATENATE("(",ROUND((B477/$H478)*100,1),")")</f>
        <v>(19)</v>
      </c>
      <c r="D477" s="302">
        <f>'Ind T6'!R197</f>
        <v>7.4204333233700588</v>
      </c>
      <c r="E477" s="299" t="str">
        <f>CONCATENATE("(",ROUND((D477/$H478)*100,1),")")</f>
        <v>(24.8)</v>
      </c>
      <c r="F477" s="302">
        <f>'Ind T6'!S197</f>
        <v>7.7398661724785436</v>
      </c>
      <c r="G477" s="299" t="str">
        <f>CONCATENATE("(",ROUND((F477/$H478)*100,1),")")</f>
        <v>(25.8)</v>
      </c>
      <c r="H477" s="302">
        <f t="shared" ref="H477" si="355">SUM(B477,D477,F477)</f>
        <v>20.865633635093257</v>
      </c>
      <c r="I477" s="299" t="str">
        <f>CONCATENATE("(",ROUND((H477/$H478)*100,1),")")</f>
        <v>(69.6)</v>
      </c>
      <c r="K477" s="302">
        <f t="shared" ref="K477:K478" si="356">B482-B477</f>
        <v>-0.27156007373321778</v>
      </c>
      <c r="L477" s="302">
        <f t="shared" ref="L477:L478" si="357">D482-D477</f>
        <v>-0.25462317950054825</v>
      </c>
      <c r="M477" s="302">
        <f t="shared" ref="M477:M478" si="358">F482-F477</f>
        <v>-0.1388845381397612</v>
      </c>
      <c r="N477" s="302">
        <f t="shared" ref="N477:N478" si="359">SUM(K477:M477)</f>
        <v>-0.66506779137352723</v>
      </c>
    </row>
    <row r="478" spans="1:14" x14ac:dyDescent="0.2">
      <c r="A478" s="282" t="s">
        <v>363</v>
      </c>
      <c r="B478" s="302">
        <f>SUM(B476:B477)</f>
        <v>10.883974553180831</v>
      </c>
      <c r="C478" s="299" t="str">
        <f>CONCATENATE("(",ROUND((B478/$H478)*100,1),")")</f>
        <v>(36.3)</v>
      </c>
      <c r="D478" s="302">
        <f>SUM(D476:D477)</f>
        <v>8.9002800932330004</v>
      </c>
      <c r="E478" s="299" t="str">
        <f>CONCATENATE("(",ROUND((D478/$H478)*100,1),")")</f>
        <v>(29.7)</v>
      </c>
      <c r="F478" s="302">
        <f>SUM(F476:F477)</f>
        <v>10.182745353586199</v>
      </c>
      <c r="G478" s="299" t="str">
        <f>CONCATENATE("(",ROUND((F478/$H478)*100,1),")")</f>
        <v>(34)</v>
      </c>
      <c r="H478" s="302">
        <f>SUM(H476:H477)</f>
        <v>29.967000000000027</v>
      </c>
      <c r="I478" s="299" t="str">
        <f>CONCATENATE("(",ROUND((H478/$H478)*100,1),")")</f>
        <v>(100)</v>
      </c>
      <c r="K478" s="302">
        <f t="shared" si="356"/>
        <v>-3.6815431916210173E-2</v>
      </c>
      <c r="L478" s="302">
        <f t="shared" si="357"/>
        <v>-0.25328047545869126</v>
      </c>
      <c r="M478" s="302">
        <f t="shared" si="358"/>
        <v>-3.8904092625148934E-2</v>
      </c>
      <c r="N478" s="302">
        <f t="shared" si="359"/>
        <v>-0.32900000000005036</v>
      </c>
    </row>
    <row r="479" spans="1:14" x14ac:dyDescent="0.2">
      <c r="B479" s="302"/>
      <c r="C479" s="284"/>
      <c r="D479" s="302"/>
      <c r="E479" s="284"/>
      <c r="F479" s="302"/>
      <c r="G479" s="284"/>
      <c r="H479" s="302"/>
      <c r="I479" s="284"/>
    </row>
    <row r="480" spans="1:14" x14ac:dyDescent="0.2">
      <c r="A480" s="292">
        <f>$A$18</f>
        <v>2035</v>
      </c>
      <c r="B480" s="302"/>
      <c r="C480" s="284"/>
      <c r="D480" s="302"/>
      <c r="E480" s="284"/>
      <c r="F480" s="302"/>
      <c r="G480" s="284"/>
      <c r="H480" s="302"/>
      <c r="I480" s="284"/>
      <c r="K480" s="286" t="str">
        <f>CONCATENATE(A470," - ",A480)</f>
        <v>2020 - 2035</v>
      </c>
    </row>
    <row r="481" spans="1:14" x14ac:dyDescent="0.2">
      <c r="A481" s="282" t="s">
        <v>364</v>
      </c>
      <c r="B481" s="302">
        <f>'Ind T6'!V198</f>
        <v>5.4133850557531833</v>
      </c>
      <c r="C481" s="299" t="str">
        <f>CONCATENATE("(",ROUND((B481/$H483)*100,1),")")</f>
        <v>(18.3)</v>
      </c>
      <c r="D481" s="302">
        <f>'Ind T6'!W198</f>
        <v>1.4811894739047982</v>
      </c>
      <c r="E481" s="299" t="str">
        <f>CONCATENATE("(",ROUND((D481/$H483)*100,1),")")</f>
        <v>(5)</v>
      </c>
      <c r="F481" s="302">
        <f>'Ind T6'!X198</f>
        <v>2.5428596266222678</v>
      </c>
      <c r="G481" s="299" t="str">
        <f>CONCATENATE("(",ROUND((F481/$H483)*100,1),")")</f>
        <v>(8.6)</v>
      </c>
      <c r="H481" s="302">
        <f>SUM(B481,D481,F481)</f>
        <v>9.4374341562802506</v>
      </c>
      <c r="I481" s="299" t="str">
        <f>CONCATENATE("(",ROUND((H481/$H483)*100,1),")")</f>
        <v>(31.8)</v>
      </c>
      <c r="K481" s="302">
        <f>B481-B471</f>
        <v>0.15095726098090445</v>
      </c>
      <c r="L481" s="302">
        <f>D481-D471</f>
        <v>-7.7462360361201688E-2</v>
      </c>
      <c r="M481" s="302">
        <f>F481-F471</f>
        <v>5.7236345470175642E-2</v>
      </c>
      <c r="N481" s="302">
        <f>SUM(K481:M481)</f>
        <v>0.13073124608987841</v>
      </c>
    </row>
    <row r="482" spans="1:14" x14ac:dyDescent="0.2">
      <c r="A482" s="282" t="s">
        <v>365</v>
      </c>
      <c r="B482" s="302">
        <f>'Ind T6'!V197</f>
        <v>5.4337740655114386</v>
      </c>
      <c r="C482" s="299" t="str">
        <f>CONCATENATE("(",ROUND((B482/$H483)*100,1),")")</f>
        <v>(18.3)</v>
      </c>
      <c r="D482" s="302">
        <f>'Ind T6'!W197</f>
        <v>7.1658101438695105</v>
      </c>
      <c r="E482" s="299" t="str">
        <f>CONCATENATE("(",ROUND((D482/$H483)*100,1),")")</f>
        <v>(24.2)</v>
      </c>
      <c r="F482" s="302">
        <f>'Ind T6'!X197</f>
        <v>7.6009816343387824</v>
      </c>
      <c r="G482" s="299" t="str">
        <f>CONCATENATE("(",ROUND((F482/$H483)*100,1),")")</f>
        <v>(25.6)</v>
      </c>
      <c r="H482" s="302">
        <f t="shared" ref="H482" si="360">SUM(B482,D482,F482)</f>
        <v>20.200565843719733</v>
      </c>
      <c r="I482" s="299" t="str">
        <f>CONCATENATE("(",ROUND((H482/$H483)*100,1),")")</f>
        <v>(68.2)</v>
      </c>
      <c r="K482" s="302">
        <f t="shared" ref="K482:K483" si="361">B482-B472</f>
        <v>-0.74740552239329805</v>
      </c>
      <c r="L482" s="302">
        <f t="shared" ref="L482:L483" si="362">D482-D472</f>
        <v>-0.73451001707190322</v>
      </c>
      <c r="M482" s="302">
        <f t="shared" ref="M482:M483" si="363">F482-F472</f>
        <v>-0.49681570662471319</v>
      </c>
      <c r="N482" s="302">
        <f t="shared" ref="N482:N483" si="364">SUM(K482:M482)</f>
        <v>-1.9787312460899145</v>
      </c>
    </row>
    <row r="483" spans="1:14" x14ac:dyDescent="0.2">
      <c r="A483" s="282" t="s">
        <v>363</v>
      </c>
      <c r="B483" s="302">
        <f>SUM(B481:B482)</f>
        <v>10.847159121264621</v>
      </c>
      <c r="C483" s="299" t="str">
        <f>CONCATENATE("(",ROUND((B483/$H483)*100,1),")")</f>
        <v>(36.6)</v>
      </c>
      <c r="D483" s="302">
        <f>SUM(D481:D482)</f>
        <v>8.6469996177743091</v>
      </c>
      <c r="E483" s="299" t="str">
        <f>CONCATENATE("(",ROUND((D483/$H483)*100,1),")")</f>
        <v>(29.2)</v>
      </c>
      <c r="F483" s="302">
        <f>SUM(F481:F482)</f>
        <v>10.14384126096105</v>
      </c>
      <c r="G483" s="299" t="str">
        <f>CONCATENATE("(",ROUND((F483/$H483)*100,1),")")</f>
        <v>(34.2)</v>
      </c>
      <c r="H483" s="302">
        <f>SUM(H481:H482)</f>
        <v>29.637999999999984</v>
      </c>
      <c r="I483" s="299" t="str">
        <f>CONCATENATE("(",ROUND((H483/$H483)*100,1),")")</f>
        <v>(100)</v>
      </c>
      <c r="K483" s="302">
        <f t="shared" si="361"/>
        <v>-0.59644826141239449</v>
      </c>
      <c r="L483" s="302">
        <f t="shared" si="362"/>
        <v>-0.81197237743310424</v>
      </c>
      <c r="M483" s="302">
        <f t="shared" si="363"/>
        <v>-0.43957936115453755</v>
      </c>
      <c r="N483" s="302">
        <f t="shared" si="364"/>
        <v>-1.8480000000000363</v>
      </c>
    </row>
    <row r="484" spans="1:14" x14ac:dyDescent="0.2">
      <c r="A484" s="293"/>
      <c r="B484" s="294"/>
      <c r="C484" s="293"/>
      <c r="D484" s="294"/>
      <c r="E484" s="293"/>
      <c r="F484" s="294"/>
      <c r="G484" s="293"/>
      <c r="H484" s="294"/>
      <c r="I484" s="293"/>
      <c r="J484" s="293"/>
      <c r="K484" s="294"/>
      <c r="L484" s="294"/>
      <c r="M484" s="294"/>
      <c r="N484" s="294"/>
    </row>
    <row r="488" spans="1:14" x14ac:dyDescent="0.2">
      <c r="A488" s="182"/>
      <c r="B488" s="285"/>
      <c r="C488" s="182"/>
      <c r="D488" s="285"/>
      <c r="E488" s="182"/>
      <c r="F488" s="285"/>
      <c r="G488" s="182"/>
      <c r="I488" s="182"/>
    </row>
    <row r="489" spans="1:14" x14ac:dyDescent="0.2">
      <c r="N489" s="287"/>
    </row>
    <row r="490" spans="1:14" x14ac:dyDescent="0.2">
      <c r="A490" s="182"/>
      <c r="B490" s="372"/>
      <c r="C490" s="372"/>
      <c r="D490" s="372"/>
      <c r="E490" s="372"/>
      <c r="F490" s="372"/>
      <c r="G490" s="372"/>
      <c r="H490" s="372"/>
      <c r="I490" s="372"/>
      <c r="J490" s="182"/>
      <c r="K490" s="287"/>
      <c r="L490" s="287"/>
      <c r="M490" s="287"/>
      <c r="N490" s="287"/>
    </row>
    <row r="491" spans="1:14" x14ac:dyDescent="0.2">
      <c r="A491" s="292"/>
      <c r="B491" s="287"/>
      <c r="C491" s="20"/>
      <c r="D491" s="287"/>
      <c r="E491" s="20"/>
      <c r="F491" s="287"/>
      <c r="G491" s="20"/>
      <c r="H491" s="287"/>
      <c r="I491" s="20"/>
      <c r="J491" s="182"/>
      <c r="K491" s="286"/>
      <c r="L491" s="285"/>
      <c r="M491" s="285"/>
    </row>
    <row r="492" spans="1:14" x14ac:dyDescent="0.2">
      <c r="B492" s="249"/>
      <c r="C492" s="284"/>
      <c r="D492" s="249"/>
      <c r="E492" s="284"/>
      <c r="F492" s="249"/>
      <c r="G492" s="284"/>
      <c r="H492" s="249"/>
      <c r="I492" s="284"/>
      <c r="K492" s="249"/>
      <c r="L492" s="249"/>
      <c r="M492" s="249"/>
      <c r="N492" s="249"/>
    </row>
    <row r="493" spans="1:14" x14ac:dyDescent="0.2">
      <c r="B493" s="249"/>
      <c r="C493" s="284"/>
      <c r="D493" s="249"/>
      <c r="E493" s="284"/>
      <c r="F493" s="249"/>
      <c r="G493" s="284"/>
      <c r="H493" s="249"/>
      <c r="I493" s="284"/>
      <c r="K493" s="249"/>
      <c r="L493" s="249"/>
      <c r="M493" s="249"/>
      <c r="N493" s="249"/>
    </row>
    <row r="494" spans="1:14" x14ac:dyDescent="0.2">
      <c r="B494" s="249"/>
      <c r="C494" s="284"/>
      <c r="D494" s="249"/>
      <c r="E494" s="284"/>
      <c r="F494" s="249"/>
      <c r="G494" s="284"/>
      <c r="H494" s="249"/>
      <c r="I494" s="284"/>
      <c r="K494" s="249"/>
      <c r="L494" s="249"/>
      <c r="M494" s="249"/>
      <c r="N494" s="249"/>
    </row>
    <row r="495" spans="1:14" x14ac:dyDescent="0.2">
      <c r="B495" s="249"/>
      <c r="C495" s="284"/>
      <c r="D495" s="249"/>
      <c r="E495" s="284"/>
      <c r="F495" s="249"/>
      <c r="G495" s="284"/>
      <c r="H495" s="249"/>
      <c r="I495" s="284"/>
    </row>
    <row r="496" spans="1:14" x14ac:dyDescent="0.2">
      <c r="A496" s="292"/>
      <c r="B496" s="249"/>
      <c r="C496" s="284"/>
      <c r="D496" s="249"/>
      <c r="E496" s="284"/>
      <c r="F496" s="249"/>
      <c r="G496" s="284"/>
      <c r="H496" s="249"/>
      <c r="I496" s="284"/>
      <c r="K496" s="285"/>
    </row>
    <row r="497" spans="1:14" x14ac:dyDescent="0.2">
      <c r="B497" s="249"/>
      <c r="C497" s="284"/>
      <c r="D497" s="249"/>
      <c r="E497" s="284"/>
      <c r="F497" s="249"/>
      <c r="G497" s="284"/>
      <c r="H497" s="249"/>
      <c r="I497" s="284"/>
      <c r="K497" s="249"/>
      <c r="L497" s="249"/>
      <c r="M497" s="249"/>
      <c r="N497" s="249"/>
    </row>
    <row r="498" spans="1:14" x14ac:dyDescent="0.2">
      <c r="B498" s="249"/>
      <c r="C498" s="284"/>
      <c r="D498" s="249"/>
      <c r="E498" s="284"/>
      <c r="F498" s="249"/>
      <c r="G498" s="284"/>
      <c r="H498" s="249"/>
      <c r="I498" s="284"/>
      <c r="K498" s="249"/>
      <c r="L498" s="249"/>
      <c r="M498" s="249"/>
      <c r="N498" s="249"/>
    </row>
    <row r="499" spans="1:14" x14ac:dyDescent="0.2">
      <c r="B499" s="249"/>
      <c r="C499" s="284"/>
      <c r="D499" s="249"/>
      <c r="E499" s="284"/>
      <c r="F499" s="249"/>
      <c r="G499" s="284"/>
      <c r="H499" s="249"/>
      <c r="I499" s="284"/>
      <c r="K499" s="249"/>
      <c r="L499" s="249"/>
      <c r="M499" s="249"/>
      <c r="N499" s="249"/>
    </row>
    <row r="500" spans="1:14" x14ac:dyDescent="0.2">
      <c r="B500" s="249"/>
      <c r="C500" s="284"/>
      <c r="D500" s="249"/>
      <c r="E500" s="284"/>
      <c r="F500" s="249"/>
      <c r="G500" s="284"/>
      <c r="H500" s="249"/>
      <c r="I500" s="284"/>
    </row>
    <row r="501" spans="1:14" x14ac:dyDescent="0.2">
      <c r="A501" s="292"/>
      <c r="B501" s="249"/>
      <c r="C501" s="284"/>
      <c r="D501" s="249"/>
      <c r="E501" s="284"/>
      <c r="F501" s="249"/>
      <c r="G501" s="284"/>
      <c r="H501" s="249"/>
      <c r="I501" s="284"/>
      <c r="K501" s="285"/>
    </row>
    <row r="502" spans="1:14" x14ac:dyDescent="0.2">
      <c r="B502" s="249"/>
      <c r="C502" s="284"/>
      <c r="D502" s="249"/>
      <c r="E502" s="284"/>
      <c r="F502" s="249"/>
      <c r="G502" s="284"/>
      <c r="H502" s="249"/>
      <c r="I502" s="284"/>
      <c r="K502" s="249"/>
      <c r="L502" s="249"/>
      <c r="M502" s="249"/>
      <c r="N502" s="249"/>
    </row>
    <row r="503" spans="1:14" x14ac:dyDescent="0.2">
      <c r="B503" s="249"/>
      <c r="C503" s="284"/>
      <c r="D503" s="249"/>
      <c r="E503" s="284"/>
      <c r="F503" s="249"/>
      <c r="G503" s="284"/>
      <c r="H503" s="249"/>
      <c r="I503" s="284"/>
      <c r="K503" s="249"/>
      <c r="L503" s="249"/>
      <c r="M503" s="249"/>
      <c r="N503" s="249"/>
    </row>
    <row r="504" spans="1:14" x14ac:dyDescent="0.2">
      <c r="B504" s="249"/>
      <c r="C504" s="284"/>
      <c r="D504" s="249"/>
      <c r="E504" s="284"/>
      <c r="F504" s="249"/>
      <c r="G504" s="284"/>
      <c r="H504" s="249"/>
      <c r="I504" s="284"/>
      <c r="K504" s="249"/>
      <c r="L504" s="249"/>
      <c r="M504" s="249"/>
      <c r="N504" s="249"/>
    </row>
    <row r="509" spans="1:14" x14ac:dyDescent="0.2">
      <c r="A509" s="182"/>
      <c r="B509" s="285"/>
      <c r="C509" s="182"/>
      <c r="D509" s="285"/>
      <c r="E509" s="182"/>
      <c r="F509" s="285"/>
      <c r="G509" s="182"/>
      <c r="I509" s="182"/>
    </row>
    <row r="510" spans="1:14" x14ac:dyDescent="0.2">
      <c r="N510" s="287"/>
    </row>
    <row r="511" spans="1:14" x14ac:dyDescent="0.2">
      <c r="A511" s="182"/>
      <c r="B511" s="372"/>
      <c r="C511" s="372"/>
      <c r="D511" s="372"/>
      <c r="E511" s="372"/>
      <c r="F511" s="372"/>
      <c r="G511" s="372"/>
      <c r="H511" s="372"/>
      <c r="I511" s="372"/>
      <c r="J511" s="182"/>
      <c r="K511" s="287"/>
      <c r="L511" s="287"/>
      <c r="M511" s="287"/>
      <c r="N511" s="287"/>
    </row>
    <row r="512" spans="1:14" x14ac:dyDescent="0.2">
      <c r="A512" s="292"/>
      <c r="B512" s="287"/>
      <c r="C512" s="20"/>
      <c r="D512" s="287"/>
      <c r="E512" s="20"/>
      <c r="F512" s="287"/>
      <c r="G512" s="20"/>
      <c r="H512" s="287"/>
      <c r="I512" s="20"/>
      <c r="J512" s="182"/>
      <c r="K512" s="286"/>
      <c r="L512" s="285"/>
      <c r="M512" s="285"/>
    </row>
    <row r="513" spans="1:14" x14ac:dyDescent="0.2">
      <c r="B513" s="249"/>
      <c r="C513" s="284"/>
      <c r="D513" s="249"/>
      <c r="E513" s="284"/>
      <c r="F513" s="249"/>
      <c r="G513" s="284"/>
      <c r="H513" s="249"/>
      <c r="I513" s="284"/>
      <c r="K513" s="249"/>
      <c r="L513" s="249"/>
      <c r="M513" s="249"/>
      <c r="N513" s="249"/>
    </row>
    <row r="514" spans="1:14" x14ac:dyDescent="0.2">
      <c r="B514" s="249"/>
      <c r="C514" s="284"/>
      <c r="D514" s="249"/>
      <c r="E514" s="284"/>
      <c r="F514" s="249"/>
      <c r="G514" s="284"/>
      <c r="H514" s="249"/>
      <c r="I514" s="284"/>
      <c r="K514" s="249"/>
      <c r="L514" s="249"/>
      <c r="M514" s="249"/>
      <c r="N514" s="249"/>
    </row>
    <row r="515" spans="1:14" x14ac:dyDescent="0.2">
      <c r="B515" s="249"/>
      <c r="C515" s="284"/>
      <c r="D515" s="249"/>
      <c r="E515" s="284"/>
      <c r="F515" s="249"/>
      <c r="G515" s="284"/>
      <c r="H515" s="249"/>
      <c r="I515" s="284"/>
      <c r="K515" s="249"/>
      <c r="L515" s="249"/>
      <c r="M515" s="249"/>
      <c r="N515" s="249"/>
    </row>
    <row r="516" spans="1:14" x14ac:dyDescent="0.2">
      <c r="B516" s="249"/>
      <c r="C516" s="284"/>
      <c r="D516" s="249"/>
      <c r="E516" s="284"/>
      <c r="F516" s="249"/>
      <c r="G516" s="284"/>
      <c r="H516" s="249"/>
      <c r="I516" s="284"/>
    </row>
    <row r="517" spans="1:14" x14ac:dyDescent="0.2">
      <c r="A517" s="292"/>
      <c r="B517" s="249"/>
      <c r="C517" s="284"/>
      <c r="D517" s="249"/>
      <c r="E517" s="284"/>
      <c r="F517" s="249"/>
      <c r="G517" s="284"/>
      <c r="H517" s="249"/>
      <c r="I517" s="284"/>
      <c r="K517" s="285"/>
    </row>
    <row r="518" spans="1:14" x14ac:dyDescent="0.2">
      <c r="B518" s="249"/>
      <c r="C518" s="284"/>
      <c r="D518" s="249"/>
      <c r="E518" s="284"/>
      <c r="F518" s="249"/>
      <c r="G518" s="284"/>
      <c r="H518" s="249"/>
      <c r="I518" s="284"/>
      <c r="K518" s="249"/>
      <c r="L518" s="249"/>
      <c r="M518" s="249"/>
      <c r="N518" s="249"/>
    </row>
    <row r="519" spans="1:14" x14ac:dyDescent="0.2">
      <c r="B519" s="249"/>
      <c r="C519" s="284"/>
      <c r="D519" s="249"/>
      <c r="E519" s="284"/>
      <c r="F519" s="249"/>
      <c r="G519" s="284"/>
      <c r="H519" s="249"/>
      <c r="I519" s="284"/>
      <c r="K519" s="249"/>
      <c r="L519" s="249"/>
      <c r="M519" s="249"/>
      <c r="N519" s="249"/>
    </row>
    <row r="520" spans="1:14" x14ac:dyDescent="0.2">
      <c r="B520" s="249"/>
      <c r="C520" s="284"/>
      <c r="D520" s="249"/>
      <c r="E520" s="284"/>
      <c r="F520" s="249"/>
      <c r="G520" s="284"/>
      <c r="H520" s="249"/>
      <c r="I520" s="284"/>
      <c r="K520" s="249"/>
      <c r="L520" s="249"/>
      <c r="M520" s="249"/>
      <c r="N520" s="249"/>
    </row>
    <row r="521" spans="1:14" x14ac:dyDescent="0.2">
      <c r="B521" s="249"/>
      <c r="C521" s="284"/>
      <c r="D521" s="249"/>
      <c r="E521" s="284"/>
      <c r="F521" s="249"/>
      <c r="G521" s="284"/>
      <c r="H521" s="249"/>
      <c r="I521" s="284"/>
    </row>
    <row r="522" spans="1:14" x14ac:dyDescent="0.2">
      <c r="A522" s="292"/>
      <c r="B522" s="249"/>
      <c r="C522" s="284"/>
      <c r="D522" s="249"/>
      <c r="E522" s="284"/>
      <c r="F522" s="249"/>
      <c r="G522" s="284"/>
      <c r="H522" s="249"/>
      <c r="I522" s="284"/>
      <c r="K522" s="285"/>
    </row>
    <row r="523" spans="1:14" x14ac:dyDescent="0.2">
      <c r="B523" s="249"/>
      <c r="C523" s="284"/>
      <c r="D523" s="249"/>
      <c r="E523" s="284"/>
      <c r="F523" s="249"/>
      <c r="G523" s="284"/>
      <c r="H523" s="249"/>
      <c r="I523" s="284"/>
      <c r="K523" s="249"/>
      <c r="L523" s="249"/>
      <c r="M523" s="249"/>
      <c r="N523" s="249"/>
    </row>
    <row r="524" spans="1:14" x14ac:dyDescent="0.2">
      <c r="B524" s="249"/>
      <c r="C524" s="284"/>
      <c r="D524" s="249"/>
      <c r="E524" s="284"/>
      <c r="F524" s="249"/>
      <c r="G524" s="284"/>
      <c r="H524" s="249"/>
      <c r="I524" s="284"/>
      <c r="K524" s="249"/>
      <c r="L524" s="249"/>
      <c r="M524" s="249"/>
      <c r="N524" s="249"/>
    </row>
    <row r="525" spans="1:14" x14ac:dyDescent="0.2">
      <c r="B525" s="249"/>
      <c r="C525" s="284"/>
      <c r="D525" s="249"/>
      <c r="E525" s="284"/>
      <c r="F525" s="249"/>
      <c r="G525" s="284"/>
      <c r="H525" s="249"/>
      <c r="I525" s="284"/>
      <c r="K525" s="249"/>
      <c r="L525" s="249"/>
      <c r="M525" s="249"/>
      <c r="N525" s="249"/>
    </row>
    <row r="530" spans="1:14" x14ac:dyDescent="0.2">
      <c r="A530" s="182"/>
      <c r="B530" s="285"/>
      <c r="C530" s="182"/>
      <c r="D530" s="285"/>
      <c r="E530" s="182"/>
      <c r="F530" s="285"/>
      <c r="G530" s="182"/>
      <c r="H530" s="285"/>
      <c r="I530" s="182"/>
    </row>
    <row r="531" spans="1:14" x14ac:dyDescent="0.2">
      <c r="N531" s="287"/>
    </row>
    <row r="532" spans="1:14" x14ac:dyDescent="0.2">
      <c r="A532" s="182"/>
      <c r="B532" s="285"/>
      <c r="C532" s="182"/>
      <c r="D532" s="285"/>
      <c r="E532" s="182"/>
      <c r="F532" s="285"/>
      <c r="G532" s="182"/>
      <c r="H532" s="285"/>
      <c r="I532" s="182"/>
      <c r="J532" s="182"/>
      <c r="K532" s="287"/>
      <c r="L532" s="287"/>
      <c r="M532" s="287"/>
      <c r="N532" s="287"/>
    </row>
    <row r="533" spans="1:14" x14ac:dyDescent="0.2">
      <c r="A533" s="292"/>
      <c r="B533" s="287"/>
      <c r="C533" s="20"/>
      <c r="D533" s="287"/>
      <c r="E533" s="20"/>
      <c r="F533" s="287"/>
      <c r="G533" s="20"/>
      <c r="H533" s="287"/>
      <c r="I533" s="20"/>
      <c r="J533" s="182"/>
      <c r="K533" s="286"/>
      <c r="L533" s="285"/>
      <c r="M533" s="285"/>
    </row>
    <row r="534" spans="1:14" x14ac:dyDescent="0.2">
      <c r="C534" s="284"/>
      <c r="E534" s="284"/>
      <c r="G534" s="284"/>
      <c r="I534" s="284"/>
    </row>
    <row r="535" spans="1:14" x14ac:dyDescent="0.2">
      <c r="C535" s="284"/>
      <c r="E535" s="284"/>
      <c r="G535" s="284"/>
      <c r="I535" s="284"/>
    </row>
    <row r="536" spans="1:14" x14ac:dyDescent="0.2">
      <c r="C536" s="284"/>
      <c r="E536" s="284"/>
      <c r="G536" s="284"/>
      <c r="I536" s="284"/>
    </row>
    <row r="537" spans="1:14" x14ac:dyDescent="0.2">
      <c r="C537" s="284"/>
      <c r="E537" s="284"/>
      <c r="G537" s="284"/>
      <c r="I537" s="284"/>
    </row>
    <row r="538" spans="1:14" x14ac:dyDescent="0.2">
      <c r="A538" s="292"/>
      <c r="C538" s="284"/>
      <c r="E538" s="284"/>
      <c r="G538" s="284"/>
      <c r="I538" s="284"/>
      <c r="K538" s="285"/>
    </row>
    <row r="539" spans="1:14" x14ac:dyDescent="0.2">
      <c r="C539" s="284"/>
      <c r="E539" s="284"/>
      <c r="G539" s="284"/>
      <c r="I539" s="284"/>
    </row>
    <row r="540" spans="1:14" x14ac:dyDescent="0.2">
      <c r="C540" s="284"/>
      <c r="E540" s="284"/>
      <c r="G540" s="284"/>
      <c r="I540" s="284"/>
    </row>
    <row r="541" spans="1:14" x14ac:dyDescent="0.2">
      <c r="C541" s="284"/>
      <c r="E541" s="284"/>
      <c r="G541" s="284"/>
      <c r="I541" s="284"/>
    </row>
    <row r="542" spans="1:14" x14ac:dyDescent="0.2">
      <c r="C542" s="284"/>
      <c r="E542" s="284"/>
      <c r="G542" s="284"/>
      <c r="I542" s="284"/>
    </row>
    <row r="543" spans="1:14" x14ac:dyDescent="0.2">
      <c r="A543" s="292"/>
      <c r="C543" s="284"/>
      <c r="E543" s="284"/>
      <c r="G543" s="284"/>
      <c r="I543" s="284"/>
      <c r="K543" s="285"/>
    </row>
    <row r="544" spans="1:14" x14ac:dyDescent="0.2">
      <c r="C544" s="284"/>
      <c r="E544" s="284"/>
      <c r="G544" s="284"/>
      <c r="I544" s="284"/>
    </row>
    <row r="545" spans="1:9" x14ac:dyDescent="0.2">
      <c r="C545" s="284"/>
      <c r="E545" s="284"/>
      <c r="G545" s="284"/>
      <c r="I545" s="284"/>
    </row>
    <row r="546" spans="1:9" x14ac:dyDescent="0.2">
      <c r="C546" s="284"/>
      <c r="E546" s="284"/>
      <c r="G546" s="284"/>
      <c r="I546" s="284"/>
    </row>
    <row r="557" spans="1:9" x14ac:dyDescent="0.2">
      <c r="C557" s="182"/>
      <c r="E557" s="182"/>
      <c r="G557" s="182"/>
      <c r="I557" s="182"/>
    </row>
    <row r="558" spans="1:9" x14ac:dyDescent="0.2">
      <c r="A558" s="182"/>
      <c r="B558" s="285"/>
      <c r="C558" s="182"/>
      <c r="D558" s="285"/>
      <c r="E558" s="182"/>
      <c r="F558" s="285"/>
      <c r="G558" s="182"/>
      <c r="H558" s="285"/>
      <c r="I558" s="182"/>
    </row>
    <row r="559" spans="1:9" x14ac:dyDescent="0.2">
      <c r="A559" s="182"/>
      <c r="B559" s="285"/>
      <c r="C559" s="182"/>
      <c r="D559" s="285"/>
      <c r="E559" s="182"/>
      <c r="F559" s="285"/>
      <c r="G559" s="182"/>
      <c r="H559" s="285"/>
      <c r="I559" s="182"/>
    </row>
    <row r="560" spans="1:9" x14ac:dyDescent="0.2">
      <c r="A560" s="182"/>
      <c r="B560" s="285"/>
      <c r="C560" s="182"/>
      <c r="D560" s="285"/>
      <c r="E560" s="182"/>
      <c r="F560" s="285"/>
      <c r="G560" s="182"/>
      <c r="H560" s="285"/>
      <c r="I560" s="182"/>
    </row>
    <row r="561" spans="1:9" x14ac:dyDescent="0.2">
      <c r="A561" s="182"/>
      <c r="B561" s="285"/>
      <c r="C561" s="182"/>
      <c r="D561" s="285"/>
      <c r="E561" s="182"/>
      <c r="F561" s="285"/>
      <c r="G561" s="182"/>
      <c r="H561" s="285"/>
      <c r="I561" s="182"/>
    </row>
    <row r="562" spans="1:9" x14ac:dyDescent="0.2">
      <c r="A562" s="182"/>
      <c r="B562" s="285"/>
      <c r="C562" s="182"/>
      <c r="D562" s="285"/>
      <c r="E562" s="182"/>
      <c r="F562" s="285"/>
      <c r="G562" s="182"/>
      <c r="H562" s="285"/>
      <c r="I562" s="182"/>
    </row>
    <row r="563" spans="1:9" x14ac:dyDescent="0.2">
      <c r="A563" s="182"/>
      <c r="B563" s="285"/>
      <c r="C563" s="182"/>
      <c r="D563" s="285"/>
      <c r="E563" s="182"/>
      <c r="F563" s="285"/>
      <c r="G563" s="182"/>
      <c r="H563" s="285"/>
      <c r="I563" s="182"/>
    </row>
    <row r="564" spans="1:9" x14ac:dyDescent="0.2">
      <c r="A564" s="182"/>
      <c r="B564" s="285"/>
      <c r="C564" s="182"/>
      <c r="D564" s="285"/>
      <c r="E564" s="182"/>
      <c r="F564" s="285"/>
      <c r="G564" s="182"/>
      <c r="H564" s="285"/>
      <c r="I564" s="182"/>
    </row>
    <row r="565" spans="1:9" x14ac:dyDescent="0.2">
      <c r="A565" s="182"/>
      <c r="B565" s="285"/>
      <c r="C565" s="182"/>
      <c r="D565" s="285"/>
      <c r="E565" s="182"/>
      <c r="F565" s="285"/>
      <c r="G565" s="182"/>
      <c r="H565" s="285"/>
      <c r="I565" s="182"/>
    </row>
    <row r="566" spans="1:9" x14ac:dyDescent="0.2">
      <c r="A566" s="182"/>
      <c r="B566" s="285"/>
      <c r="C566" s="182"/>
      <c r="D566" s="285"/>
      <c r="E566" s="182"/>
      <c r="F566" s="285"/>
      <c r="G566" s="182"/>
      <c r="H566" s="285"/>
      <c r="I566" s="182"/>
    </row>
    <row r="567" spans="1:9" x14ac:dyDescent="0.2">
      <c r="A567" s="182"/>
      <c r="B567" s="285"/>
      <c r="C567" s="182"/>
      <c r="D567" s="285"/>
      <c r="E567" s="182"/>
      <c r="F567" s="285"/>
      <c r="G567" s="182"/>
      <c r="H567" s="285"/>
      <c r="I567" s="182"/>
    </row>
    <row r="568" spans="1:9" x14ac:dyDescent="0.2">
      <c r="A568" s="182"/>
      <c r="B568" s="285"/>
      <c r="C568" s="182"/>
      <c r="D568" s="285"/>
      <c r="E568" s="182"/>
      <c r="F568" s="285"/>
      <c r="G568" s="182"/>
      <c r="H568" s="285"/>
      <c r="I568" s="182"/>
    </row>
    <row r="569" spans="1:9" x14ac:dyDescent="0.2">
      <c r="A569" s="182"/>
      <c r="B569" s="285"/>
      <c r="C569" s="182"/>
      <c r="D569" s="285"/>
      <c r="E569" s="182"/>
      <c r="F569" s="285"/>
      <c r="G569" s="182"/>
      <c r="H569" s="285"/>
      <c r="I569" s="182"/>
    </row>
    <row r="570" spans="1:9" x14ac:dyDescent="0.2">
      <c r="A570" s="182"/>
      <c r="B570" s="285"/>
      <c r="C570" s="182"/>
      <c r="D570" s="285"/>
      <c r="E570" s="182"/>
      <c r="F570" s="285"/>
      <c r="G570" s="182"/>
      <c r="H570" s="285"/>
      <c r="I570" s="182"/>
    </row>
    <row r="571" spans="1:9" x14ac:dyDescent="0.2">
      <c r="A571" s="182"/>
      <c r="B571" s="285"/>
      <c r="C571" s="182"/>
      <c r="D571" s="285"/>
      <c r="E571" s="182"/>
      <c r="F571" s="285"/>
      <c r="G571" s="182"/>
      <c r="H571" s="285"/>
      <c r="I571" s="182"/>
    </row>
    <row r="572" spans="1:9" x14ac:dyDescent="0.2">
      <c r="A572" s="182"/>
      <c r="B572" s="285"/>
      <c r="C572" s="182"/>
      <c r="D572" s="285"/>
      <c r="E572" s="182"/>
      <c r="F572" s="285"/>
      <c r="G572" s="182"/>
      <c r="H572" s="285"/>
      <c r="I572" s="182"/>
    </row>
    <row r="573" spans="1:9" x14ac:dyDescent="0.2">
      <c r="A573" s="182"/>
      <c r="B573" s="285"/>
      <c r="C573" s="182"/>
      <c r="D573" s="285"/>
      <c r="E573" s="182"/>
      <c r="F573" s="285"/>
      <c r="G573" s="182"/>
      <c r="H573" s="285"/>
      <c r="I573" s="182"/>
    </row>
    <row r="574" spans="1:9" x14ac:dyDescent="0.2">
      <c r="A574" s="182"/>
      <c r="B574" s="285"/>
      <c r="C574" s="182"/>
      <c r="D574" s="285"/>
      <c r="E574" s="182"/>
      <c r="F574" s="285"/>
      <c r="G574" s="182"/>
      <c r="H574" s="285"/>
      <c r="I574" s="182"/>
    </row>
    <row r="575" spans="1:9" x14ac:dyDescent="0.2">
      <c r="A575" s="182"/>
      <c r="B575" s="285"/>
      <c r="C575" s="182"/>
      <c r="D575" s="285"/>
      <c r="E575" s="182"/>
      <c r="F575" s="285"/>
      <c r="G575" s="182"/>
      <c r="H575" s="285"/>
      <c r="I575" s="182"/>
    </row>
    <row r="576" spans="1:9" x14ac:dyDescent="0.2">
      <c r="A576" s="182"/>
      <c r="B576" s="285"/>
      <c r="C576" s="182"/>
      <c r="D576" s="285"/>
      <c r="E576" s="182"/>
      <c r="F576" s="285"/>
      <c r="G576" s="182"/>
      <c r="H576" s="285"/>
      <c r="I576" s="182"/>
    </row>
    <row r="577" spans="1:8" x14ac:dyDescent="0.2">
      <c r="A577" s="182"/>
      <c r="B577" s="285"/>
      <c r="D577" s="285"/>
      <c r="F577" s="285"/>
      <c r="H577" s="285"/>
    </row>
  </sheetData>
  <mergeCells count="100">
    <mergeCell ref="B469:C469"/>
    <mergeCell ref="D469:E469"/>
    <mergeCell ref="F469:G469"/>
    <mergeCell ref="H469:I469"/>
    <mergeCell ref="B427:C427"/>
    <mergeCell ref="D427:E427"/>
    <mergeCell ref="F427:G427"/>
    <mergeCell ref="H427:I427"/>
    <mergeCell ref="B448:C448"/>
    <mergeCell ref="D448:E448"/>
    <mergeCell ref="F448:G448"/>
    <mergeCell ref="H448:I448"/>
    <mergeCell ref="B385:C385"/>
    <mergeCell ref="D385:E385"/>
    <mergeCell ref="F385:G385"/>
    <mergeCell ref="H385:I385"/>
    <mergeCell ref="B406:C406"/>
    <mergeCell ref="D406:E406"/>
    <mergeCell ref="F406:G406"/>
    <mergeCell ref="H406:I406"/>
    <mergeCell ref="B343:C343"/>
    <mergeCell ref="D343:E343"/>
    <mergeCell ref="F343:G343"/>
    <mergeCell ref="H343:I343"/>
    <mergeCell ref="B364:C364"/>
    <mergeCell ref="D364:E364"/>
    <mergeCell ref="F364:G364"/>
    <mergeCell ref="H364:I364"/>
    <mergeCell ref="B301:C301"/>
    <mergeCell ref="D301:E301"/>
    <mergeCell ref="F301:G301"/>
    <mergeCell ref="H301:I301"/>
    <mergeCell ref="B322:C322"/>
    <mergeCell ref="D322:E322"/>
    <mergeCell ref="F322:G322"/>
    <mergeCell ref="H322:I322"/>
    <mergeCell ref="B259:C259"/>
    <mergeCell ref="D259:E259"/>
    <mergeCell ref="F259:G259"/>
    <mergeCell ref="H259:I259"/>
    <mergeCell ref="B280:C280"/>
    <mergeCell ref="D280:E280"/>
    <mergeCell ref="F280:G280"/>
    <mergeCell ref="H280:I280"/>
    <mergeCell ref="B217:C217"/>
    <mergeCell ref="D217:E217"/>
    <mergeCell ref="F217:G217"/>
    <mergeCell ref="H217:I217"/>
    <mergeCell ref="B238:C238"/>
    <mergeCell ref="D238:E238"/>
    <mergeCell ref="F238:G238"/>
    <mergeCell ref="H238:I238"/>
    <mergeCell ref="B175:C175"/>
    <mergeCell ref="D175:E175"/>
    <mergeCell ref="F175:G175"/>
    <mergeCell ref="H175:I175"/>
    <mergeCell ref="B196:C196"/>
    <mergeCell ref="D196:E196"/>
    <mergeCell ref="F196:G196"/>
    <mergeCell ref="H196:I196"/>
    <mergeCell ref="B133:C133"/>
    <mergeCell ref="D133:E133"/>
    <mergeCell ref="F133:G133"/>
    <mergeCell ref="H133:I133"/>
    <mergeCell ref="B154:C154"/>
    <mergeCell ref="D154:E154"/>
    <mergeCell ref="F154:G154"/>
    <mergeCell ref="H154:I154"/>
    <mergeCell ref="B91:C91"/>
    <mergeCell ref="D91:E91"/>
    <mergeCell ref="F91:G91"/>
    <mergeCell ref="H91:I91"/>
    <mergeCell ref="B112:C112"/>
    <mergeCell ref="D112:E112"/>
    <mergeCell ref="F112:G112"/>
    <mergeCell ref="H112:I112"/>
    <mergeCell ref="B49:C49"/>
    <mergeCell ref="D49:E49"/>
    <mergeCell ref="F49:G49"/>
    <mergeCell ref="H49:I49"/>
    <mergeCell ref="B70:C70"/>
    <mergeCell ref="D70:E70"/>
    <mergeCell ref="F70:G70"/>
    <mergeCell ref="H70:I70"/>
    <mergeCell ref="B7:C7"/>
    <mergeCell ref="D7:E7"/>
    <mergeCell ref="F7:G7"/>
    <mergeCell ref="H7:I7"/>
    <mergeCell ref="B28:C28"/>
    <mergeCell ref="D28:E28"/>
    <mergeCell ref="F28:G28"/>
    <mergeCell ref="H28:I28"/>
    <mergeCell ref="B490:C490"/>
    <mergeCell ref="D490:E490"/>
    <mergeCell ref="F490:G490"/>
    <mergeCell ref="H490:I490"/>
    <mergeCell ref="B511:C511"/>
    <mergeCell ref="D511:E511"/>
    <mergeCell ref="F511:G511"/>
    <mergeCell ref="H511:I511"/>
  </mergeCells>
  <pageMargins left="0.55118110236220474" right="0.55118110236220474" top="0.78740157480314965" bottom="0.78740157480314965" header="0.51181102362204722" footer="0.51181102362204722"/>
  <pageSetup scale="85" orientation="landscape" r:id="rId1"/>
  <headerFooter alignWithMargins="0"/>
  <rowBreaks count="12" manualBreakCount="12">
    <brk id="46" max="16383" man="1"/>
    <brk id="88" max="16383" man="1"/>
    <brk id="130" max="16383" man="1"/>
    <brk id="172" max="16383" man="1"/>
    <brk id="214" max="16383" man="1"/>
    <brk id="256" max="16383" man="1"/>
    <brk id="298" max="16383" man="1"/>
    <brk id="340" max="16383" man="1"/>
    <brk id="382" max="16383" man="1"/>
    <brk id="424" max="16383" man="1"/>
    <brk id="466" max="16383" man="1"/>
    <brk id="508" max="16383" man="1"/>
  </rowBreaks>
  <ignoredErrors>
    <ignoredError sqref="B10:I484 C9:I9" formula="1"/>
  </ignoredError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8">
    <pageSetUpPr fitToPage="1"/>
  </sheetPr>
  <dimension ref="A1:Y694"/>
  <sheetViews>
    <sheetView showGridLines="0" zoomScale="85" zoomScaleNormal="85" zoomScaleSheetLayoutView="85" workbookViewId="0"/>
  </sheetViews>
  <sheetFormatPr defaultColWidth="6.28515625" defaultRowHeight="12.75" x14ac:dyDescent="0.2"/>
  <cols>
    <col min="1" max="1" width="35.85546875" style="260" customWidth="1"/>
    <col min="2" max="2" width="6.7109375" style="263" customWidth="1"/>
    <col min="3" max="3" width="6.7109375" style="314" customWidth="1"/>
    <col min="4" max="25" width="6.7109375" style="263" customWidth="1"/>
    <col min="26" max="26" width="7.5703125" style="260" customWidth="1"/>
    <col min="27" max="266" width="6.28515625" style="260"/>
    <col min="267" max="267" width="43.5703125" style="260" customWidth="1"/>
    <col min="268" max="268" width="7.5703125" style="260" customWidth="1"/>
    <col min="269" max="270" width="8.42578125" style="260" customWidth="1"/>
    <col min="271" max="271" width="6.7109375" style="260" customWidth="1"/>
    <col min="272" max="273" width="7.5703125" style="260" customWidth="1"/>
    <col min="274" max="275" width="8.42578125" style="260" customWidth="1"/>
    <col min="276" max="276" width="6.7109375" style="260" customWidth="1"/>
    <col min="277" max="278" width="7.5703125" style="260" customWidth="1"/>
    <col min="279" max="280" width="8.42578125" style="260" customWidth="1"/>
    <col min="281" max="281" width="6.7109375" style="260" customWidth="1"/>
    <col min="282" max="282" width="7.5703125" style="260" customWidth="1"/>
    <col min="283" max="522" width="6.28515625" style="260"/>
    <col min="523" max="523" width="43.5703125" style="260" customWidth="1"/>
    <col min="524" max="524" width="7.5703125" style="260" customWidth="1"/>
    <col min="525" max="526" width="8.42578125" style="260" customWidth="1"/>
    <col min="527" max="527" width="6.7109375" style="260" customWidth="1"/>
    <col min="528" max="529" width="7.5703125" style="260" customWidth="1"/>
    <col min="530" max="531" width="8.42578125" style="260" customWidth="1"/>
    <col min="532" max="532" width="6.7109375" style="260" customWidth="1"/>
    <col min="533" max="534" width="7.5703125" style="260" customWidth="1"/>
    <col min="535" max="536" width="8.42578125" style="260" customWidth="1"/>
    <col min="537" max="537" width="6.7109375" style="260" customWidth="1"/>
    <col min="538" max="538" width="7.5703125" style="260" customWidth="1"/>
    <col min="539" max="778" width="6.28515625" style="260"/>
    <col min="779" max="779" width="43.5703125" style="260" customWidth="1"/>
    <col min="780" max="780" width="7.5703125" style="260" customWidth="1"/>
    <col min="781" max="782" width="8.42578125" style="260" customWidth="1"/>
    <col min="783" max="783" width="6.7109375" style="260" customWidth="1"/>
    <col min="784" max="785" width="7.5703125" style="260" customWidth="1"/>
    <col min="786" max="787" width="8.42578125" style="260" customWidth="1"/>
    <col min="788" max="788" width="6.7109375" style="260" customWidth="1"/>
    <col min="789" max="790" width="7.5703125" style="260" customWidth="1"/>
    <col min="791" max="792" width="8.42578125" style="260" customWidth="1"/>
    <col min="793" max="793" width="6.7109375" style="260" customWidth="1"/>
    <col min="794" max="794" width="7.5703125" style="260" customWidth="1"/>
    <col min="795" max="1034" width="6.28515625" style="260"/>
    <col min="1035" max="1035" width="43.5703125" style="260" customWidth="1"/>
    <col min="1036" max="1036" width="7.5703125" style="260" customWidth="1"/>
    <col min="1037" max="1038" width="8.42578125" style="260" customWidth="1"/>
    <col min="1039" max="1039" width="6.7109375" style="260" customWidth="1"/>
    <col min="1040" max="1041" width="7.5703125" style="260" customWidth="1"/>
    <col min="1042" max="1043" width="8.42578125" style="260" customWidth="1"/>
    <col min="1044" max="1044" width="6.7109375" style="260" customWidth="1"/>
    <col min="1045" max="1046" width="7.5703125" style="260" customWidth="1"/>
    <col min="1047" max="1048" width="8.42578125" style="260" customWidth="1"/>
    <col min="1049" max="1049" width="6.7109375" style="260" customWidth="1"/>
    <col min="1050" max="1050" width="7.5703125" style="260" customWidth="1"/>
    <col min="1051" max="1290" width="6.28515625" style="260"/>
    <col min="1291" max="1291" width="43.5703125" style="260" customWidth="1"/>
    <col min="1292" max="1292" width="7.5703125" style="260" customWidth="1"/>
    <col min="1293" max="1294" width="8.42578125" style="260" customWidth="1"/>
    <col min="1295" max="1295" width="6.7109375" style="260" customWidth="1"/>
    <col min="1296" max="1297" width="7.5703125" style="260" customWidth="1"/>
    <col min="1298" max="1299" width="8.42578125" style="260" customWidth="1"/>
    <col min="1300" max="1300" width="6.7109375" style="260" customWidth="1"/>
    <col min="1301" max="1302" width="7.5703125" style="260" customWidth="1"/>
    <col min="1303" max="1304" width="8.42578125" style="260" customWidth="1"/>
    <col min="1305" max="1305" width="6.7109375" style="260" customWidth="1"/>
    <col min="1306" max="1306" width="7.5703125" style="260" customWidth="1"/>
    <col min="1307" max="1546" width="6.28515625" style="260"/>
    <col min="1547" max="1547" width="43.5703125" style="260" customWidth="1"/>
    <col min="1548" max="1548" width="7.5703125" style="260" customWidth="1"/>
    <col min="1549" max="1550" width="8.42578125" style="260" customWidth="1"/>
    <col min="1551" max="1551" width="6.7109375" style="260" customWidth="1"/>
    <col min="1552" max="1553" width="7.5703125" style="260" customWidth="1"/>
    <col min="1554" max="1555" width="8.42578125" style="260" customWidth="1"/>
    <col min="1556" max="1556" width="6.7109375" style="260" customWidth="1"/>
    <col min="1557" max="1558" width="7.5703125" style="260" customWidth="1"/>
    <col min="1559" max="1560" width="8.42578125" style="260" customWidth="1"/>
    <col min="1561" max="1561" width="6.7109375" style="260" customWidth="1"/>
    <col min="1562" max="1562" width="7.5703125" style="260" customWidth="1"/>
    <col min="1563" max="1802" width="6.28515625" style="260"/>
    <col min="1803" max="1803" width="43.5703125" style="260" customWidth="1"/>
    <col min="1804" max="1804" width="7.5703125" style="260" customWidth="1"/>
    <col min="1805" max="1806" width="8.42578125" style="260" customWidth="1"/>
    <col min="1807" max="1807" width="6.7109375" style="260" customWidth="1"/>
    <col min="1808" max="1809" width="7.5703125" style="260" customWidth="1"/>
    <col min="1810" max="1811" width="8.42578125" style="260" customWidth="1"/>
    <col min="1812" max="1812" width="6.7109375" style="260" customWidth="1"/>
    <col min="1813" max="1814" width="7.5703125" style="260" customWidth="1"/>
    <col min="1815" max="1816" width="8.42578125" style="260" customWidth="1"/>
    <col min="1817" max="1817" width="6.7109375" style="260" customWidth="1"/>
    <col min="1818" max="1818" width="7.5703125" style="260" customWidth="1"/>
    <col min="1819" max="2058" width="6.28515625" style="260"/>
    <col min="2059" max="2059" width="43.5703125" style="260" customWidth="1"/>
    <col min="2060" max="2060" width="7.5703125" style="260" customWidth="1"/>
    <col min="2061" max="2062" width="8.42578125" style="260" customWidth="1"/>
    <col min="2063" max="2063" width="6.7109375" style="260" customWidth="1"/>
    <col min="2064" max="2065" width="7.5703125" style="260" customWidth="1"/>
    <col min="2066" max="2067" width="8.42578125" style="260" customWidth="1"/>
    <col min="2068" max="2068" width="6.7109375" style="260" customWidth="1"/>
    <col min="2069" max="2070" width="7.5703125" style="260" customWidth="1"/>
    <col min="2071" max="2072" width="8.42578125" style="260" customWidth="1"/>
    <col min="2073" max="2073" width="6.7109375" style="260" customWidth="1"/>
    <col min="2074" max="2074" width="7.5703125" style="260" customWidth="1"/>
    <col min="2075" max="2314" width="6.28515625" style="260"/>
    <col min="2315" max="2315" width="43.5703125" style="260" customWidth="1"/>
    <col min="2316" max="2316" width="7.5703125" style="260" customWidth="1"/>
    <col min="2317" max="2318" width="8.42578125" style="260" customWidth="1"/>
    <col min="2319" max="2319" width="6.7109375" style="260" customWidth="1"/>
    <col min="2320" max="2321" width="7.5703125" style="260" customWidth="1"/>
    <col min="2322" max="2323" width="8.42578125" style="260" customWidth="1"/>
    <col min="2324" max="2324" width="6.7109375" style="260" customWidth="1"/>
    <col min="2325" max="2326" width="7.5703125" style="260" customWidth="1"/>
    <col min="2327" max="2328" width="8.42578125" style="260" customWidth="1"/>
    <col min="2329" max="2329" width="6.7109375" style="260" customWidth="1"/>
    <col min="2330" max="2330" width="7.5703125" style="260" customWidth="1"/>
    <col min="2331" max="2570" width="6.28515625" style="260"/>
    <col min="2571" max="2571" width="43.5703125" style="260" customWidth="1"/>
    <col min="2572" max="2572" width="7.5703125" style="260" customWidth="1"/>
    <col min="2573" max="2574" width="8.42578125" style="260" customWidth="1"/>
    <col min="2575" max="2575" width="6.7109375" style="260" customWidth="1"/>
    <col min="2576" max="2577" width="7.5703125" style="260" customWidth="1"/>
    <col min="2578" max="2579" width="8.42578125" style="260" customWidth="1"/>
    <col min="2580" max="2580" width="6.7109375" style="260" customWidth="1"/>
    <col min="2581" max="2582" width="7.5703125" style="260" customWidth="1"/>
    <col min="2583" max="2584" width="8.42578125" style="260" customWidth="1"/>
    <col min="2585" max="2585" width="6.7109375" style="260" customWidth="1"/>
    <col min="2586" max="2586" width="7.5703125" style="260" customWidth="1"/>
    <col min="2587" max="2826" width="6.28515625" style="260"/>
    <col min="2827" max="2827" width="43.5703125" style="260" customWidth="1"/>
    <col min="2828" max="2828" width="7.5703125" style="260" customWidth="1"/>
    <col min="2829" max="2830" width="8.42578125" style="260" customWidth="1"/>
    <col min="2831" max="2831" width="6.7109375" style="260" customWidth="1"/>
    <col min="2832" max="2833" width="7.5703125" style="260" customWidth="1"/>
    <col min="2834" max="2835" width="8.42578125" style="260" customWidth="1"/>
    <col min="2836" max="2836" width="6.7109375" style="260" customWidth="1"/>
    <col min="2837" max="2838" width="7.5703125" style="260" customWidth="1"/>
    <col min="2839" max="2840" width="8.42578125" style="260" customWidth="1"/>
    <col min="2841" max="2841" width="6.7109375" style="260" customWidth="1"/>
    <col min="2842" max="2842" width="7.5703125" style="260" customWidth="1"/>
    <col min="2843" max="3082" width="6.28515625" style="260"/>
    <col min="3083" max="3083" width="43.5703125" style="260" customWidth="1"/>
    <col min="3084" max="3084" width="7.5703125" style="260" customWidth="1"/>
    <col min="3085" max="3086" width="8.42578125" style="260" customWidth="1"/>
    <col min="3087" max="3087" width="6.7109375" style="260" customWidth="1"/>
    <col min="3088" max="3089" width="7.5703125" style="260" customWidth="1"/>
    <col min="3090" max="3091" width="8.42578125" style="260" customWidth="1"/>
    <col min="3092" max="3092" width="6.7109375" style="260" customWidth="1"/>
    <col min="3093" max="3094" width="7.5703125" style="260" customWidth="1"/>
    <col min="3095" max="3096" width="8.42578125" style="260" customWidth="1"/>
    <col min="3097" max="3097" width="6.7109375" style="260" customWidth="1"/>
    <col min="3098" max="3098" width="7.5703125" style="260" customWidth="1"/>
    <col min="3099" max="3338" width="6.28515625" style="260"/>
    <col min="3339" max="3339" width="43.5703125" style="260" customWidth="1"/>
    <col min="3340" max="3340" width="7.5703125" style="260" customWidth="1"/>
    <col min="3341" max="3342" width="8.42578125" style="260" customWidth="1"/>
    <col min="3343" max="3343" width="6.7109375" style="260" customWidth="1"/>
    <col min="3344" max="3345" width="7.5703125" style="260" customWidth="1"/>
    <col min="3346" max="3347" width="8.42578125" style="260" customWidth="1"/>
    <col min="3348" max="3348" width="6.7109375" style="260" customWidth="1"/>
    <col min="3349" max="3350" width="7.5703125" style="260" customWidth="1"/>
    <col min="3351" max="3352" width="8.42578125" style="260" customWidth="1"/>
    <col min="3353" max="3353" width="6.7109375" style="260" customWidth="1"/>
    <col min="3354" max="3354" width="7.5703125" style="260" customWidth="1"/>
    <col min="3355" max="3594" width="6.28515625" style="260"/>
    <col min="3595" max="3595" width="43.5703125" style="260" customWidth="1"/>
    <col min="3596" max="3596" width="7.5703125" style="260" customWidth="1"/>
    <col min="3597" max="3598" width="8.42578125" style="260" customWidth="1"/>
    <col min="3599" max="3599" width="6.7109375" style="260" customWidth="1"/>
    <col min="3600" max="3601" width="7.5703125" style="260" customWidth="1"/>
    <col min="3602" max="3603" width="8.42578125" style="260" customWidth="1"/>
    <col min="3604" max="3604" width="6.7109375" style="260" customWidth="1"/>
    <col min="3605" max="3606" width="7.5703125" style="260" customWidth="1"/>
    <col min="3607" max="3608" width="8.42578125" style="260" customWidth="1"/>
    <col min="3609" max="3609" width="6.7109375" style="260" customWidth="1"/>
    <col min="3610" max="3610" width="7.5703125" style="260" customWidth="1"/>
    <col min="3611" max="3850" width="6.28515625" style="260"/>
    <col min="3851" max="3851" width="43.5703125" style="260" customWidth="1"/>
    <col min="3852" max="3852" width="7.5703125" style="260" customWidth="1"/>
    <col min="3853" max="3854" width="8.42578125" style="260" customWidth="1"/>
    <col min="3855" max="3855" width="6.7109375" style="260" customWidth="1"/>
    <col min="3856" max="3857" width="7.5703125" style="260" customWidth="1"/>
    <col min="3858" max="3859" width="8.42578125" style="260" customWidth="1"/>
    <col min="3860" max="3860" width="6.7109375" style="260" customWidth="1"/>
    <col min="3861" max="3862" width="7.5703125" style="260" customWidth="1"/>
    <col min="3863" max="3864" width="8.42578125" style="260" customWidth="1"/>
    <col min="3865" max="3865" width="6.7109375" style="260" customWidth="1"/>
    <col min="3866" max="3866" width="7.5703125" style="260" customWidth="1"/>
    <col min="3867" max="4106" width="6.28515625" style="260"/>
    <col min="4107" max="4107" width="43.5703125" style="260" customWidth="1"/>
    <col min="4108" max="4108" width="7.5703125" style="260" customWidth="1"/>
    <col min="4109" max="4110" width="8.42578125" style="260" customWidth="1"/>
    <col min="4111" max="4111" width="6.7109375" style="260" customWidth="1"/>
    <col min="4112" max="4113" width="7.5703125" style="260" customWidth="1"/>
    <col min="4114" max="4115" width="8.42578125" style="260" customWidth="1"/>
    <col min="4116" max="4116" width="6.7109375" style="260" customWidth="1"/>
    <col min="4117" max="4118" width="7.5703125" style="260" customWidth="1"/>
    <col min="4119" max="4120" width="8.42578125" style="260" customWidth="1"/>
    <col min="4121" max="4121" width="6.7109375" style="260" customWidth="1"/>
    <col min="4122" max="4122" width="7.5703125" style="260" customWidth="1"/>
    <col min="4123" max="4362" width="6.28515625" style="260"/>
    <col min="4363" max="4363" width="43.5703125" style="260" customWidth="1"/>
    <col min="4364" max="4364" width="7.5703125" style="260" customWidth="1"/>
    <col min="4365" max="4366" width="8.42578125" style="260" customWidth="1"/>
    <col min="4367" max="4367" width="6.7109375" style="260" customWidth="1"/>
    <col min="4368" max="4369" width="7.5703125" style="260" customWidth="1"/>
    <col min="4370" max="4371" width="8.42578125" style="260" customWidth="1"/>
    <col min="4372" max="4372" width="6.7109375" style="260" customWidth="1"/>
    <col min="4373" max="4374" width="7.5703125" style="260" customWidth="1"/>
    <col min="4375" max="4376" width="8.42578125" style="260" customWidth="1"/>
    <col min="4377" max="4377" width="6.7109375" style="260" customWidth="1"/>
    <col min="4378" max="4378" width="7.5703125" style="260" customWidth="1"/>
    <col min="4379" max="4618" width="6.28515625" style="260"/>
    <col min="4619" max="4619" width="43.5703125" style="260" customWidth="1"/>
    <col min="4620" max="4620" width="7.5703125" style="260" customWidth="1"/>
    <col min="4621" max="4622" width="8.42578125" style="260" customWidth="1"/>
    <col min="4623" max="4623" width="6.7109375" style="260" customWidth="1"/>
    <col min="4624" max="4625" width="7.5703125" style="260" customWidth="1"/>
    <col min="4626" max="4627" width="8.42578125" style="260" customWidth="1"/>
    <col min="4628" max="4628" width="6.7109375" style="260" customWidth="1"/>
    <col min="4629" max="4630" width="7.5703125" style="260" customWidth="1"/>
    <col min="4631" max="4632" width="8.42578125" style="260" customWidth="1"/>
    <col min="4633" max="4633" width="6.7109375" style="260" customWidth="1"/>
    <col min="4634" max="4634" width="7.5703125" style="260" customWidth="1"/>
    <col min="4635" max="4874" width="6.28515625" style="260"/>
    <col min="4875" max="4875" width="43.5703125" style="260" customWidth="1"/>
    <col min="4876" max="4876" width="7.5703125" style="260" customWidth="1"/>
    <col min="4877" max="4878" width="8.42578125" style="260" customWidth="1"/>
    <col min="4879" max="4879" width="6.7109375" style="260" customWidth="1"/>
    <col min="4880" max="4881" width="7.5703125" style="260" customWidth="1"/>
    <col min="4882" max="4883" width="8.42578125" style="260" customWidth="1"/>
    <col min="4884" max="4884" width="6.7109375" style="260" customWidth="1"/>
    <col min="4885" max="4886" width="7.5703125" style="260" customWidth="1"/>
    <col min="4887" max="4888" width="8.42578125" style="260" customWidth="1"/>
    <col min="4889" max="4889" width="6.7109375" style="260" customWidth="1"/>
    <col min="4890" max="4890" width="7.5703125" style="260" customWidth="1"/>
    <col min="4891" max="5130" width="6.28515625" style="260"/>
    <col min="5131" max="5131" width="43.5703125" style="260" customWidth="1"/>
    <col min="5132" max="5132" width="7.5703125" style="260" customWidth="1"/>
    <col min="5133" max="5134" width="8.42578125" style="260" customWidth="1"/>
    <col min="5135" max="5135" width="6.7109375" style="260" customWidth="1"/>
    <col min="5136" max="5137" width="7.5703125" style="260" customWidth="1"/>
    <col min="5138" max="5139" width="8.42578125" style="260" customWidth="1"/>
    <col min="5140" max="5140" width="6.7109375" style="260" customWidth="1"/>
    <col min="5141" max="5142" width="7.5703125" style="260" customWidth="1"/>
    <col min="5143" max="5144" width="8.42578125" style="260" customWidth="1"/>
    <col min="5145" max="5145" width="6.7109375" style="260" customWidth="1"/>
    <col min="5146" max="5146" width="7.5703125" style="260" customWidth="1"/>
    <col min="5147" max="5386" width="6.28515625" style="260"/>
    <col min="5387" max="5387" width="43.5703125" style="260" customWidth="1"/>
    <col min="5388" max="5388" width="7.5703125" style="260" customWidth="1"/>
    <col min="5389" max="5390" width="8.42578125" style="260" customWidth="1"/>
    <col min="5391" max="5391" width="6.7109375" style="260" customWidth="1"/>
    <col min="5392" max="5393" width="7.5703125" style="260" customWidth="1"/>
    <col min="5394" max="5395" width="8.42578125" style="260" customWidth="1"/>
    <col min="5396" max="5396" width="6.7109375" style="260" customWidth="1"/>
    <col min="5397" max="5398" width="7.5703125" style="260" customWidth="1"/>
    <col min="5399" max="5400" width="8.42578125" style="260" customWidth="1"/>
    <col min="5401" max="5401" width="6.7109375" style="260" customWidth="1"/>
    <col min="5402" max="5402" width="7.5703125" style="260" customWidth="1"/>
    <col min="5403" max="5642" width="6.28515625" style="260"/>
    <col min="5643" max="5643" width="43.5703125" style="260" customWidth="1"/>
    <col min="5644" max="5644" width="7.5703125" style="260" customWidth="1"/>
    <col min="5645" max="5646" width="8.42578125" style="260" customWidth="1"/>
    <col min="5647" max="5647" width="6.7109375" style="260" customWidth="1"/>
    <col min="5648" max="5649" width="7.5703125" style="260" customWidth="1"/>
    <col min="5650" max="5651" width="8.42578125" style="260" customWidth="1"/>
    <col min="5652" max="5652" width="6.7109375" style="260" customWidth="1"/>
    <col min="5653" max="5654" width="7.5703125" style="260" customWidth="1"/>
    <col min="5655" max="5656" width="8.42578125" style="260" customWidth="1"/>
    <col min="5657" max="5657" width="6.7109375" style="260" customWidth="1"/>
    <col min="5658" max="5658" width="7.5703125" style="260" customWidth="1"/>
    <col min="5659" max="5898" width="6.28515625" style="260"/>
    <col min="5899" max="5899" width="43.5703125" style="260" customWidth="1"/>
    <col min="5900" max="5900" width="7.5703125" style="260" customWidth="1"/>
    <col min="5901" max="5902" width="8.42578125" style="260" customWidth="1"/>
    <col min="5903" max="5903" width="6.7109375" style="260" customWidth="1"/>
    <col min="5904" max="5905" width="7.5703125" style="260" customWidth="1"/>
    <col min="5906" max="5907" width="8.42578125" style="260" customWidth="1"/>
    <col min="5908" max="5908" width="6.7109375" style="260" customWidth="1"/>
    <col min="5909" max="5910" width="7.5703125" style="260" customWidth="1"/>
    <col min="5911" max="5912" width="8.42578125" style="260" customWidth="1"/>
    <col min="5913" max="5913" width="6.7109375" style="260" customWidth="1"/>
    <col min="5914" max="5914" width="7.5703125" style="260" customWidth="1"/>
    <col min="5915" max="6154" width="6.28515625" style="260"/>
    <col min="6155" max="6155" width="43.5703125" style="260" customWidth="1"/>
    <col min="6156" max="6156" width="7.5703125" style="260" customWidth="1"/>
    <col min="6157" max="6158" width="8.42578125" style="260" customWidth="1"/>
    <col min="6159" max="6159" width="6.7109375" style="260" customWidth="1"/>
    <col min="6160" max="6161" width="7.5703125" style="260" customWidth="1"/>
    <col min="6162" max="6163" width="8.42578125" style="260" customWidth="1"/>
    <col min="6164" max="6164" width="6.7109375" style="260" customWidth="1"/>
    <col min="6165" max="6166" width="7.5703125" style="260" customWidth="1"/>
    <col min="6167" max="6168" width="8.42578125" style="260" customWidth="1"/>
    <col min="6169" max="6169" width="6.7109375" style="260" customWidth="1"/>
    <col min="6170" max="6170" width="7.5703125" style="260" customWidth="1"/>
    <col min="6171" max="6410" width="6.28515625" style="260"/>
    <col min="6411" max="6411" width="43.5703125" style="260" customWidth="1"/>
    <col min="6412" max="6412" width="7.5703125" style="260" customWidth="1"/>
    <col min="6413" max="6414" width="8.42578125" style="260" customWidth="1"/>
    <col min="6415" max="6415" width="6.7109375" style="260" customWidth="1"/>
    <col min="6416" max="6417" width="7.5703125" style="260" customWidth="1"/>
    <col min="6418" max="6419" width="8.42578125" style="260" customWidth="1"/>
    <col min="6420" max="6420" width="6.7109375" style="260" customWidth="1"/>
    <col min="6421" max="6422" width="7.5703125" style="260" customWidth="1"/>
    <col min="6423" max="6424" width="8.42578125" style="260" customWidth="1"/>
    <col min="6425" max="6425" width="6.7109375" style="260" customWidth="1"/>
    <col min="6426" max="6426" width="7.5703125" style="260" customWidth="1"/>
    <col min="6427" max="6666" width="6.28515625" style="260"/>
    <col min="6667" max="6667" width="43.5703125" style="260" customWidth="1"/>
    <col min="6668" max="6668" width="7.5703125" style="260" customWidth="1"/>
    <col min="6669" max="6670" width="8.42578125" style="260" customWidth="1"/>
    <col min="6671" max="6671" width="6.7109375" style="260" customWidth="1"/>
    <col min="6672" max="6673" width="7.5703125" style="260" customWidth="1"/>
    <col min="6674" max="6675" width="8.42578125" style="260" customWidth="1"/>
    <col min="6676" max="6676" width="6.7109375" style="260" customWidth="1"/>
    <col min="6677" max="6678" width="7.5703125" style="260" customWidth="1"/>
    <col min="6679" max="6680" width="8.42578125" style="260" customWidth="1"/>
    <col min="6681" max="6681" width="6.7109375" style="260" customWidth="1"/>
    <col min="6682" max="6682" width="7.5703125" style="260" customWidth="1"/>
    <col min="6683" max="6922" width="6.28515625" style="260"/>
    <col min="6923" max="6923" width="43.5703125" style="260" customWidth="1"/>
    <col min="6924" max="6924" width="7.5703125" style="260" customWidth="1"/>
    <col min="6925" max="6926" width="8.42578125" style="260" customWidth="1"/>
    <col min="6927" max="6927" width="6.7109375" style="260" customWidth="1"/>
    <col min="6928" max="6929" width="7.5703125" style="260" customWidth="1"/>
    <col min="6930" max="6931" width="8.42578125" style="260" customWidth="1"/>
    <col min="6932" max="6932" width="6.7109375" style="260" customWidth="1"/>
    <col min="6933" max="6934" width="7.5703125" style="260" customWidth="1"/>
    <col min="6935" max="6936" width="8.42578125" style="260" customWidth="1"/>
    <col min="6937" max="6937" width="6.7109375" style="260" customWidth="1"/>
    <col min="6938" max="6938" width="7.5703125" style="260" customWidth="1"/>
    <col min="6939" max="7178" width="6.28515625" style="260"/>
    <col min="7179" max="7179" width="43.5703125" style="260" customWidth="1"/>
    <col min="7180" max="7180" width="7.5703125" style="260" customWidth="1"/>
    <col min="7181" max="7182" width="8.42578125" style="260" customWidth="1"/>
    <col min="7183" max="7183" width="6.7109375" style="260" customWidth="1"/>
    <col min="7184" max="7185" width="7.5703125" style="260" customWidth="1"/>
    <col min="7186" max="7187" width="8.42578125" style="260" customWidth="1"/>
    <col min="7188" max="7188" width="6.7109375" style="260" customWidth="1"/>
    <col min="7189" max="7190" width="7.5703125" style="260" customWidth="1"/>
    <col min="7191" max="7192" width="8.42578125" style="260" customWidth="1"/>
    <col min="7193" max="7193" width="6.7109375" style="260" customWidth="1"/>
    <col min="7194" max="7194" width="7.5703125" style="260" customWidth="1"/>
    <col min="7195" max="7434" width="6.28515625" style="260"/>
    <col min="7435" max="7435" width="43.5703125" style="260" customWidth="1"/>
    <col min="7436" max="7436" width="7.5703125" style="260" customWidth="1"/>
    <col min="7437" max="7438" width="8.42578125" style="260" customWidth="1"/>
    <col min="7439" max="7439" width="6.7109375" style="260" customWidth="1"/>
    <col min="7440" max="7441" width="7.5703125" style="260" customWidth="1"/>
    <col min="7442" max="7443" width="8.42578125" style="260" customWidth="1"/>
    <col min="7444" max="7444" width="6.7109375" style="260" customWidth="1"/>
    <col min="7445" max="7446" width="7.5703125" style="260" customWidth="1"/>
    <col min="7447" max="7448" width="8.42578125" style="260" customWidth="1"/>
    <col min="7449" max="7449" width="6.7109375" style="260" customWidth="1"/>
    <col min="7450" max="7450" width="7.5703125" style="260" customWidth="1"/>
    <col min="7451" max="7690" width="6.28515625" style="260"/>
    <col min="7691" max="7691" width="43.5703125" style="260" customWidth="1"/>
    <col min="7692" max="7692" width="7.5703125" style="260" customWidth="1"/>
    <col min="7693" max="7694" width="8.42578125" style="260" customWidth="1"/>
    <col min="7695" max="7695" width="6.7109375" style="260" customWidth="1"/>
    <col min="7696" max="7697" width="7.5703125" style="260" customWidth="1"/>
    <col min="7698" max="7699" width="8.42578125" style="260" customWidth="1"/>
    <col min="7700" max="7700" width="6.7109375" style="260" customWidth="1"/>
    <col min="7701" max="7702" width="7.5703125" style="260" customWidth="1"/>
    <col min="7703" max="7704" width="8.42578125" style="260" customWidth="1"/>
    <col min="7705" max="7705" width="6.7109375" style="260" customWidth="1"/>
    <col min="7706" max="7706" width="7.5703125" style="260" customWidth="1"/>
    <col min="7707" max="7946" width="6.28515625" style="260"/>
    <col min="7947" max="7947" width="43.5703125" style="260" customWidth="1"/>
    <col min="7948" max="7948" width="7.5703125" style="260" customWidth="1"/>
    <col min="7949" max="7950" width="8.42578125" style="260" customWidth="1"/>
    <col min="7951" max="7951" width="6.7109375" style="260" customWidth="1"/>
    <col min="7952" max="7953" width="7.5703125" style="260" customWidth="1"/>
    <col min="7954" max="7955" width="8.42578125" style="260" customWidth="1"/>
    <col min="7956" max="7956" width="6.7109375" style="260" customWidth="1"/>
    <col min="7957" max="7958" width="7.5703125" style="260" customWidth="1"/>
    <col min="7959" max="7960" width="8.42578125" style="260" customWidth="1"/>
    <col min="7961" max="7961" width="6.7109375" style="260" customWidth="1"/>
    <col min="7962" max="7962" width="7.5703125" style="260" customWidth="1"/>
    <col min="7963" max="8202" width="6.28515625" style="260"/>
    <col min="8203" max="8203" width="43.5703125" style="260" customWidth="1"/>
    <col min="8204" max="8204" width="7.5703125" style="260" customWidth="1"/>
    <col min="8205" max="8206" width="8.42578125" style="260" customWidth="1"/>
    <col min="8207" max="8207" width="6.7109375" style="260" customWidth="1"/>
    <col min="8208" max="8209" width="7.5703125" style="260" customWidth="1"/>
    <col min="8210" max="8211" width="8.42578125" style="260" customWidth="1"/>
    <col min="8212" max="8212" width="6.7109375" style="260" customWidth="1"/>
    <col min="8213" max="8214" width="7.5703125" style="260" customWidth="1"/>
    <col min="8215" max="8216" width="8.42578125" style="260" customWidth="1"/>
    <col min="8217" max="8217" width="6.7109375" style="260" customWidth="1"/>
    <col min="8218" max="8218" width="7.5703125" style="260" customWidth="1"/>
    <col min="8219" max="8458" width="6.28515625" style="260"/>
    <col min="8459" max="8459" width="43.5703125" style="260" customWidth="1"/>
    <col min="8460" max="8460" width="7.5703125" style="260" customWidth="1"/>
    <col min="8461" max="8462" width="8.42578125" style="260" customWidth="1"/>
    <col min="8463" max="8463" width="6.7109375" style="260" customWidth="1"/>
    <col min="8464" max="8465" width="7.5703125" style="260" customWidth="1"/>
    <col min="8466" max="8467" width="8.42578125" style="260" customWidth="1"/>
    <col min="8468" max="8468" width="6.7109375" style="260" customWidth="1"/>
    <col min="8469" max="8470" width="7.5703125" style="260" customWidth="1"/>
    <col min="8471" max="8472" width="8.42578125" style="260" customWidth="1"/>
    <col min="8473" max="8473" width="6.7109375" style="260" customWidth="1"/>
    <col min="8474" max="8474" width="7.5703125" style="260" customWidth="1"/>
    <col min="8475" max="8714" width="6.28515625" style="260"/>
    <col min="8715" max="8715" width="43.5703125" style="260" customWidth="1"/>
    <col min="8716" max="8716" width="7.5703125" style="260" customWidth="1"/>
    <col min="8717" max="8718" width="8.42578125" style="260" customWidth="1"/>
    <col min="8719" max="8719" width="6.7109375" style="260" customWidth="1"/>
    <col min="8720" max="8721" width="7.5703125" style="260" customWidth="1"/>
    <col min="8722" max="8723" width="8.42578125" style="260" customWidth="1"/>
    <col min="8724" max="8724" width="6.7109375" style="260" customWidth="1"/>
    <col min="8725" max="8726" width="7.5703125" style="260" customWidth="1"/>
    <col min="8727" max="8728" width="8.42578125" style="260" customWidth="1"/>
    <col min="8729" max="8729" width="6.7109375" style="260" customWidth="1"/>
    <col min="8730" max="8730" width="7.5703125" style="260" customWidth="1"/>
    <col min="8731" max="8970" width="6.28515625" style="260"/>
    <col min="8971" max="8971" width="43.5703125" style="260" customWidth="1"/>
    <col min="8972" max="8972" width="7.5703125" style="260" customWidth="1"/>
    <col min="8973" max="8974" width="8.42578125" style="260" customWidth="1"/>
    <col min="8975" max="8975" width="6.7109375" style="260" customWidth="1"/>
    <col min="8976" max="8977" width="7.5703125" style="260" customWidth="1"/>
    <col min="8978" max="8979" width="8.42578125" style="260" customWidth="1"/>
    <col min="8980" max="8980" width="6.7109375" style="260" customWidth="1"/>
    <col min="8981" max="8982" width="7.5703125" style="260" customWidth="1"/>
    <col min="8983" max="8984" width="8.42578125" style="260" customWidth="1"/>
    <col min="8985" max="8985" width="6.7109375" style="260" customWidth="1"/>
    <col min="8986" max="8986" width="7.5703125" style="260" customWidth="1"/>
    <col min="8987" max="9226" width="6.28515625" style="260"/>
    <col min="9227" max="9227" width="43.5703125" style="260" customWidth="1"/>
    <col min="9228" max="9228" width="7.5703125" style="260" customWidth="1"/>
    <col min="9229" max="9230" width="8.42578125" style="260" customWidth="1"/>
    <col min="9231" max="9231" width="6.7109375" style="260" customWidth="1"/>
    <col min="9232" max="9233" width="7.5703125" style="260" customWidth="1"/>
    <col min="9234" max="9235" width="8.42578125" style="260" customWidth="1"/>
    <col min="9236" max="9236" width="6.7109375" style="260" customWidth="1"/>
    <col min="9237" max="9238" width="7.5703125" style="260" customWidth="1"/>
    <col min="9239" max="9240" width="8.42578125" style="260" customWidth="1"/>
    <col min="9241" max="9241" width="6.7109375" style="260" customWidth="1"/>
    <col min="9242" max="9242" width="7.5703125" style="260" customWidth="1"/>
    <col min="9243" max="9482" width="6.28515625" style="260"/>
    <col min="9483" max="9483" width="43.5703125" style="260" customWidth="1"/>
    <col min="9484" max="9484" width="7.5703125" style="260" customWidth="1"/>
    <col min="9485" max="9486" width="8.42578125" style="260" customWidth="1"/>
    <col min="9487" max="9487" width="6.7109375" style="260" customWidth="1"/>
    <col min="9488" max="9489" width="7.5703125" style="260" customWidth="1"/>
    <col min="9490" max="9491" width="8.42578125" style="260" customWidth="1"/>
    <col min="9492" max="9492" width="6.7109375" style="260" customWidth="1"/>
    <col min="9493" max="9494" width="7.5703125" style="260" customWidth="1"/>
    <col min="9495" max="9496" width="8.42578125" style="260" customWidth="1"/>
    <col min="9497" max="9497" width="6.7109375" style="260" customWidth="1"/>
    <col min="9498" max="9498" width="7.5703125" style="260" customWidth="1"/>
    <col min="9499" max="9738" width="6.28515625" style="260"/>
    <col min="9739" max="9739" width="43.5703125" style="260" customWidth="1"/>
    <col min="9740" max="9740" width="7.5703125" style="260" customWidth="1"/>
    <col min="9741" max="9742" width="8.42578125" style="260" customWidth="1"/>
    <col min="9743" max="9743" width="6.7109375" style="260" customWidth="1"/>
    <col min="9744" max="9745" width="7.5703125" style="260" customWidth="1"/>
    <col min="9746" max="9747" width="8.42578125" style="260" customWidth="1"/>
    <col min="9748" max="9748" width="6.7109375" style="260" customWidth="1"/>
    <col min="9749" max="9750" width="7.5703125" style="260" customWidth="1"/>
    <col min="9751" max="9752" width="8.42578125" style="260" customWidth="1"/>
    <col min="9753" max="9753" width="6.7109375" style="260" customWidth="1"/>
    <col min="9754" max="9754" width="7.5703125" style="260" customWidth="1"/>
    <col min="9755" max="9994" width="6.28515625" style="260"/>
    <col min="9995" max="9995" width="43.5703125" style="260" customWidth="1"/>
    <col min="9996" max="9996" width="7.5703125" style="260" customWidth="1"/>
    <col min="9997" max="9998" width="8.42578125" style="260" customWidth="1"/>
    <col min="9999" max="9999" width="6.7109375" style="260" customWidth="1"/>
    <col min="10000" max="10001" width="7.5703125" style="260" customWidth="1"/>
    <col min="10002" max="10003" width="8.42578125" style="260" customWidth="1"/>
    <col min="10004" max="10004" width="6.7109375" style="260" customWidth="1"/>
    <col min="10005" max="10006" width="7.5703125" style="260" customWidth="1"/>
    <col min="10007" max="10008" width="8.42578125" style="260" customWidth="1"/>
    <col min="10009" max="10009" width="6.7109375" style="260" customWidth="1"/>
    <col min="10010" max="10010" width="7.5703125" style="260" customWidth="1"/>
    <col min="10011" max="10250" width="6.28515625" style="260"/>
    <col min="10251" max="10251" width="43.5703125" style="260" customWidth="1"/>
    <col min="10252" max="10252" width="7.5703125" style="260" customWidth="1"/>
    <col min="10253" max="10254" width="8.42578125" style="260" customWidth="1"/>
    <col min="10255" max="10255" width="6.7109375" style="260" customWidth="1"/>
    <col min="10256" max="10257" width="7.5703125" style="260" customWidth="1"/>
    <col min="10258" max="10259" width="8.42578125" style="260" customWidth="1"/>
    <col min="10260" max="10260" width="6.7109375" style="260" customWidth="1"/>
    <col min="10261" max="10262" width="7.5703125" style="260" customWidth="1"/>
    <col min="10263" max="10264" width="8.42578125" style="260" customWidth="1"/>
    <col min="10265" max="10265" width="6.7109375" style="260" customWidth="1"/>
    <col min="10266" max="10266" width="7.5703125" style="260" customWidth="1"/>
    <col min="10267" max="10506" width="6.28515625" style="260"/>
    <col min="10507" max="10507" width="43.5703125" style="260" customWidth="1"/>
    <col min="10508" max="10508" width="7.5703125" style="260" customWidth="1"/>
    <col min="10509" max="10510" width="8.42578125" style="260" customWidth="1"/>
    <col min="10511" max="10511" width="6.7109375" style="260" customWidth="1"/>
    <col min="10512" max="10513" width="7.5703125" style="260" customWidth="1"/>
    <col min="10514" max="10515" width="8.42578125" style="260" customWidth="1"/>
    <col min="10516" max="10516" width="6.7109375" style="260" customWidth="1"/>
    <col min="10517" max="10518" width="7.5703125" style="260" customWidth="1"/>
    <col min="10519" max="10520" width="8.42578125" style="260" customWidth="1"/>
    <col min="10521" max="10521" width="6.7109375" style="260" customWidth="1"/>
    <col min="10522" max="10522" width="7.5703125" style="260" customWidth="1"/>
    <col min="10523" max="10762" width="6.28515625" style="260"/>
    <col min="10763" max="10763" width="43.5703125" style="260" customWidth="1"/>
    <col min="10764" max="10764" width="7.5703125" style="260" customWidth="1"/>
    <col min="10765" max="10766" width="8.42578125" style="260" customWidth="1"/>
    <col min="10767" max="10767" width="6.7109375" style="260" customWidth="1"/>
    <col min="10768" max="10769" width="7.5703125" style="260" customWidth="1"/>
    <col min="10770" max="10771" width="8.42578125" style="260" customWidth="1"/>
    <col min="10772" max="10772" width="6.7109375" style="260" customWidth="1"/>
    <col min="10773" max="10774" width="7.5703125" style="260" customWidth="1"/>
    <col min="10775" max="10776" width="8.42578125" style="260" customWidth="1"/>
    <col min="10777" max="10777" width="6.7109375" style="260" customWidth="1"/>
    <col min="10778" max="10778" width="7.5703125" style="260" customWidth="1"/>
    <col min="10779" max="11018" width="6.28515625" style="260"/>
    <col min="11019" max="11019" width="43.5703125" style="260" customWidth="1"/>
    <col min="11020" max="11020" width="7.5703125" style="260" customWidth="1"/>
    <col min="11021" max="11022" width="8.42578125" style="260" customWidth="1"/>
    <col min="11023" max="11023" width="6.7109375" style="260" customWidth="1"/>
    <col min="11024" max="11025" width="7.5703125" style="260" customWidth="1"/>
    <col min="11026" max="11027" width="8.42578125" style="260" customWidth="1"/>
    <col min="11028" max="11028" width="6.7109375" style="260" customWidth="1"/>
    <col min="11029" max="11030" width="7.5703125" style="260" customWidth="1"/>
    <col min="11031" max="11032" width="8.42578125" style="260" customWidth="1"/>
    <col min="11033" max="11033" width="6.7109375" style="260" customWidth="1"/>
    <col min="11034" max="11034" width="7.5703125" style="260" customWidth="1"/>
    <col min="11035" max="11274" width="6.28515625" style="260"/>
    <col min="11275" max="11275" width="43.5703125" style="260" customWidth="1"/>
    <col min="11276" max="11276" width="7.5703125" style="260" customWidth="1"/>
    <col min="11277" max="11278" width="8.42578125" style="260" customWidth="1"/>
    <col min="11279" max="11279" width="6.7109375" style="260" customWidth="1"/>
    <col min="11280" max="11281" width="7.5703125" style="260" customWidth="1"/>
    <col min="11282" max="11283" width="8.42578125" style="260" customWidth="1"/>
    <col min="11284" max="11284" width="6.7109375" style="260" customWidth="1"/>
    <col min="11285" max="11286" width="7.5703125" style="260" customWidth="1"/>
    <col min="11287" max="11288" width="8.42578125" style="260" customWidth="1"/>
    <col min="11289" max="11289" width="6.7109375" style="260" customWidth="1"/>
    <col min="11290" max="11290" width="7.5703125" style="260" customWidth="1"/>
    <col min="11291" max="11530" width="6.28515625" style="260"/>
    <col min="11531" max="11531" width="43.5703125" style="260" customWidth="1"/>
    <col min="11532" max="11532" width="7.5703125" style="260" customWidth="1"/>
    <col min="11533" max="11534" width="8.42578125" style="260" customWidth="1"/>
    <col min="11535" max="11535" width="6.7109375" style="260" customWidth="1"/>
    <col min="11536" max="11537" width="7.5703125" style="260" customWidth="1"/>
    <col min="11538" max="11539" width="8.42578125" style="260" customWidth="1"/>
    <col min="11540" max="11540" width="6.7109375" style="260" customWidth="1"/>
    <col min="11541" max="11542" width="7.5703125" style="260" customWidth="1"/>
    <col min="11543" max="11544" width="8.42578125" style="260" customWidth="1"/>
    <col min="11545" max="11545" width="6.7109375" style="260" customWidth="1"/>
    <col min="11546" max="11546" width="7.5703125" style="260" customWidth="1"/>
    <col min="11547" max="11786" width="6.28515625" style="260"/>
    <col min="11787" max="11787" width="43.5703125" style="260" customWidth="1"/>
    <col min="11788" max="11788" width="7.5703125" style="260" customWidth="1"/>
    <col min="11789" max="11790" width="8.42578125" style="260" customWidth="1"/>
    <col min="11791" max="11791" width="6.7109375" style="260" customWidth="1"/>
    <col min="11792" max="11793" width="7.5703125" style="260" customWidth="1"/>
    <col min="11794" max="11795" width="8.42578125" style="260" customWidth="1"/>
    <col min="11796" max="11796" width="6.7109375" style="260" customWidth="1"/>
    <col min="11797" max="11798" width="7.5703125" style="260" customWidth="1"/>
    <col min="11799" max="11800" width="8.42578125" style="260" customWidth="1"/>
    <col min="11801" max="11801" width="6.7109375" style="260" customWidth="1"/>
    <col min="11802" max="11802" width="7.5703125" style="260" customWidth="1"/>
    <col min="11803" max="12042" width="6.28515625" style="260"/>
    <col min="12043" max="12043" width="43.5703125" style="260" customWidth="1"/>
    <col min="12044" max="12044" width="7.5703125" style="260" customWidth="1"/>
    <col min="12045" max="12046" width="8.42578125" style="260" customWidth="1"/>
    <col min="12047" max="12047" width="6.7109375" style="260" customWidth="1"/>
    <col min="12048" max="12049" width="7.5703125" style="260" customWidth="1"/>
    <col min="12050" max="12051" width="8.42578125" style="260" customWidth="1"/>
    <col min="12052" max="12052" width="6.7109375" style="260" customWidth="1"/>
    <col min="12053" max="12054" width="7.5703125" style="260" customWidth="1"/>
    <col min="12055" max="12056" width="8.42578125" style="260" customWidth="1"/>
    <col min="12057" max="12057" width="6.7109375" style="260" customWidth="1"/>
    <col min="12058" max="12058" width="7.5703125" style="260" customWidth="1"/>
    <col min="12059" max="12298" width="6.28515625" style="260"/>
    <col min="12299" max="12299" width="43.5703125" style="260" customWidth="1"/>
    <col min="12300" max="12300" width="7.5703125" style="260" customWidth="1"/>
    <col min="12301" max="12302" width="8.42578125" style="260" customWidth="1"/>
    <col min="12303" max="12303" width="6.7109375" style="260" customWidth="1"/>
    <col min="12304" max="12305" width="7.5703125" style="260" customWidth="1"/>
    <col min="12306" max="12307" width="8.42578125" style="260" customWidth="1"/>
    <col min="12308" max="12308" width="6.7109375" style="260" customWidth="1"/>
    <col min="12309" max="12310" width="7.5703125" style="260" customWidth="1"/>
    <col min="12311" max="12312" width="8.42578125" style="260" customWidth="1"/>
    <col min="12313" max="12313" width="6.7109375" style="260" customWidth="1"/>
    <col min="12314" max="12314" width="7.5703125" style="260" customWidth="1"/>
    <col min="12315" max="12554" width="6.28515625" style="260"/>
    <col min="12555" max="12555" width="43.5703125" style="260" customWidth="1"/>
    <col min="12556" max="12556" width="7.5703125" style="260" customWidth="1"/>
    <col min="12557" max="12558" width="8.42578125" style="260" customWidth="1"/>
    <col min="12559" max="12559" width="6.7109375" style="260" customWidth="1"/>
    <col min="12560" max="12561" width="7.5703125" style="260" customWidth="1"/>
    <col min="12562" max="12563" width="8.42578125" style="260" customWidth="1"/>
    <col min="12564" max="12564" width="6.7109375" style="260" customWidth="1"/>
    <col min="12565" max="12566" width="7.5703125" style="260" customWidth="1"/>
    <col min="12567" max="12568" width="8.42578125" style="260" customWidth="1"/>
    <col min="12569" max="12569" width="6.7109375" style="260" customWidth="1"/>
    <col min="12570" max="12570" width="7.5703125" style="260" customWidth="1"/>
    <col min="12571" max="12810" width="6.28515625" style="260"/>
    <col min="12811" max="12811" width="43.5703125" style="260" customWidth="1"/>
    <col min="12812" max="12812" width="7.5703125" style="260" customWidth="1"/>
    <col min="12813" max="12814" width="8.42578125" style="260" customWidth="1"/>
    <col min="12815" max="12815" width="6.7109375" style="260" customWidth="1"/>
    <col min="12816" max="12817" width="7.5703125" style="260" customWidth="1"/>
    <col min="12818" max="12819" width="8.42578125" style="260" customWidth="1"/>
    <col min="12820" max="12820" width="6.7109375" style="260" customWidth="1"/>
    <col min="12821" max="12822" width="7.5703125" style="260" customWidth="1"/>
    <col min="12823" max="12824" width="8.42578125" style="260" customWidth="1"/>
    <col min="12825" max="12825" width="6.7109375" style="260" customWidth="1"/>
    <col min="12826" max="12826" width="7.5703125" style="260" customWidth="1"/>
    <col min="12827" max="13066" width="6.28515625" style="260"/>
    <col min="13067" max="13067" width="43.5703125" style="260" customWidth="1"/>
    <col min="13068" max="13068" width="7.5703125" style="260" customWidth="1"/>
    <col min="13069" max="13070" width="8.42578125" style="260" customWidth="1"/>
    <col min="13071" max="13071" width="6.7109375" style="260" customWidth="1"/>
    <col min="13072" max="13073" width="7.5703125" style="260" customWidth="1"/>
    <col min="13074" max="13075" width="8.42578125" style="260" customWidth="1"/>
    <col min="13076" max="13076" width="6.7109375" style="260" customWidth="1"/>
    <col min="13077" max="13078" width="7.5703125" style="260" customWidth="1"/>
    <col min="13079" max="13080" width="8.42578125" style="260" customWidth="1"/>
    <col min="13081" max="13081" width="6.7109375" style="260" customWidth="1"/>
    <col min="13082" max="13082" width="7.5703125" style="260" customWidth="1"/>
    <col min="13083" max="13322" width="6.28515625" style="260"/>
    <col min="13323" max="13323" width="43.5703125" style="260" customWidth="1"/>
    <col min="13324" max="13324" width="7.5703125" style="260" customWidth="1"/>
    <col min="13325" max="13326" width="8.42578125" style="260" customWidth="1"/>
    <col min="13327" max="13327" width="6.7109375" style="260" customWidth="1"/>
    <col min="13328" max="13329" width="7.5703125" style="260" customWidth="1"/>
    <col min="13330" max="13331" width="8.42578125" style="260" customWidth="1"/>
    <col min="13332" max="13332" width="6.7109375" style="260" customWidth="1"/>
    <col min="13333" max="13334" width="7.5703125" style="260" customWidth="1"/>
    <col min="13335" max="13336" width="8.42578125" style="260" customWidth="1"/>
    <col min="13337" max="13337" width="6.7109375" style="260" customWidth="1"/>
    <col min="13338" max="13338" width="7.5703125" style="260" customWidth="1"/>
    <col min="13339" max="13578" width="6.28515625" style="260"/>
    <col min="13579" max="13579" width="43.5703125" style="260" customWidth="1"/>
    <col min="13580" max="13580" width="7.5703125" style="260" customWidth="1"/>
    <col min="13581" max="13582" width="8.42578125" style="260" customWidth="1"/>
    <col min="13583" max="13583" width="6.7109375" style="260" customWidth="1"/>
    <col min="13584" max="13585" width="7.5703125" style="260" customWidth="1"/>
    <col min="13586" max="13587" width="8.42578125" style="260" customWidth="1"/>
    <col min="13588" max="13588" width="6.7109375" style="260" customWidth="1"/>
    <col min="13589" max="13590" width="7.5703125" style="260" customWidth="1"/>
    <col min="13591" max="13592" width="8.42578125" style="260" customWidth="1"/>
    <col min="13593" max="13593" width="6.7109375" style="260" customWidth="1"/>
    <col min="13594" max="13594" width="7.5703125" style="260" customWidth="1"/>
    <col min="13595" max="13834" width="6.28515625" style="260"/>
    <col min="13835" max="13835" width="43.5703125" style="260" customWidth="1"/>
    <col min="13836" max="13836" width="7.5703125" style="260" customWidth="1"/>
    <col min="13837" max="13838" width="8.42578125" style="260" customWidth="1"/>
    <col min="13839" max="13839" width="6.7109375" style="260" customWidth="1"/>
    <col min="13840" max="13841" width="7.5703125" style="260" customWidth="1"/>
    <col min="13842" max="13843" width="8.42578125" style="260" customWidth="1"/>
    <col min="13844" max="13844" width="6.7109375" style="260" customWidth="1"/>
    <col min="13845" max="13846" width="7.5703125" style="260" customWidth="1"/>
    <col min="13847" max="13848" width="8.42578125" style="260" customWidth="1"/>
    <col min="13849" max="13849" width="6.7109375" style="260" customWidth="1"/>
    <col min="13850" max="13850" width="7.5703125" style="260" customWidth="1"/>
    <col min="13851" max="14090" width="6.28515625" style="260"/>
    <col min="14091" max="14091" width="43.5703125" style="260" customWidth="1"/>
    <col min="14092" max="14092" width="7.5703125" style="260" customWidth="1"/>
    <col min="14093" max="14094" width="8.42578125" style="260" customWidth="1"/>
    <col min="14095" max="14095" width="6.7109375" style="260" customWidth="1"/>
    <col min="14096" max="14097" width="7.5703125" style="260" customWidth="1"/>
    <col min="14098" max="14099" width="8.42578125" style="260" customWidth="1"/>
    <col min="14100" max="14100" width="6.7109375" style="260" customWidth="1"/>
    <col min="14101" max="14102" width="7.5703125" style="260" customWidth="1"/>
    <col min="14103" max="14104" width="8.42578125" style="260" customWidth="1"/>
    <col min="14105" max="14105" width="6.7109375" style="260" customWidth="1"/>
    <col min="14106" max="14106" width="7.5703125" style="260" customWidth="1"/>
    <col min="14107" max="14346" width="6.28515625" style="260"/>
    <col min="14347" max="14347" width="43.5703125" style="260" customWidth="1"/>
    <col min="14348" max="14348" width="7.5703125" style="260" customWidth="1"/>
    <col min="14349" max="14350" width="8.42578125" style="260" customWidth="1"/>
    <col min="14351" max="14351" width="6.7109375" style="260" customWidth="1"/>
    <col min="14352" max="14353" width="7.5703125" style="260" customWidth="1"/>
    <col min="14354" max="14355" width="8.42578125" style="260" customWidth="1"/>
    <col min="14356" max="14356" width="6.7109375" style="260" customWidth="1"/>
    <col min="14357" max="14358" width="7.5703125" style="260" customWidth="1"/>
    <col min="14359" max="14360" width="8.42578125" style="260" customWidth="1"/>
    <col min="14361" max="14361" width="6.7109375" style="260" customWidth="1"/>
    <col min="14362" max="14362" width="7.5703125" style="260" customWidth="1"/>
    <col min="14363" max="14602" width="6.28515625" style="260"/>
    <col min="14603" max="14603" width="43.5703125" style="260" customWidth="1"/>
    <col min="14604" max="14604" width="7.5703125" style="260" customWidth="1"/>
    <col min="14605" max="14606" width="8.42578125" style="260" customWidth="1"/>
    <col min="14607" max="14607" width="6.7109375" style="260" customWidth="1"/>
    <col min="14608" max="14609" width="7.5703125" style="260" customWidth="1"/>
    <col min="14610" max="14611" width="8.42578125" style="260" customWidth="1"/>
    <col min="14612" max="14612" width="6.7109375" style="260" customWidth="1"/>
    <col min="14613" max="14614" width="7.5703125" style="260" customWidth="1"/>
    <col min="14615" max="14616" width="8.42578125" style="260" customWidth="1"/>
    <col min="14617" max="14617" width="6.7109375" style="260" customWidth="1"/>
    <col min="14618" max="14618" width="7.5703125" style="260" customWidth="1"/>
    <col min="14619" max="14858" width="6.28515625" style="260"/>
    <col min="14859" max="14859" width="43.5703125" style="260" customWidth="1"/>
    <col min="14860" max="14860" width="7.5703125" style="260" customWidth="1"/>
    <col min="14861" max="14862" width="8.42578125" style="260" customWidth="1"/>
    <col min="14863" max="14863" width="6.7109375" style="260" customWidth="1"/>
    <col min="14864" max="14865" width="7.5703125" style="260" customWidth="1"/>
    <col min="14866" max="14867" width="8.42578125" style="260" customWidth="1"/>
    <col min="14868" max="14868" width="6.7109375" style="260" customWidth="1"/>
    <col min="14869" max="14870" width="7.5703125" style="260" customWidth="1"/>
    <col min="14871" max="14872" width="8.42578125" style="260" customWidth="1"/>
    <col min="14873" max="14873" width="6.7109375" style="260" customWidth="1"/>
    <col min="14874" max="14874" width="7.5703125" style="260" customWidth="1"/>
    <col min="14875" max="15114" width="6.28515625" style="260"/>
    <col min="15115" max="15115" width="43.5703125" style="260" customWidth="1"/>
    <col min="15116" max="15116" width="7.5703125" style="260" customWidth="1"/>
    <col min="15117" max="15118" width="8.42578125" style="260" customWidth="1"/>
    <col min="15119" max="15119" width="6.7109375" style="260" customWidth="1"/>
    <col min="15120" max="15121" width="7.5703125" style="260" customWidth="1"/>
    <col min="15122" max="15123" width="8.42578125" style="260" customWidth="1"/>
    <col min="15124" max="15124" width="6.7109375" style="260" customWidth="1"/>
    <col min="15125" max="15126" width="7.5703125" style="260" customWidth="1"/>
    <col min="15127" max="15128" width="8.42578125" style="260" customWidth="1"/>
    <col min="15129" max="15129" width="6.7109375" style="260" customWidth="1"/>
    <col min="15130" max="15130" width="7.5703125" style="260" customWidth="1"/>
    <col min="15131" max="15370" width="6.28515625" style="260"/>
    <col min="15371" max="15371" width="43.5703125" style="260" customWidth="1"/>
    <col min="15372" max="15372" width="7.5703125" style="260" customWidth="1"/>
    <col min="15373" max="15374" width="8.42578125" style="260" customWidth="1"/>
    <col min="15375" max="15375" width="6.7109375" style="260" customWidth="1"/>
    <col min="15376" max="15377" width="7.5703125" style="260" customWidth="1"/>
    <col min="15378" max="15379" width="8.42578125" style="260" customWidth="1"/>
    <col min="15380" max="15380" width="6.7109375" style="260" customWidth="1"/>
    <col min="15381" max="15382" width="7.5703125" style="260" customWidth="1"/>
    <col min="15383" max="15384" width="8.42578125" style="260" customWidth="1"/>
    <col min="15385" max="15385" width="6.7109375" style="260" customWidth="1"/>
    <col min="15386" max="15386" width="7.5703125" style="260" customWidth="1"/>
    <col min="15387" max="15626" width="6.28515625" style="260"/>
    <col min="15627" max="15627" width="43.5703125" style="260" customWidth="1"/>
    <col min="15628" max="15628" width="7.5703125" style="260" customWidth="1"/>
    <col min="15629" max="15630" width="8.42578125" style="260" customWidth="1"/>
    <col min="15631" max="15631" width="6.7109375" style="260" customWidth="1"/>
    <col min="15632" max="15633" width="7.5703125" style="260" customWidth="1"/>
    <col min="15634" max="15635" width="8.42578125" style="260" customWidth="1"/>
    <col min="15636" max="15636" width="6.7109375" style="260" customWidth="1"/>
    <col min="15637" max="15638" width="7.5703125" style="260" customWidth="1"/>
    <col min="15639" max="15640" width="8.42578125" style="260" customWidth="1"/>
    <col min="15641" max="15641" width="6.7109375" style="260" customWidth="1"/>
    <col min="15642" max="15642" width="7.5703125" style="260" customWidth="1"/>
    <col min="15643" max="15882" width="6.28515625" style="260"/>
    <col min="15883" max="15883" width="43.5703125" style="260" customWidth="1"/>
    <col min="15884" max="15884" width="7.5703125" style="260" customWidth="1"/>
    <col min="15885" max="15886" width="8.42578125" style="260" customWidth="1"/>
    <col min="15887" max="15887" width="6.7109375" style="260" customWidth="1"/>
    <col min="15888" max="15889" width="7.5703125" style="260" customWidth="1"/>
    <col min="15890" max="15891" width="8.42578125" style="260" customWidth="1"/>
    <col min="15892" max="15892" width="6.7109375" style="260" customWidth="1"/>
    <col min="15893" max="15894" width="7.5703125" style="260" customWidth="1"/>
    <col min="15895" max="15896" width="8.42578125" style="260" customWidth="1"/>
    <col min="15897" max="15897" width="6.7109375" style="260" customWidth="1"/>
    <col min="15898" max="15898" width="7.5703125" style="260" customWidth="1"/>
    <col min="15899" max="16138" width="6.28515625" style="260"/>
    <col min="16139" max="16139" width="43.5703125" style="260" customWidth="1"/>
    <col min="16140" max="16140" width="7.5703125" style="260" customWidth="1"/>
    <col min="16141" max="16142" width="8.42578125" style="260" customWidth="1"/>
    <col min="16143" max="16143" width="6.7109375" style="260" customWidth="1"/>
    <col min="16144" max="16145" width="7.5703125" style="260" customWidth="1"/>
    <col min="16146" max="16147" width="8.42578125" style="260" customWidth="1"/>
    <col min="16148" max="16148" width="6.7109375" style="260" customWidth="1"/>
    <col min="16149" max="16150" width="7.5703125" style="260" customWidth="1"/>
    <col min="16151" max="16152" width="8.42578125" style="260" customWidth="1"/>
    <col min="16153" max="16153" width="6.7109375" style="260" customWidth="1"/>
    <col min="16154" max="16154" width="7.5703125" style="260" customWidth="1"/>
    <col min="16155" max="16384" width="6.28515625" style="260"/>
  </cols>
  <sheetData>
    <row r="1" spans="1:25" ht="15.75" x14ac:dyDescent="0.25">
      <c r="A1" s="19" t="str">
        <f>CONCATENATE("Industry Table 6  Employment status by Industry (SIC 2007) and Gender, ",B$5,"-",V$5,", ",Info!B5)</f>
        <v>Industry Table 6  Employment status by Industry (SIC 2007) and Gender, 2015-2035, Enterprise M3</v>
      </c>
    </row>
    <row r="2" spans="1:25" x14ac:dyDescent="0.2">
      <c r="A2" s="1" t="s">
        <v>516</v>
      </c>
    </row>
    <row r="4" spans="1:25" x14ac:dyDescent="0.2">
      <c r="A4" s="264"/>
      <c r="B4" s="315"/>
      <c r="C4" s="316"/>
      <c r="D4" s="315"/>
      <c r="E4" s="315"/>
      <c r="F4" s="315"/>
      <c r="G4" s="315"/>
      <c r="H4" s="315"/>
      <c r="I4" s="315"/>
      <c r="J4" s="315"/>
      <c r="K4" s="315"/>
      <c r="L4" s="315"/>
      <c r="M4" s="315"/>
      <c r="N4" s="315"/>
      <c r="O4" s="315"/>
      <c r="P4" s="315"/>
      <c r="Q4" s="315"/>
      <c r="R4" s="315"/>
      <c r="S4" s="315"/>
      <c r="T4" s="315"/>
      <c r="U4" s="315"/>
      <c r="V4" s="315"/>
      <c r="W4" s="315"/>
      <c r="X4" s="315"/>
      <c r="Y4" s="315" t="s">
        <v>36</v>
      </c>
    </row>
    <row r="5" spans="1:25" ht="15" x14ac:dyDescent="0.25">
      <c r="A5" s="265" t="str">
        <f>"Industry 1 : "&amp; name!B4</f>
        <v>Industry 1 : Agriculture</v>
      </c>
      <c r="B5" s="374">
        <v>2015</v>
      </c>
      <c r="C5" s="374"/>
      <c r="D5" s="374"/>
      <c r="E5" s="374"/>
      <c r="F5" s="317"/>
      <c r="G5" s="374">
        <v>2019</v>
      </c>
      <c r="H5" s="374"/>
      <c r="I5" s="374"/>
      <c r="J5" s="374"/>
      <c r="K5" s="318"/>
      <c r="L5" s="374">
        <v>2020</v>
      </c>
      <c r="M5" s="374"/>
      <c r="N5" s="374"/>
      <c r="O5" s="374"/>
      <c r="P5" s="318"/>
      <c r="Q5" s="374">
        <v>2025</v>
      </c>
      <c r="R5" s="374"/>
      <c r="S5" s="374"/>
      <c r="T5" s="374"/>
      <c r="U5" s="317"/>
      <c r="V5" s="374">
        <v>2035</v>
      </c>
      <c r="W5" s="374"/>
      <c r="X5" s="374"/>
      <c r="Y5" s="374"/>
    </row>
    <row r="6" spans="1:25" x14ac:dyDescent="0.2">
      <c r="A6" s="267"/>
      <c r="B6" s="268" t="str">
        <f>name!$J$5</f>
        <v>FT</v>
      </c>
      <c r="C6" s="268" t="str">
        <f>name!$J$6</f>
        <v>PT</v>
      </c>
      <c r="D6" s="268" t="str">
        <f>name!$J$4</f>
        <v>SE</v>
      </c>
      <c r="E6" s="268" t="s">
        <v>33</v>
      </c>
      <c r="F6" s="268"/>
      <c r="G6" s="268" t="str">
        <f>name!$J$5</f>
        <v>FT</v>
      </c>
      <c r="H6" s="268" t="str">
        <f>name!$J$6</f>
        <v>PT</v>
      </c>
      <c r="I6" s="268" t="str">
        <f>name!$J$4</f>
        <v>SE</v>
      </c>
      <c r="J6" s="268" t="s">
        <v>33</v>
      </c>
      <c r="K6" s="268"/>
      <c r="L6" s="268" t="str">
        <f>name!$J$5</f>
        <v>FT</v>
      </c>
      <c r="M6" s="268" t="str">
        <f>name!$J$6</f>
        <v>PT</v>
      </c>
      <c r="N6" s="268" t="str">
        <f>name!$J$4</f>
        <v>SE</v>
      </c>
      <c r="O6" s="268" t="s">
        <v>33</v>
      </c>
      <c r="P6" s="268"/>
      <c r="Q6" s="268" t="str">
        <f>name!$J$5</f>
        <v>FT</v>
      </c>
      <c r="R6" s="268" t="str">
        <f>name!$J$6</f>
        <v>PT</v>
      </c>
      <c r="S6" s="268" t="str">
        <f>name!$J$4</f>
        <v>SE</v>
      </c>
      <c r="T6" s="268" t="s">
        <v>33</v>
      </c>
      <c r="U6" s="268"/>
      <c r="V6" s="268" t="str">
        <f>name!$J$5</f>
        <v>FT</v>
      </c>
      <c r="W6" s="268" t="str">
        <f>name!$J$6</f>
        <v>PT</v>
      </c>
      <c r="X6" s="268" t="str">
        <f>name!$J$4</f>
        <v>SE</v>
      </c>
      <c r="Y6" s="268" t="s">
        <v>33</v>
      </c>
    </row>
    <row r="7" spans="1:25" x14ac:dyDescent="0.2">
      <c r="A7" s="269"/>
      <c r="C7" s="319"/>
      <c r="D7" s="319"/>
      <c r="E7" s="319"/>
      <c r="F7" s="319"/>
      <c r="G7" s="319"/>
      <c r="H7" s="319"/>
      <c r="I7" s="319"/>
      <c r="J7" s="319"/>
      <c r="K7" s="319"/>
      <c r="L7" s="319"/>
      <c r="M7" s="319"/>
      <c r="N7" s="319"/>
      <c r="O7" s="319"/>
      <c r="P7" s="319"/>
      <c r="Q7" s="319"/>
      <c r="R7" s="319"/>
      <c r="S7" s="319"/>
      <c r="T7" s="319"/>
      <c r="U7" s="319"/>
      <c r="V7" s="319"/>
      <c r="W7" s="319"/>
      <c r="X7" s="319"/>
      <c r="Y7" s="319"/>
    </row>
    <row r="8" spans="1:25" x14ac:dyDescent="0.2">
      <c r="A8" s="260" t="s">
        <v>365</v>
      </c>
      <c r="B8" s="300">
        <v>1.3215012871221283</v>
      </c>
      <c r="C8" s="300">
        <v>0.55331406108873504</v>
      </c>
      <c r="D8" s="300">
        <v>0.73138314897922085</v>
      </c>
      <c r="E8" s="300">
        <f>SUM(B8:D8)</f>
        <v>2.6061984971900842</v>
      </c>
      <c r="F8" s="300"/>
      <c r="G8" s="300">
        <v>0.29935269875284204</v>
      </c>
      <c r="H8" s="300">
        <v>0.77864746129645745</v>
      </c>
      <c r="I8" s="300">
        <v>0.42972808387731137</v>
      </c>
      <c r="J8" s="300">
        <f>SUM(G8:I8)</f>
        <v>1.5077282439266109</v>
      </c>
      <c r="K8" s="300"/>
      <c r="L8" s="300">
        <v>1.3399846244382216</v>
      </c>
      <c r="M8" s="300">
        <v>0.61645635490201744</v>
      </c>
      <c r="N8" s="300">
        <v>0.41877351104283195</v>
      </c>
      <c r="O8" s="300">
        <f>SUM(L8:N8)</f>
        <v>2.3752144903830712</v>
      </c>
      <c r="P8" s="300"/>
      <c r="Q8" s="300">
        <v>1.3758543927135465</v>
      </c>
      <c r="R8" s="300">
        <v>0.61364043001260349</v>
      </c>
      <c r="S8" s="300">
        <v>0.43634973433853141</v>
      </c>
      <c r="T8" s="300">
        <f>SUM(Q8:S8)</f>
        <v>2.4258445570646812</v>
      </c>
      <c r="U8" s="300"/>
      <c r="V8" s="300">
        <v>1.3787991728432454</v>
      </c>
      <c r="W8" s="300">
        <v>0.57191834182741597</v>
      </c>
      <c r="X8" s="300">
        <v>0.45073511589986054</v>
      </c>
      <c r="Y8" s="300">
        <f>SUM(V8:X8)</f>
        <v>2.4014526305705219</v>
      </c>
    </row>
    <row r="9" spans="1:25" x14ac:dyDescent="0.2">
      <c r="A9" s="260" t="s">
        <v>364</v>
      </c>
      <c r="B9" s="300">
        <v>2.9311706672163917</v>
      </c>
      <c r="C9" s="300">
        <v>0.268278230013756</v>
      </c>
      <c r="D9" s="300">
        <v>0.94735260557975931</v>
      </c>
      <c r="E9" s="300">
        <f t="shared" ref="E9:E10" si="0">SUM(B9:D9)</f>
        <v>4.1468015028099074</v>
      </c>
      <c r="F9" s="300"/>
      <c r="G9" s="300">
        <v>3.061418317112194</v>
      </c>
      <c r="H9" s="300">
        <v>0.35072180210169607</v>
      </c>
      <c r="I9" s="300">
        <v>2.5881316368595089</v>
      </c>
      <c r="J9" s="300">
        <f t="shared" ref="J9:J10" si="1">SUM(G9:I9)</f>
        <v>6.0002717560733991</v>
      </c>
      <c r="K9" s="300"/>
      <c r="L9" s="300">
        <v>2.7012628172419055</v>
      </c>
      <c r="M9" s="300">
        <v>7.8529471961139418E-3</v>
      </c>
      <c r="N9" s="300">
        <v>0.81866974517892555</v>
      </c>
      <c r="O9" s="300">
        <f t="shared" ref="O9:O10" si="2">SUM(L9:N9)</f>
        <v>3.5277855096169448</v>
      </c>
      <c r="P9" s="300"/>
      <c r="Q9" s="300">
        <v>2.8667285802482869</v>
      </c>
      <c r="R9" s="300">
        <v>8.0105770418336976E-3</v>
      </c>
      <c r="S9" s="300">
        <v>0.81541628564518742</v>
      </c>
      <c r="T9" s="300">
        <f t="shared" ref="T9:T10" si="3">SUM(Q9:S9)</f>
        <v>3.6901554429353078</v>
      </c>
      <c r="U9" s="300"/>
      <c r="V9" s="300">
        <v>3.117370491507141</v>
      </c>
      <c r="W9" s="300">
        <v>8.1594690776353677E-3</v>
      </c>
      <c r="X9" s="300">
        <v>0.75701740884469826</v>
      </c>
      <c r="Y9" s="300">
        <f t="shared" ref="Y9:Y10" si="4">SUM(V9:X9)</f>
        <v>3.8825473694294748</v>
      </c>
    </row>
    <row r="10" spans="1:25" x14ac:dyDescent="0.2">
      <c r="A10" s="264" t="s">
        <v>363</v>
      </c>
      <c r="B10" s="301">
        <f>SUM(B8:B9)</f>
        <v>4.2526719543385205</v>
      </c>
      <c r="C10" s="301">
        <f t="shared" ref="C10:D10" si="5">SUM(C8:C9)</f>
        <v>0.8215922911024911</v>
      </c>
      <c r="D10" s="301">
        <f t="shared" si="5"/>
        <v>1.6787357545589803</v>
      </c>
      <c r="E10" s="301">
        <f t="shared" si="0"/>
        <v>6.7529999999999921</v>
      </c>
      <c r="F10" s="301"/>
      <c r="G10" s="301">
        <f>SUM(G8:G9)</f>
        <v>3.3607710158650361</v>
      </c>
      <c r="H10" s="301">
        <f t="shared" ref="H10" si="6">SUM(H8:H9)</f>
        <v>1.1293692633981536</v>
      </c>
      <c r="I10" s="301">
        <f t="shared" ref="I10" si="7">SUM(I8:I9)</f>
        <v>3.0178597207368201</v>
      </c>
      <c r="J10" s="301">
        <f t="shared" si="1"/>
        <v>7.5080000000000098</v>
      </c>
      <c r="K10" s="301"/>
      <c r="L10" s="301">
        <f>SUM(L8:L9)</f>
        <v>4.0412474416801274</v>
      </c>
      <c r="M10" s="301">
        <f t="shared" ref="M10" si="8">SUM(M8:M9)</f>
        <v>0.6243093020981314</v>
      </c>
      <c r="N10" s="301">
        <f t="shared" ref="N10" si="9">SUM(N8:N9)</f>
        <v>1.2374432562217574</v>
      </c>
      <c r="O10" s="301">
        <f t="shared" si="2"/>
        <v>5.9030000000000165</v>
      </c>
      <c r="P10" s="301"/>
      <c r="Q10" s="301">
        <f>SUM(Q8:Q9)</f>
        <v>4.2425829729618334</v>
      </c>
      <c r="R10" s="301">
        <f t="shared" ref="R10" si="10">SUM(R8:R9)</f>
        <v>0.62165100705443721</v>
      </c>
      <c r="S10" s="301">
        <f t="shared" ref="S10" si="11">SUM(S8:S9)</f>
        <v>1.2517660199837188</v>
      </c>
      <c r="T10" s="301">
        <f t="shared" si="3"/>
        <v>6.115999999999989</v>
      </c>
      <c r="U10" s="301"/>
      <c r="V10" s="301">
        <f>SUM(V8:V9)</f>
        <v>4.4961696643503863</v>
      </c>
      <c r="W10" s="301">
        <f t="shared" ref="W10" si="12">SUM(W8:W9)</f>
        <v>0.58007781090505128</v>
      </c>
      <c r="X10" s="301">
        <f t="shared" ref="X10" si="13">SUM(X8:X9)</f>
        <v>1.2077525247445589</v>
      </c>
      <c r="Y10" s="301">
        <f t="shared" si="4"/>
        <v>6.2839999999999963</v>
      </c>
    </row>
    <row r="12" spans="1:25" x14ac:dyDescent="0.2">
      <c r="A12" s="261"/>
    </row>
    <row r="13" spans="1:25" x14ac:dyDescent="0.2">
      <c r="C13" s="263"/>
    </row>
    <row r="14" spans="1:25" ht="15" x14ac:dyDescent="0.25">
      <c r="A14" s="265" t="str">
        <f>"Industry 2 : "&amp; name!B5</f>
        <v>Industry 2 : Mining and quarrying</v>
      </c>
      <c r="B14" s="374">
        <f>$B$5</f>
        <v>2015</v>
      </c>
      <c r="C14" s="374"/>
      <c r="D14" s="374"/>
      <c r="E14" s="374"/>
      <c r="F14" s="320"/>
      <c r="G14" s="374">
        <f>$G$5</f>
        <v>2019</v>
      </c>
      <c r="H14" s="374"/>
      <c r="I14" s="374"/>
      <c r="J14" s="374"/>
      <c r="K14" s="320"/>
      <c r="L14" s="374">
        <f>$L$5</f>
        <v>2020</v>
      </c>
      <c r="M14" s="374"/>
      <c r="N14" s="374"/>
      <c r="O14" s="374"/>
      <c r="P14" s="318"/>
      <c r="Q14" s="374">
        <f>$Q$5</f>
        <v>2025</v>
      </c>
      <c r="R14" s="374"/>
      <c r="S14" s="374"/>
      <c r="T14" s="374"/>
      <c r="U14" s="320"/>
      <c r="V14" s="374">
        <f>$V$5</f>
        <v>2035</v>
      </c>
      <c r="W14" s="374"/>
      <c r="X14" s="374"/>
      <c r="Y14" s="374"/>
    </row>
    <row r="15" spans="1:25" x14ac:dyDescent="0.2">
      <c r="A15" s="264"/>
      <c r="B15" s="268" t="str">
        <f>$B$6</f>
        <v>FT</v>
      </c>
      <c r="C15" s="268" t="str">
        <f>$C$6</f>
        <v>PT</v>
      </c>
      <c r="D15" s="268" t="str">
        <f>$D$6</f>
        <v>SE</v>
      </c>
      <c r="E15" s="268" t="str">
        <f>$E$6</f>
        <v>Total</v>
      </c>
      <c r="F15" s="268"/>
      <c r="G15" s="268" t="str">
        <f>$B$6</f>
        <v>FT</v>
      </c>
      <c r="H15" s="268" t="str">
        <f>$C$6</f>
        <v>PT</v>
      </c>
      <c r="I15" s="268" t="str">
        <f>$D$6</f>
        <v>SE</v>
      </c>
      <c r="J15" s="268" t="str">
        <f>$E$6</f>
        <v>Total</v>
      </c>
      <c r="K15" s="268"/>
      <c r="L15" s="268" t="str">
        <f>$L$6</f>
        <v>FT</v>
      </c>
      <c r="M15" s="268" t="str">
        <f>$M$6</f>
        <v>PT</v>
      </c>
      <c r="N15" s="268" t="str">
        <f>$N$6</f>
        <v>SE</v>
      </c>
      <c r="O15" s="268" t="str">
        <f>$O$6</f>
        <v>Total</v>
      </c>
      <c r="P15" s="268"/>
      <c r="Q15" s="268" t="str">
        <f>$L$6</f>
        <v>FT</v>
      </c>
      <c r="R15" s="268" t="str">
        <f>$M$6</f>
        <v>PT</v>
      </c>
      <c r="S15" s="268" t="str">
        <f>$N$6</f>
        <v>SE</v>
      </c>
      <c r="T15" s="268" t="str">
        <f>$O$6</f>
        <v>Total</v>
      </c>
      <c r="U15" s="268"/>
      <c r="V15" s="268" t="str">
        <f>$V$6</f>
        <v>FT</v>
      </c>
      <c r="W15" s="268" t="str">
        <f>$W$6</f>
        <v>PT</v>
      </c>
      <c r="X15" s="268" t="str">
        <f>$X$6</f>
        <v>SE</v>
      </c>
      <c r="Y15" s="268" t="str">
        <f>$Y$6</f>
        <v>Total</v>
      </c>
    </row>
    <row r="16" spans="1:25" x14ac:dyDescent="0.2">
      <c r="C16" s="319"/>
      <c r="D16" s="319"/>
      <c r="E16" s="319"/>
      <c r="F16" s="319"/>
      <c r="G16" s="319"/>
      <c r="H16" s="319"/>
      <c r="I16" s="319"/>
      <c r="J16" s="319"/>
      <c r="K16" s="319"/>
      <c r="L16" s="319"/>
      <c r="M16" s="319"/>
      <c r="N16" s="319"/>
      <c r="O16" s="319"/>
      <c r="P16" s="319"/>
      <c r="Q16" s="319"/>
      <c r="R16" s="319"/>
      <c r="S16" s="319"/>
      <c r="T16" s="319"/>
      <c r="U16" s="319"/>
      <c r="V16" s="319"/>
      <c r="W16" s="319"/>
      <c r="X16" s="319"/>
      <c r="Y16" s="319"/>
    </row>
    <row r="17" spans="1:25" x14ac:dyDescent="0.2">
      <c r="A17" s="260" t="s">
        <v>365</v>
      </c>
      <c r="B17" s="300">
        <v>2.146313028257173E-2</v>
      </c>
      <c r="C17" s="300">
        <v>6.2856310114019383E-3</v>
      </c>
      <c r="D17" s="300">
        <v>7.6654036724632831E-5</v>
      </c>
      <c r="E17" s="300">
        <f>SUM(B17:D17)</f>
        <v>2.7825415330698301E-2</v>
      </c>
      <c r="F17" s="300"/>
      <c r="G17" s="300">
        <v>4.3100179348533434E-2</v>
      </c>
      <c r="H17" s="300">
        <v>1.243274404311534E-2</v>
      </c>
      <c r="I17" s="300">
        <v>0.20373123238641377</v>
      </c>
      <c r="J17" s="300">
        <f>SUM(G17:I17)</f>
        <v>0.25926415577806255</v>
      </c>
      <c r="K17" s="300"/>
      <c r="L17" s="300">
        <v>4.2904950494737512E-2</v>
      </c>
      <c r="M17" s="300">
        <v>1.0345874587538209E-2</v>
      </c>
      <c r="N17" s="300">
        <v>0</v>
      </c>
      <c r="O17" s="300">
        <f>SUM(L17:N17)</f>
        <v>5.3250825082275723E-2</v>
      </c>
      <c r="P17" s="300"/>
      <c r="Q17" s="300">
        <v>3.8052748063859221E-2</v>
      </c>
      <c r="R17" s="300">
        <v>9.3994835855149405E-3</v>
      </c>
      <c r="S17" s="300">
        <v>0</v>
      </c>
      <c r="T17" s="300">
        <f>SUM(Q17:S17)</f>
        <v>4.7452231649374163E-2</v>
      </c>
      <c r="U17" s="300"/>
      <c r="V17" s="300">
        <v>3.351980198010357E-2</v>
      </c>
      <c r="W17" s="300">
        <v>8.9084158416025249E-3</v>
      </c>
      <c r="X17" s="300">
        <v>0</v>
      </c>
      <c r="Y17" s="300">
        <f>SUM(V17:X17)</f>
        <v>4.2428217821706096E-2</v>
      </c>
    </row>
    <row r="18" spans="1:25" x14ac:dyDescent="0.2">
      <c r="A18" s="260" t="s">
        <v>364</v>
      </c>
      <c r="B18" s="300">
        <v>0.16097347712031312</v>
      </c>
      <c r="C18" s="300">
        <v>2.1233168172641103E-2</v>
      </c>
      <c r="D18" s="300">
        <v>5.2967939376347077E-2</v>
      </c>
      <c r="E18" s="300">
        <f t="shared" ref="E18:E19" si="14">SUM(B18:D18)</f>
        <v>0.2351745846693013</v>
      </c>
      <c r="F18" s="300"/>
      <c r="G18" s="300">
        <v>0.27932231616621883</v>
      </c>
      <c r="H18" s="300">
        <v>2.8180886497540828E-3</v>
      </c>
      <c r="I18" s="300">
        <v>0.10559543940596336</v>
      </c>
      <c r="J18" s="300">
        <f t="shared" ref="J18:J19" si="15">SUM(G18:I18)</f>
        <v>0.3877358442219363</v>
      </c>
      <c r="K18" s="300"/>
      <c r="L18" s="300">
        <v>0.24967029702993587</v>
      </c>
      <c r="M18" s="300">
        <v>1.8257425742653464E-3</v>
      </c>
      <c r="N18" s="300">
        <v>0.15625313531352297</v>
      </c>
      <c r="O18" s="300">
        <f t="shared" ref="O18:O19" si="16">SUM(L18:N18)</f>
        <v>0.40774917491772417</v>
      </c>
      <c r="P18" s="300"/>
      <c r="Q18" s="300">
        <v>0.22255551457090803</v>
      </c>
      <c r="R18" s="300">
        <v>1.6676503135387188E-3</v>
      </c>
      <c r="S18" s="300">
        <v>0.1393246034661782</v>
      </c>
      <c r="T18" s="300">
        <f t="shared" ref="T18:T19" si="17">SUM(Q18:S18)</f>
        <v>0.36354776835062497</v>
      </c>
      <c r="U18" s="300"/>
      <c r="V18" s="300">
        <v>0.20262871287186238</v>
      </c>
      <c r="W18" s="300">
        <v>1.6608910891105224E-3</v>
      </c>
      <c r="X18" s="300">
        <v>0.11928217821732096</v>
      </c>
      <c r="Y18" s="300">
        <f t="shared" ref="Y18:Y19" si="18">SUM(V18:X18)</f>
        <v>0.32357178217829385</v>
      </c>
    </row>
    <row r="19" spans="1:25" x14ac:dyDescent="0.2">
      <c r="A19" s="264" t="s">
        <v>363</v>
      </c>
      <c r="B19" s="301">
        <f>SUM(B17:B18)</f>
        <v>0.18243660740288486</v>
      </c>
      <c r="C19" s="301">
        <f t="shared" ref="C19" si="19">SUM(C17:C18)</f>
        <v>2.7518799184043041E-2</v>
      </c>
      <c r="D19" s="301">
        <f t="shared" ref="D19" si="20">SUM(D17:D18)</f>
        <v>5.304459341307171E-2</v>
      </c>
      <c r="E19" s="301">
        <f t="shared" si="14"/>
        <v>0.26299999999999962</v>
      </c>
      <c r="F19" s="301"/>
      <c r="G19" s="301">
        <f>SUM(G17:G18)</f>
        <v>0.32242249551475227</v>
      </c>
      <c r="H19" s="301">
        <f t="shared" ref="H19" si="21">SUM(H17:H18)</f>
        <v>1.5250832692869424E-2</v>
      </c>
      <c r="I19" s="301">
        <f t="shared" ref="I19" si="22">SUM(I17:I18)</f>
        <v>0.30932667179237716</v>
      </c>
      <c r="J19" s="301">
        <f t="shared" si="15"/>
        <v>0.64699999999999891</v>
      </c>
      <c r="K19" s="301"/>
      <c r="L19" s="301">
        <f>SUM(L17:L18)</f>
        <v>0.2925752475246734</v>
      </c>
      <c r="M19" s="301">
        <f t="shared" ref="M19" si="23">SUM(M17:M18)</f>
        <v>1.2171617161803556E-2</v>
      </c>
      <c r="N19" s="301">
        <f t="shared" ref="N19" si="24">SUM(N17:N18)</f>
        <v>0.15625313531352297</v>
      </c>
      <c r="O19" s="301">
        <f t="shared" si="16"/>
        <v>0.46099999999999991</v>
      </c>
      <c r="P19" s="301"/>
      <c r="Q19" s="301">
        <f>SUM(Q17:Q18)</f>
        <v>0.26060826263476722</v>
      </c>
      <c r="R19" s="301">
        <f t="shared" ref="R19" si="25">SUM(R17:R18)</f>
        <v>1.1067133899053659E-2</v>
      </c>
      <c r="S19" s="301">
        <f t="shared" ref="S19" si="26">SUM(S17:S18)</f>
        <v>0.1393246034661782</v>
      </c>
      <c r="T19" s="301">
        <f t="shared" si="17"/>
        <v>0.41099999999999909</v>
      </c>
      <c r="U19" s="301"/>
      <c r="V19" s="301">
        <f>SUM(V17:V18)</f>
        <v>0.23614851485196595</v>
      </c>
      <c r="W19" s="301">
        <f t="shared" ref="W19" si="27">SUM(W17:W18)</f>
        <v>1.0569306930713047E-2</v>
      </c>
      <c r="X19" s="301">
        <f t="shared" ref="X19" si="28">SUM(X17:X18)</f>
        <v>0.11928217821732096</v>
      </c>
      <c r="Y19" s="301">
        <f t="shared" si="18"/>
        <v>0.36599999999999994</v>
      </c>
    </row>
    <row r="20" spans="1:25" x14ac:dyDescent="0.2">
      <c r="A20" s="262"/>
    </row>
    <row r="21" spans="1:25" x14ac:dyDescent="0.2">
      <c r="A21" s="262"/>
    </row>
    <row r="22" spans="1:25" x14ac:dyDescent="0.2">
      <c r="A22" s="262"/>
    </row>
    <row r="23" spans="1:25" ht="15" x14ac:dyDescent="0.25">
      <c r="A23" s="265" t="str">
        <f>"Industry 3 : "&amp; name!B6</f>
        <v>Industry 3 : Food drink and tobacco</v>
      </c>
      <c r="B23" s="374">
        <f>$B$5</f>
        <v>2015</v>
      </c>
      <c r="C23" s="374"/>
      <c r="D23" s="374"/>
      <c r="E23" s="374"/>
      <c r="F23" s="320"/>
      <c r="G23" s="374">
        <f>$G$5</f>
        <v>2019</v>
      </c>
      <c r="H23" s="374"/>
      <c r="I23" s="374"/>
      <c r="J23" s="374"/>
      <c r="K23" s="320"/>
      <c r="L23" s="374">
        <f>$L$5</f>
        <v>2020</v>
      </c>
      <c r="M23" s="374"/>
      <c r="N23" s="374"/>
      <c r="O23" s="374"/>
      <c r="P23" s="318"/>
      <c r="Q23" s="374">
        <f>$Q$5</f>
        <v>2025</v>
      </c>
      <c r="R23" s="374"/>
      <c r="S23" s="374"/>
      <c r="T23" s="374"/>
      <c r="U23" s="320"/>
      <c r="V23" s="374">
        <f>$V$5</f>
        <v>2035</v>
      </c>
      <c r="W23" s="374"/>
      <c r="X23" s="374"/>
      <c r="Y23" s="374"/>
    </row>
    <row r="24" spans="1:25" x14ac:dyDescent="0.2">
      <c r="A24" s="264"/>
      <c r="B24" s="268" t="str">
        <f>$B$6</f>
        <v>FT</v>
      </c>
      <c r="C24" s="268" t="str">
        <f>$C$6</f>
        <v>PT</v>
      </c>
      <c r="D24" s="268" t="str">
        <f>$D$6</f>
        <v>SE</v>
      </c>
      <c r="E24" s="268" t="str">
        <f>$E$6</f>
        <v>Total</v>
      </c>
      <c r="F24" s="268"/>
      <c r="G24" s="268" t="str">
        <f>$B$6</f>
        <v>FT</v>
      </c>
      <c r="H24" s="268" t="str">
        <f>$C$6</f>
        <v>PT</v>
      </c>
      <c r="I24" s="268" t="str">
        <f>$D$6</f>
        <v>SE</v>
      </c>
      <c r="J24" s="268" t="str">
        <f>$E$6</f>
        <v>Total</v>
      </c>
      <c r="K24" s="268"/>
      <c r="L24" s="268" t="str">
        <f>$L$6</f>
        <v>FT</v>
      </c>
      <c r="M24" s="268" t="str">
        <f>$M$6</f>
        <v>PT</v>
      </c>
      <c r="N24" s="268" t="str">
        <f>$N$6</f>
        <v>SE</v>
      </c>
      <c r="O24" s="268" t="str">
        <f>$O$6</f>
        <v>Total</v>
      </c>
      <c r="P24" s="268"/>
      <c r="Q24" s="268" t="str">
        <f>$L$6</f>
        <v>FT</v>
      </c>
      <c r="R24" s="268" t="str">
        <f>$M$6</f>
        <v>PT</v>
      </c>
      <c r="S24" s="268" t="str">
        <f>$N$6</f>
        <v>SE</v>
      </c>
      <c r="T24" s="268" t="str">
        <f>$O$6</f>
        <v>Total</v>
      </c>
      <c r="U24" s="268"/>
      <c r="V24" s="268" t="str">
        <f>$V$6</f>
        <v>FT</v>
      </c>
      <c r="W24" s="268" t="str">
        <f>$W$6</f>
        <v>PT</v>
      </c>
      <c r="X24" s="268" t="str">
        <f>$X$6</f>
        <v>SE</v>
      </c>
      <c r="Y24" s="268" t="str">
        <f>$Y$6</f>
        <v>Total</v>
      </c>
    </row>
    <row r="25" spans="1:25" x14ac:dyDescent="0.2">
      <c r="C25" s="319"/>
      <c r="D25" s="319"/>
      <c r="E25" s="319"/>
      <c r="F25" s="319"/>
      <c r="G25" s="319"/>
      <c r="H25" s="319"/>
      <c r="I25" s="319"/>
      <c r="J25" s="319"/>
      <c r="K25" s="319"/>
      <c r="L25" s="319"/>
      <c r="M25" s="319"/>
      <c r="N25" s="319"/>
      <c r="O25" s="319"/>
      <c r="P25" s="319"/>
      <c r="Q25" s="319"/>
      <c r="R25" s="319"/>
      <c r="S25" s="319"/>
      <c r="T25" s="319"/>
      <c r="U25" s="319"/>
      <c r="V25" s="319"/>
      <c r="W25" s="319"/>
      <c r="X25" s="319"/>
      <c r="Y25" s="319"/>
    </row>
    <row r="26" spans="1:25" x14ac:dyDescent="0.2">
      <c r="A26" s="260" t="s">
        <v>365</v>
      </c>
      <c r="B26" s="300">
        <v>0.94716582853818032</v>
      </c>
      <c r="C26" s="300">
        <v>0.31682906355784834</v>
      </c>
      <c r="D26" s="300">
        <v>0.18267491586072906</v>
      </c>
      <c r="E26" s="300">
        <f>SUM(B26:D26)</f>
        <v>1.4466698079567577</v>
      </c>
      <c r="F26" s="300"/>
      <c r="G26" s="300">
        <v>1.1875795433128269</v>
      </c>
      <c r="H26" s="300">
        <v>0.43759498410414188</v>
      </c>
      <c r="I26" s="300">
        <v>0.18025141930485905</v>
      </c>
      <c r="J26" s="300">
        <f>SUM(G26:I26)</f>
        <v>1.8054259467218277</v>
      </c>
      <c r="K26" s="300"/>
      <c r="L26" s="300">
        <v>1.0722962104510594</v>
      </c>
      <c r="M26" s="300">
        <v>0.58619968683028056</v>
      </c>
      <c r="N26" s="300">
        <v>0.13920162855991658</v>
      </c>
      <c r="O26" s="300">
        <f>SUM(L26:N26)</f>
        <v>1.7976975258412566</v>
      </c>
      <c r="P26" s="300"/>
      <c r="Q26" s="300">
        <v>1.2180672041549239</v>
      </c>
      <c r="R26" s="300">
        <v>0.64057717511443413</v>
      </c>
      <c r="S26" s="300">
        <v>0.15667796706518533</v>
      </c>
      <c r="T26" s="300">
        <f>SUM(Q26:S26)</f>
        <v>2.0153223463345435</v>
      </c>
      <c r="U26" s="300"/>
      <c r="V26" s="300">
        <v>1.4330648930329335</v>
      </c>
      <c r="W26" s="300">
        <v>0.70031691532754625</v>
      </c>
      <c r="X26" s="300">
        <v>0.17961819162175935</v>
      </c>
      <c r="Y26" s="300">
        <f>SUM(V26:X26)</f>
        <v>2.3129999999822393</v>
      </c>
    </row>
    <row r="27" spans="1:25" x14ac:dyDescent="0.2">
      <c r="A27" s="260" t="s">
        <v>364</v>
      </c>
      <c r="B27" s="300">
        <v>1.9668239952512421</v>
      </c>
      <c r="C27" s="300">
        <v>0.12462328251829863</v>
      </c>
      <c r="D27" s="300">
        <v>0.10888291427370055</v>
      </c>
      <c r="E27" s="300">
        <f t="shared" ref="E27:E28" si="29">SUM(B27:D27)</f>
        <v>2.2003301920432414</v>
      </c>
      <c r="F27" s="300"/>
      <c r="G27" s="300">
        <v>2.3919363341448197</v>
      </c>
      <c r="H27" s="300">
        <v>0.2024362093699659</v>
      </c>
      <c r="I27" s="300">
        <v>4.5201509763377716E-2</v>
      </c>
      <c r="J27" s="300">
        <f t="shared" ref="J27:J28" si="30">SUM(G27:I27)</f>
        <v>2.6395740532781633</v>
      </c>
      <c r="K27" s="300"/>
      <c r="L27" s="300">
        <v>2.3557518634499819</v>
      </c>
      <c r="M27" s="300">
        <v>0.18301409332739405</v>
      </c>
      <c r="N27" s="300">
        <v>9.053651738137912E-2</v>
      </c>
      <c r="O27" s="300">
        <f t="shared" ref="O27:O28" si="31">SUM(L27:N27)</f>
        <v>2.6293024741587554</v>
      </c>
      <c r="P27" s="300"/>
      <c r="Q27" s="300">
        <v>2.5513551079473338</v>
      </c>
      <c r="R27" s="300">
        <v>0.20035368354661762</v>
      </c>
      <c r="S27" s="300">
        <v>9.9968862171500694E-2</v>
      </c>
      <c r="T27" s="300">
        <f t="shared" ref="T27:T28" si="32">SUM(Q27:S27)</f>
        <v>2.851677653665452</v>
      </c>
      <c r="U27" s="300"/>
      <c r="V27" s="300">
        <v>2.7491562106988465</v>
      </c>
      <c r="W27" s="300">
        <v>0.2207806938674054</v>
      </c>
      <c r="X27" s="300">
        <v>0.11406309545151491</v>
      </c>
      <c r="Y27" s="300">
        <f t="shared" ref="Y27:Y28" si="33">SUM(V27:X27)</f>
        <v>3.0840000000177668</v>
      </c>
    </row>
    <row r="28" spans="1:25" x14ac:dyDescent="0.2">
      <c r="A28" s="264" t="s">
        <v>363</v>
      </c>
      <c r="B28" s="301">
        <f>SUM(B26:B27)</f>
        <v>2.9139898237894224</v>
      </c>
      <c r="C28" s="301">
        <f t="shared" ref="C28" si="34">SUM(C26:C27)</f>
        <v>0.44145234607614697</v>
      </c>
      <c r="D28" s="301">
        <f t="shared" ref="D28" si="35">SUM(D26:D27)</f>
        <v>0.2915578301344296</v>
      </c>
      <c r="E28" s="301">
        <f t="shared" si="29"/>
        <v>3.6469999999999989</v>
      </c>
      <c r="F28" s="301"/>
      <c r="G28" s="301">
        <f>SUM(G26:G27)</f>
        <v>3.5795158774576468</v>
      </c>
      <c r="H28" s="301">
        <f t="shared" ref="H28" si="36">SUM(H26:H27)</f>
        <v>0.64003119347410775</v>
      </c>
      <c r="I28" s="301">
        <f t="shared" ref="I28" si="37">SUM(I26:I27)</f>
        <v>0.22545292906823677</v>
      </c>
      <c r="J28" s="301">
        <f t="shared" si="30"/>
        <v>4.4449999999999914</v>
      </c>
      <c r="K28" s="301"/>
      <c r="L28" s="301">
        <f>SUM(L26:L27)</f>
        <v>3.4280480739010413</v>
      </c>
      <c r="M28" s="301">
        <f t="shared" ref="M28" si="38">SUM(M26:M27)</f>
        <v>0.76921378015767461</v>
      </c>
      <c r="N28" s="301">
        <f t="shared" ref="N28" si="39">SUM(N26:N27)</f>
        <v>0.22973814594129571</v>
      </c>
      <c r="O28" s="301">
        <f t="shared" si="31"/>
        <v>4.427000000000012</v>
      </c>
      <c r="P28" s="301"/>
      <c r="Q28" s="301">
        <f>SUM(Q26:Q27)</f>
        <v>3.7694223121022574</v>
      </c>
      <c r="R28" s="301">
        <f t="shared" ref="R28" si="40">SUM(R26:R27)</f>
        <v>0.84093085866105177</v>
      </c>
      <c r="S28" s="301">
        <f t="shared" ref="S28" si="41">SUM(S26:S27)</f>
        <v>0.25664682923668602</v>
      </c>
      <c r="T28" s="301">
        <f t="shared" si="32"/>
        <v>4.8669999999999956</v>
      </c>
      <c r="U28" s="301"/>
      <c r="V28" s="301">
        <f>SUM(V26:V27)</f>
        <v>4.1822211037317798</v>
      </c>
      <c r="W28" s="301">
        <f t="shared" ref="W28" si="42">SUM(W26:W27)</f>
        <v>0.92109760919495165</v>
      </c>
      <c r="X28" s="301">
        <f t="shared" ref="X28" si="43">SUM(X26:X27)</f>
        <v>0.29368128707327423</v>
      </c>
      <c r="Y28" s="301">
        <f t="shared" si="33"/>
        <v>5.3970000000000056</v>
      </c>
    </row>
    <row r="32" spans="1:25" ht="15" x14ac:dyDescent="0.25">
      <c r="A32" s="265" t="str">
        <f>"Industry 4 : "&amp; name!B7</f>
        <v>Industry 4 : Engineering</v>
      </c>
      <c r="B32" s="374">
        <f>$B$5</f>
        <v>2015</v>
      </c>
      <c r="C32" s="374"/>
      <c r="D32" s="374"/>
      <c r="E32" s="374"/>
      <c r="F32" s="320"/>
      <c r="G32" s="374">
        <f>$G$5</f>
        <v>2019</v>
      </c>
      <c r="H32" s="374"/>
      <c r="I32" s="374"/>
      <c r="J32" s="374"/>
      <c r="K32" s="320"/>
      <c r="L32" s="374">
        <f>$L$5</f>
        <v>2020</v>
      </c>
      <c r="M32" s="374"/>
      <c r="N32" s="374"/>
      <c r="O32" s="374"/>
      <c r="P32" s="318"/>
      <c r="Q32" s="374">
        <f>$Q$5</f>
        <v>2025</v>
      </c>
      <c r="R32" s="374"/>
      <c r="S32" s="374"/>
      <c r="T32" s="374"/>
      <c r="U32" s="320"/>
      <c r="V32" s="374">
        <f>$V$5</f>
        <v>2035</v>
      </c>
      <c r="W32" s="374"/>
      <c r="X32" s="374"/>
      <c r="Y32" s="374"/>
    </row>
    <row r="33" spans="1:25" x14ac:dyDescent="0.2">
      <c r="A33" s="264"/>
      <c r="B33" s="268" t="str">
        <f>$B$6</f>
        <v>FT</v>
      </c>
      <c r="C33" s="268" t="str">
        <f>$C$6</f>
        <v>PT</v>
      </c>
      <c r="D33" s="268" t="str">
        <f>$D$6</f>
        <v>SE</v>
      </c>
      <c r="E33" s="268" t="str">
        <f>$E$6</f>
        <v>Total</v>
      </c>
      <c r="F33" s="268"/>
      <c r="G33" s="268" t="str">
        <f>$B$6</f>
        <v>FT</v>
      </c>
      <c r="H33" s="268" t="str">
        <f>$C$6</f>
        <v>PT</v>
      </c>
      <c r="I33" s="268" t="str">
        <f>$D$6</f>
        <v>SE</v>
      </c>
      <c r="J33" s="268" t="str">
        <f>$E$6</f>
        <v>Total</v>
      </c>
      <c r="K33" s="268"/>
      <c r="L33" s="268" t="str">
        <f>$L$6</f>
        <v>FT</v>
      </c>
      <c r="M33" s="268" t="str">
        <f>$M$6</f>
        <v>PT</v>
      </c>
      <c r="N33" s="268" t="str">
        <f>$N$6</f>
        <v>SE</v>
      </c>
      <c r="O33" s="268" t="str">
        <f>$O$6</f>
        <v>Total</v>
      </c>
      <c r="P33" s="268"/>
      <c r="Q33" s="268" t="str">
        <f>$L$6</f>
        <v>FT</v>
      </c>
      <c r="R33" s="268" t="str">
        <f>$M$6</f>
        <v>PT</v>
      </c>
      <c r="S33" s="268" t="str">
        <f>$N$6</f>
        <v>SE</v>
      </c>
      <c r="T33" s="268" t="str">
        <f>$O$6</f>
        <v>Total</v>
      </c>
      <c r="U33" s="268"/>
      <c r="V33" s="268" t="str">
        <f>$V$6</f>
        <v>FT</v>
      </c>
      <c r="W33" s="268" t="str">
        <f>$W$6</f>
        <v>PT</v>
      </c>
      <c r="X33" s="268" t="str">
        <f>$X$6</f>
        <v>SE</v>
      </c>
      <c r="Y33" s="268" t="str">
        <f>$Y$6</f>
        <v>Total</v>
      </c>
    </row>
    <row r="34" spans="1:25" x14ac:dyDescent="0.2">
      <c r="C34" s="319"/>
      <c r="D34" s="319"/>
      <c r="E34" s="319"/>
      <c r="F34" s="319"/>
      <c r="G34" s="319"/>
      <c r="H34" s="319"/>
      <c r="I34" s="319"/>
      <c r="J34" s="319"/>
      <c r="K34" s="319"/>
      <c r="L34" s="319"/>
      <c r="M34" s="319"/>
      <c r="N34" s="319"/>
      <c r="O34" s="319"/>
      <c r="P34" s="319"/>
      <c r="Q34" s="319"/>
      <c r="R34" s="319"/>
      <c r="S34" s="319"/>
      <c r="T34" s="319"/>
      <c r="U34" s="319"/>
      <c r="V34" s="319"/>
      <c r="W34" s="319"/>
      <c r="X34" s="319"/>
      <c r="Y34" s="319"/>
    </row>
    <row r="35" spans="1:25" x14ac:dyDescent="0.2">
      <c r="A35" s="260" t="s">
        <v>365</v>
      </c>
      <c r="B35" s="300">
        <v>2.0288336834515857</v>
      </c>
      <c r="C35" s="300">
        <v>0.53366679091231151</v>
      </c>
      <c r="D35" s="300">
        <v>0.22360012537080443</v>
      </c>
      <c r="E35" s="300">
        <f>SUM(B35:D35)</f>
        <v>2.7861005997347013</v>
      </c>
      <c r="F35" s="300"/>
      <c r="G35" s="300">
        <v>2.1483747285140096</v>
      </c>
      <c r="H35" s="300">
        <v>0.5539408075352622</v>
      </c>
      <c r="I35" s="300">
        <v>0.33419569379748559</v>
      </c>
      <c r="J35" s="300">
        <f>SUM(G35:I35)</f>
        <v>3.0365112298467571</v>
      </c>
      <c r="K35" s="300"/>
      <c r="L35" s="300">
        <v>2.151820342356682</v>
      </c>
      <c r="M35" s="300">
        <v>0.71623621978972163</v>
      </c>
      <c r="N35" s="300">
        <v>0.30640925936564378</v>
      </c>
      <c r="O35" s="300">
        <f>SUM(L35:N35)</f>
        <v>3.1744658215120474</v>
      </c>
      <c r="P35" s="300"/>
      <c r="Q35" s="300">
        <v>1.9819424860981922</v>
      </c>
      <c r="R35" s="300">
        <v>0.69330871986894527</v>
      </c>
      <c r="S35" s="300">
        <v>0.30007499999771703</v>
      </c>
      <c r="T35" s="300">
        <f>SUM(Q35:S35)</f>
        <v>2.9753262059648544</v>
      </c>
      <c r="U35" s="300"/>
      <c r="V35" s="300">
        <v>1.5062579385581709</v>
      </c>
      <c r="W35" s="300">
        <v>0.55599091597205519</v>
      </c>
      <c r="X35" s="300">
        <v>0.26066887126824623</v>
      </c>
      <c r="Y35" s="300">
        <f>SUM(V35:X35)</f>
        <v>2.3229177257984723</v>
      </c>
    </row>
    <row r="36" spans="1:25" x14ac:dyDescent="0.2">
      <c r="A36" s="260" t="s">
        <v>364</v>
      </c>
      <c r="B36" s="300">
        <v>7.9341853759316328</v>
      </c>
      <c r="C36" s="300">
        <v>0.26898527767453373</v>
      </c>
      <c r="D36" s="300">
        <v>0.55772874665912819</v>
      </c>
      <c r="E36" s="300">
        <f t="shared" ref="E36:E37" si="44">SUM(B36:D36)</f>
        <v>8.7608994002652949</v>
      </c>
      <c r="F36" s="300"/>
      <c r="G36" s="300">
        <v>8.8234987998640708</v>
      </c>
      <c r="H36" s="300">
        <v>0.26882152245963464</v>
      </c>
      <c r="I36" s="300">
        <v>0.68816844782953168</v>
      </c>
      <c r="J36" s="300">
        <f t="shared" ref="J36:J37" si="45">SUM(G36:I36)</f>
        <v>9.7804887701532355</v>
      </c>
      <c r="K36" s="300"/>
      <c r="L36" s="300">
        <v>8.54980675334245</v>
      </c>
      <c r="M36" s="300">
        <v>0.2787701923639796</v>
      </c>
      <c r="N36" s="300">
        <v>0.4429572327815306</v>
      </c>
      <c r="O36" s="300">
        <f t="shared" ref="O36:O37" si="46">SUM(L36:N36)</f>
        <v>9.2715341784879612</v>
      </c>
      <c r="P36" s="300"/>
      <c r="Q36" s="300">
        <v>8.3011471242776249</v>
      </c>
      <c r="R36" s="300">
        <v>0.27576465676937467</v>
      </c>
      <c r="S36" s="300">
        <v>0.45076201298813906</v>
      </c>
      <c r="T36" s="300">
        <f t="shared" ref="T36:T37" si="47">SUM(Q36:S36)</f>
        <v>9.0276737940351399</v>
      </c>
      <c r="U36" s="300"/>
      <c r="V36" s="300">
        <v>6.7144373879521249</v>
      </c>
      <c r="W36" s="300">
        <v>0.23390892067149635</v>
      </c>
      <c r="X36" s="300">
        <v>0.39273596557793455</v>
      </c>
      <c r="Y36" s="300">
        <f t="shared" ref="Y36:Y37" si="48">SUM(V36:X36)</f>
        <v>7.3410822742015558</v>
      </c>
    </row>
    <row r="37" spans="1:25" x14ac:dyDescent="0.2">
      <c r="A37" s="264" t="s">
        <v>363</v>
      </c>
      <c r="B37" s="301">
        <f>SUM(B35:B36)</f>
        <v>9.9630190593832175</v>
      </c>
      <c r="C37" s="301">
        <f t="shared" ref="C37" si="49">SUM(C35:C36)</f>
        <v>0.80265206858684524</v>
      </c>
      <c r="D37" s="301">
        <f t="shared" ref="D37" si="50">SUM(D35:D36)</f>
        <v>0.78132887202993262</v>
      </c>
      <c r="E37" s="301">
        <f t="shared" si="44"/>
        <v>11.546999999999995</v>
      </c>
      <c r="F37" s="301"/>
      <c r="G37" s="301">
        <f>SUM(G35:G36)</f>
        <v>10.971873528378079</v>
      </c>
      <c r="H37" s="301">
        <f t="shared" ref="H37" si="51">SUM(H35:H36)</f>
        <v>0.82276232999489685</v>
      </c>
      <c r="I37" s="301">
        <f t="shared" ref="I37" si="52">SUM(I35:I36)</f>
        <v>1.0223641416270173</v>
      </c>
      <c r="J37" s="301">
        <f t="shared" si="45"/>
        <v>12.816999999999993</v>
      </c>
      <c r="K37" s="301"/>
      <c r="L37" s="301">
        <f>SUM(L35:L36)</f>
        <v>10.701627095699132</v>
      </c>
      <c r="M37" s="301">
        <f t="shared" ref="M37" si="53">SUM(M35:M36)</f>
        <v>0.99500641215370123</v>
      </c>
      <c r="N37" s="301">
        <f t="shared" ref="N37" si="54">SUM(N35:N36)</f>
        <v>0.74936649214717432</v>
      </c>
      <c r="O37" s="301">
        <f t="shared" si="46"/>
        <v>12.446000000000009</v>
      </c>
      <c r="P37" s="301"/>
      <c r="Q37" s="301">
        <f>SUM(Q35:Q36)</f>
        <v>10.283089610375818</v>
      </c>
      <c r="R37" s="301">
        <f t="shared" ref="R37" si="55">SUM(R35:R36)</f>
        <v>0.96907337663831994</v>
      </c>
      <c r="S37" s="301">
        <f t="shared" ref="S37" si="56">SUM(S35:S36)</f>
        <v>0.75083701298585614</v>
      </c>
      <c r="T37" s="301">
        <f t="shared" si="47"/>
        <v>12.002999999999995</v>
      </c>
      <c r="U37" s="301"/>
      <c r="V37" s="301">
        <f>SUM(V35:V36)</f>
        <v>8.2206953265102953</v>
      </c>
      <c r="W37" s="301">
        <f t="shared" ref="W37" si="57">SUM(W35:W36)</f>
        <v>0.78989983664355157</v>
      </c>
      <c r="X37" s="301">
        <f t="shared" ref="X37" si="58">SUM(X35:X36)</f>
        <v>0.65340483684618078</v>
      </c>
      <c r="Y37" s="301">
        <f t="shared" si="48"/>
        <v>9.6640000000000263</v>
      </c>
    </row>
    <row r="38" spans="1:25" x14ac:dyDescent="0.2">
      <c r="C38" s="263"/>
    </row>
    <row r="39" spans="1:25" x14ac:dyDescent="0.2">
      <c r="C39" s="263"/>
    </row>
    <row r="40" spans="1:25" x14ac:dyDescent="0.2">
      <c r="A40" s="261"/>
    </row>
    <row r="41" spans="1:25" ht="15" x14ac:dyDescent="0.25">
      <c r="A41" s="265" t="str">
        <f>"Industry 5 : "&amp; name!B8</f>
        <v>Industry 5 : Rest of manufacturing</v>
      </c>
      <c r="B41" s="374">
        <f>$B$5</f>
        <v>2015</v>
      </c>
      <c r="C41" s="374"/>
      <c r="D41" s="374"/>
      <c r="E41" s="374"/>
      <c r="F41" s="320"/>
      <c r="G41" s="374">
        <f>$G$5</f>
        <v>2019</v>
      </c>
      <c r="H41" s="374"/>
      <c r="I41" s="374"/>
      <c r="J41" s="374"/>
      <c r="K41" s="320"/>
      <c r="L41" s="374">
        <f>$L$5</f>
        <v>2020</v>
      </c>
      <c r="M41" s="374"/>
      <c r="N41" s="374"/>
      <c r="O41" s="374"/>
      <c r="P41" s="318"/>
      <c r="Q41" s="374">
        <f>$Q$5</f>
        <v>2025</v>
      </c>
      <c r="R41" s="374"/>
      <c r="S41" s="374"/>
      <c r="T41" s="374"/>
      <c r="U41" s="320"/>
      <c r="V41" s="374">
        <f>$V$5</f>
        <v>2035</v>
      </c>
      <c r="W41" s="374"/>
      <c r="X41" s="374"/>
      <c r="Y41" s="374"/>
    </row>
    <row r="42" spans="1:25" x14ac:dyDescent="0.2">
      <c r="A42" s="264"/>
      <c r="B42" s="268" t="str">
        <f>$B$6</f>
        <v>FT</v>
      </c>
      <c r="C42" s="268" t="str">
        <f>$C$6</f>
        <v>PT</v>
      </c>
      <c r="D42" s="268" t="str">
        <f>$D$6</f>
        <v>SE</v>
      </c>
      <c r="E42" s="268" t="str">
        <f>$E$6</f>
        <v>Total</v>
      </c>
      <c r="F42" s="268"/>
      <c r="G42" s="268" t="str">
        <f>$B$6</f>
        <v>FT</v>
      </c>
      <c r="H42" s="268" t="str">
        <f>$C$6</f>
        <v>PT</v>
      </c>
      <c r="I42" s="268" t="str">
        <f>$D$6</f>
        <v>SE</v>
      </c>
      <c r="J42" s="268" t="str">
        <f>$E$6</f>
        <v>Total</v>
      </c>
      <c r="K42" s="268"/>
      <c r="L42" s="268" t="str">
        <f>$L$6</f>
        <v>FT</v>
      </c>
      <c r="M42" s="268" t="str">
        <f>$M$6</f>
        <v>PT</v>
      </c>
      <c r="N42" s="268" t="str">
        <f>$N$6</f>
        <v>SE</v>
      </c>
      <c r="O42" s="268" t="str">
        <f>$O$6</f>
        <v>Total</v>
      </c>
      <c r="P42" s="268"/>
      <c r="Q42" s="268" t="str">
        <f>$L$6</f>
        <v>FT</v>
      </c>
      <c r="R42" s="268" t="str">
        <f>$M$6</f>
        <v>PT</v>
      </c>
      <c r="S42" s="268" t="str">
        <f>$N$6</f>
        <v>SE</v>
      </c>
      <c r="T42" s="268" t="str">
        <f>$O$6</f>
        <v>Total</v>
      </c>
      <c r="U42" s="268"/>
      <c r="V42" s="268" t="str">
        <f>$V$6</f>
        <v>FT</v>
      </c>
      <c r="W42" s="268" t="str">
        <f>$W$6</f>
        <v>PT</v>
      </c>
      <c r="X42" s="268" t="str">
        <f>$X$6</f>
        <v>SE</v>
      </c>
      <c r="Y42" s="268" t="str">
        <f>$Y$6</f>
        <v>Total</v>
      </c>
    </row>
    <row r="43" spans="1:25" x14ac:dyDescent="0.2">
      <c r="C43" s="319"/>
      <c r="D43" s="319"/>
      <c r="E43" s="319"/>
      <c r="F43" s="319"/>
      <c r="G43" s="319"/>
      <c r="H43" s="319"/>
      <c r="I43" s="319"/>
      <c r="J43" s="319"/>
      <c r="K43" s="319"/>
      <c r="L43" s="319"/>
      <c r="M43" s="319"/>
      <c r="N43" s="319"/>
      <c r="O43" s="319"/>
      <c r="P43" s="319"/>
      <c r="Q43" s="319"/>
      <c r="R43" s="319"/>
      <c r="S43" s="319"/>
      <c r="T43" s="319"/>
      <c r="U43" s="319"/>
      <c r="V43" s="319"/>
      <c r="W43" s="319"/>
      <c r="X43" s="319"/>
      <c r="Y43" s="319"/>
    </row>
    <row r="44" spans="1:25" x14ac:dyDescent="0.2">
      <c r="A44" s="260" t="s">
        <v>365</v>
      </c>
      <c r="B44" s="300">
        <v>4.7722062858644811</v>
      </c>
      <c r="C44" s="300">
        <v>1.5702915284738777</v>
      </c>
      <c r="D44" s="300">
        <v>1.1981347695011448</v>
      </c>
      <c r="E44" s="300">
        <f>SUM(B44:D44)</f>
        <v>7.5406325838395034</v>
      </c>
      <c r="F44" s="300"/>
      <c r="G44" s="300">
        <v>5.3467330530901069</v>
      </c>
      <c r="H44" s="300">
        <v>1.5062520251310954</v>
      </c>
      <c r="I44" s="300">
        <v>1.156233083635315</v>
      </c>
      <c r="J44" s="300">
        <f>SUM(G44:I44)</f>
        <v>8.0092181618565164</v>
      </c>
      <c r="K44" s="300"/>
      <c r="L44" s="300">
        <v>4.9751875565050199</v>
      </c>
      <c r="M44" s="300">
        <v>2.0045217282770502</v>
      </c>
      <c r="N44" s="300">
        <v>0.99093821724890629</v>
      </c>
      <c r="O44" s="300">
        <f>SUM(L44:N44)</f>
        <v>7.9706475020309764</v>
      </c>
      <c r="P44" s="300"/>
      <c r="Q44" s="300">
        <v>4.6537443220752532</v>
      </c>
      <c r="R44" s="300">
        <v>1.878409667371953</v>
      </c>
      <c r="S44" s="300">
        <v>0.89445729208951441</v>
      </c>
      <c r="T44" s="300">
        <f>SUM(Q44:S44)</f>
        <v>7.4266112815367205</v>
      </c>
      <c r="U44" s="300"/>
      <c r="V44" s="300">
        <v>4.2763754048723284</v>
      </c>
      <c r="W44" s="300">
        <v>1.7264057530952679</v>
      </c>
      <c r="X44" s="300">
        <v>0.80552361234396119</v>
      </c>
      <c r="Y44" s="300">
        <f>SUM(V44:X44)</f>
        <v>6.8083047703115573</v>
      </c>
    </row>
    <row r="45" spans="1:25" x14ac:dyDescent="0.2">
      <c r="A45" s="260" t="s">
        <v>364</v>
      </c>
      <c r="B45" s="300">
        <v>20.598118295989433</v>
      </c>
      <c r="C45" s="300">
        <v>0.64798274917099541</v>
      </c>
      <c r="D45" s="300">
        <v>2.5152663710000946</v>
      </c>
      <c r="E45" s="300">
        <f t="shared" ref="E45:E46" si="59">SUM(B45:D45)</f>
        <v>23.761367416160525</v>
      </c>
      <c r="F45" s="300"/>
      <c r="G45" s="300">
        <v>21.943862963647636</v>
      </c>
      <c r="H45" s="300">
        <v>0.86688629027708353</v>
      </c>
      <c r="I45" s="300">
        <v>1.6640325842187456</v>
      </c>
      <c r="J45" s="300">
        <f t="shared" ref="J45:J46" si="60">SUM(G45:I45)</f>
        <v>24.474781838143464</v>
      </c>
      <c r="K45" s="300"/>
      <c r="L45" s="300">
        <v>21.303931965401578</v>
      </c>
      <c r="M45" s="300">
        <v>0.90597704234493692</v>
      </c>
      <c r="N45" s="300">
        <v>2.1544434902225431</v>
      </c>
      <c r="O45" s="300">
        <f t="shared" ref="O45:O46" si="61">SUM(L45:N45)</f>
        <v>24.364352497969058</v>
      </c>
      <c r="P45" s="300"/>
      <c r="Q45" s="300">
        <v>19.768871613433099</v>
      </c>
      <c r="R45" s="300">
        <v>0.84526789898640675</v>
      </c>
      <c r="S45" s="300">
        <v>2.0052492060437319</v>
      </c>
      <c r="T45" s="300">
        <f t="shared" ref="T45:T46" si="62">SUM(Q45:S45)</f>
        <v>22.619388718463238</v>
      </c>
      <c r="U45" s="300"/>
      <c r="V45" s="300">
        <v>17.538302985146494</v>
      </c>
      <c r="W45" s="300">
        <v>0.76431231595988069</v>
      </c>
      <c r="X45" s="300">
        <v>1.8680799285821341</v>
      </c>
      <c r="Y45" s="300">
        <f t="shared" ref="Y45:Y46" si="63">SUM(V45:X45)</f>
        <v>20.170695229688508</v>
      </c>
    </row>
    <row r="46" spans="1:25" x14ac:dyDescent="0.2">
      <c r="A46" s="264" t="s">
        <v>363</v>
      </c>
      <c r="B46" s="301">
        <f>SUM(B44:B45)</f>
        <v>25.370324581853914</v>
      </c>
      <c r="C46" s="301">
        <f t="shared" ref="C46" si="64">SUM(C44:C45)</f>
        <v>2.2182742776448729</v>
      </c>
      <c r="D46" s="301">
        <f t="shared" ref="D46" si="65">SUM(D44:D45)</f>
        <v>3.7134011405012393</v>
      </c>
      <c r="E46" s="301">
        <f t="shared" si="59"/>
        <v>31.302000000000028</v>
      </c>
      <c r="F46" s="301"/>
      <c r="G46" s="301">
        <f>SUM(G44:G45)</f>
        <v>27.290596016737744</v>
      </c>
      <c r="H46" s="301">
        <f t="shared" ref="H46" si="66">SUM(H44:H45)</f>
        <v>2.3731383154081787</v>
      </c>
      <c r="I46" s="301">
        <f t="shared" ref="I46" si="67">SUM(I44:I45)</f>
        <v>2.8202656678540605</v>
      </c>
      <c r="J46" s="301">
        <f t="shared" si="60"/>
        <v>32.48399999999998</v>
      </c>
      <c r="K46" s="301"/>
      <c r="L46" s="301">
        <f>SUM(L44:L45)</f>
        <v>26.279119521906598</v>
      </c>
      <c r="M46" s="301">
        <f t="shared" ref="M46" si="68">SUM(M44:M45)</f>
        <v>2.9104987706219871</v>
      </c>
      <c r="N46" s="301">
        <f t="shared" ref="N46" si="69">SUM(N44:N45)</f>
        <v>3.1453817074714494</v>
      </c>
      <c r="O46" s="301">
        <f t="shared" si="61"/>
        <v>32.335000000000036</v>
      </c>
      <c r="P46" s="301"/>
      <c r="Q46" s="301">
        <f>SUM(Q44:Q45)</f>
        <v>24.422615935508354</v>
      </c>
      <c r="R46" s="301">
        <f t="shared" ref="R46" si="70">SUM(R44:R45)</f>
        <v>2.7236775663583597</v>
      </c>
      <c r="S46" s="301">
        <f t="shared" ref="S46" si="71">SUM(S44:S45)</f>
        <v>2.8997064981332463</v>
      </c>
      <c r="T46" s="301">
        <f t="shared" si="62"/>
        <v>30.04599999999996</v>
      </c>
      <c r="U46" s="301"/>
      <c r="V46" s="301">
        <f>SUM(V44:V45)</f>
        <v>21.814678390018823</v>
      </c>
      <c r="W46" s="301">
        <f t="shared" ref="W46" si="72">SUM(W44:W45)</f>
        <v>2.4907180690551485</v>
      </c>
      <c r="X46" s="301">
        <f t="shared" ref="X46" si="73">SUM(X44:X45)</f>
        <v>2.6736035409260954</v>
      </c>
      <c r="Y46" s="301">
        <f t="shared" si="63"/>
        <v>26.979000000000067</v>
      </c>
    </row>
    <row r="47" spans="1:25" x14ac:dyDescent="0.2">
      <c r="C47" s="263"/>
    </row>
    <row r="48" spans="1:25" x14ac:dyDescent="0.2">
      <c r="C48" s="263"/>
    </row>
    <row r="49" spans="1:25" x14ac:dyDescent="0.2">
      <c r="C49" s="263"/>
    </row>
    <row r="50" spans="1:25" ht="15" x14ac:dyDescent="0.25">
      <c r="A50" s="265" t="str">
        <f>"Industry 6 : "&amp; name!B9</f>
        <v>Industry 6 : Electricity and gas</v>
      </c>
      <c r="B50" s="374">
        <f>$B$5</f>
        <v>2015</v>
      </c>
      <c r="C50" s="374"/>
      <c r="D50" s="374"/>
      <c r="E50" s="374"/>
      <c r="F50" s="320"/>
      <c r="G50" s="374">
        <f>$G$5</f>
        <v>2019</v>
      </c>
      <c r="H50" s="374"/>
      <c r="I50" s="374"/>
      <c r="J50" s="374"/>
      <c r="K50" s="320"/>
      <c r="L50" s="374">
        <f>$L$5</f>
        <v>2020</v>
      </c>
      <c r="M50" s="374"/>
      <c r="N50" s="374"/>
      <c r="O50" s="374"/>
      <c r="P50" s="318"/>
      <c r="Q50" s="374">
        <f>$Q$5</f>
        <v>2025</v>
      </c>
      <c r="R50" s="374"/>
      <c r="S50" s="374"/>
      <c r="T50" s="374"/>
      <c r="U50" s="320"/>
      <c r="V50" s="374">
        <f>$V$5</f>
        <v>2035</v>
      </c>
      <c r="W50" s="374"/>
      <c r="X50" s="374"/>
      <c r="Y50" s="374"/>
    </row>
    <row r="51" spans="1:25" x14ac:dyDescent="0.2">
      <c r="A51" s="264"/>
      <c r="B51" s="268" t="str">
        <f>$B$6</f>
        <v>FT</v>
      </c>
      <c r="C51" s="268" t="str">
        <f>$C$6</f>
        <v>PT</v>
      </c>
      <c r="D51" s="268" t="str">
        <f>$D$6</f>
        <v>SE</v>
      </c>
      <c r="E51" s="268" t="str">
        <f>$E$6</f>
        <v>Total</v>
      </c>
      <c r="F51" s="268"/>
      <c r="G51" s="268" t="str">
        <f>$B$6</f>
        <v>FT</v>
      </c>
      <c r="H51" s="268" t="str">
        <f>$C$6</f>
        <v>PT</v>
      </c>
      <c r="I51" s="268" t="str">
        <f>$D$6</f>
        <v>SE</v>
      </c>
      <c r="J51" s="268" t="str">
        <f>$E$6</f>
        <v>Total</v>
      </c>
      <c r="K51" s="268"/>
      <c r="L51" s="268" t="str">
        <f>$L$6</f>
        <v>FT</v>
      </c>
      <c r="M51" s="268" t="str">
        <f>$M$6</f>
        <v>PT</v>
      </c>
      <c r="N51" s="268" t="str">
        <f>$N$6</f>
        <v>SE</v>
      </c>
      <c r="O51" s="268" t="str">
        <f>$O$6</f>
        <v>Total</v>
      </c>
      <c r="P51" s="268"/>
      <c r="Q51" s="268" t="str">
        <f>$L$6</f>
        <v>FT</v>
      </c>
      <c r="R51" s="268" t="str">
        <f>$M$6</f>
        <v>PT</v>
      </c>
      <c r="S51" s="268" t="str">
        <f>$N$6</f>
        <v>SE</v>
      </c>
      <c r="T51" s="268" t="str">
        <f>$O$6</f>
        <v>Total</v>
      </c>
      <c r="U51" s="268"/>
      <c r="V51" s="268" t="str">
        <f>$V$6</f>
        <v>FT</v>
      </c>
      <c r="W51" s="268" t="str">
        <f>$W$6</f>
        <v>PT</v>
      </c>
      <c r="X51" s="268" t="str">
        <f>$X$6</f>
        <v>SE</v>
      </c>
      <c r="Y51" s="268" t="str">
        <f>$Y$6</f>
        <v>Total</v>
      </c>
    </row>
    <row r="52" spans="1:25" x14ac:dyDescent="0.2">
      <c r="C52" s="319"/>
      <c r="D52" s="319"/>
      <c r="E52" s="319"/>
      <c r="F52" s="319"/>
      <c r="G52" s="319"/>
      <c r="H52" s="319"/>
      <c r="I52" s="319"/>
      <c r="J52" s="319"/>
      <c r="K52" s="319"/>
      <c r="L52" s="319"/>
      <c r="M52" s="319"/>
      <c r="N52" s="319"/>
      <c r="O52" s="319"/>
      <c r="P52" s="319"/>
      <c r="Q52" s="319"/>
      <c r="R52" s="319"/>
      <c r="S52" s="319"/>
      <c r="T52" s="319"/>
      <c r="U52" s="319"/>
      <c r="V52" s="319"/>
      <c r="W52" s="319"/>
      <c r="X52" s="319"/>
      <c r="Y52" s="319"/>
    </row>
    <row r="53" spans="1:25" x14ac:dyDescent="0.2">
      <c r="A53" s="260" t="s">
        <v>365</v>
      </c>
      <c r="B53" s="300">
        <v>1.1326767911750886</v>
      </c>
      <c r="C53" s="300">
        <v>0.30464841154560918</v>
      </c>
      <c r="D53" s="300">
        <v>3.7518277283618849E-4</v>
      </c>
      <c r="E53" s="300">
        <f>SUM(B53:D53)</f>
        <v>1.437700385493534</v>
      </c>
      <c r="F53" s="300"/>
      <c r="G53" s="300">
        <v>0.56266154313132055</v>
      </c>
      <c r="H53" s="300">
        <v>0.15626089595069731</v>
      </c>
      <c r="I53" s="300">
        <v>1.5289715846188663E-4</v>
      </c>
      <c r="J53" s="300">
        <f>SUM(G53:I53)</f>
        <v>0.71907533624047981</v>
      </c>
      <c r="K53" s="300"/>
      <c r="L53" s="300">
        <v>0.75975306677992949</v>
      </c>
      <c r="M53" s="300">
        <v>0.20681549090028223</v>
      </c>
      <c r="N53" s="300">
        <v>0.31705354825188842</v>
      </c>
      <c r="O53" s="300">
        <f>SUM(L53:N53)</f>
        <v>1.2836221059321</v>
      </c>
      <c r="P53" s="300"/>
      <c r="Q53" s="300">
        <v>0.74567978496947696</v>
      </c>
      <c r="R53" s="300">
        <v>0.20116748388021832</v>
      </c>
      <c r="S53" s="300">
        <v>0.30396533333373654</v>
      </c>
      <c r="T53" s="300">
        <f>SUM(Q53:S53)</f>
        <v>1.2508126021834318</v>
      </c>
      <c r="U53" s="300"/>
      <c r="V53" s="300">
        <v>0.77009026412766446</v>
      </c>
      <c r="W53" s="300">
        <v>0.20384742285719518</v>
      </c>
      <c r="X53" s="300">
        <v>0.30315770580238738</v>
      </c>
      <c r="Y53" s="300">
        <f>SUM(V53:X53)</f>
        <v>1.277095392787247</v>
      </c>
    </row>
    <row r="54" spans="1:25" x14ac:dyDescent="0.2">
      <c r="A54" s="260" t="s">
        <v>364</v>
      </c>
      <c r="B54" s="300">
        <v>3.7552043732448221</v>
      </c>
      <c r="C54" s="300">
        <v>5.6277415925189887E-2</v>
      </c>
      <c r="D54" s="300">
        <v>0.39581782533644833</v>
      </c>
      <c r="E54" s="300">
        <f t="shared" ref="E54:E55" si="74">SUM(B54:D54)</f>
        <v>4.2072996145064607</v>
      </c>
      <c r="F54" s="300"/>
      <c r="G54" s="300">
        <v>1.8697793507850815</v>
      </c>
      <c r="H54" s="300">
        <v>3.8071392456655355E-2</v>
      </c>
      <c r="I54" s="300">
        <v>0.3970739205177804</v>
      </c>
      <c r="J54" s="300">
        <f t="shared" ref="J54:J55" si="75">SUM(G54:I54)</f>
        <v>2.3049246637595173</v>
      </c>
      <c r="K54" s="300"/>
      <c r="L54" s="300">
        <v>2.4724140673983674</v>
      </c>
      <c r="M54" s="300">
        <v>3.7963826669536974E-2</v>
      </c>
      <c r="N54" s="300">
        <v>0</v>
      </c>
      <c r="O54" s="300">
        <f t="shared" ref="O54:O55" si="76">SUM(L54:N54)</f>
        <v>2.5103778940679042</v>
      </c>
      <c r="P54" s="300"/>
      <c r="Q54" s="300">
        <v>2.3887057203974411</v>
      </c>
      <c r="R54" s="300">
        <v>3.7481677419127821E-2</v>
      </c>
      <c r="S54" s="300">
        <v>0</v>
      </c>
      <c r="T54" s="300">
        <f t="shared" ref="T54:T55" si="77">SUM(Q54:S54)</f>
        <v>2.4261873978165691</v>
      </c>
      <c r="U54" s="300"/>
      <c r="V54" s="300">
        <v>2.3897823745429383</v>
      </c>
      <c r="W54" s="300">
        <v>3.9122232669816688E-2</v>
      </c>
      <c r="X54" s="300">
        <v>0</v>
      </c>
      <c r="Y54" s="300">
        <f t="shared" ref="Y54:Y55" si="78">SUM(V54:X54)</f>
        <v>2.4289046072127549</v>
      </c>
    </row>
    <row r="55" spans="1:25" x14ac:dyDescent="0.2">
      <c r="A55" s="264" t="s">
        <v>363</v>
      </c>
      <c r="B55" s="301">
        <f>SUM(B53:B54)</f>
        <v>4.8878811644199107</v>
      </c>
      <c r="C55" s="301">
        <f t="shared" ref="C55" si="79">SUM(C53:C54)</f>
        <v>0.36092582747079904</v>
      </c>
      <c r="D55" s="301">
        <f t="shared" ref="D55" si="80">SUM(D53:D54)</f>
        <v>0.39619300810928454</v>
      </c>
      <c r="E55" s="301">
        <f t="shared" si="74"/>
        <v>5.6449999999999942</v>
      </c>
      <c r="F55" s="301"/>
      <c r="G55" s="301">
        <f>SUM(G53:G54)</f>
        <v>2.4324408939164019</v>
      </c>
      <c r="H55" s="301">
        <f t="shared" ref="H55" si="81">SUM(H53:H54)</f>
        <v>0.19433228840735267</v>
      </c>
      <c r="I55" s="301">
        <f t="shared" ref="I55" si="82">SUM(I53:I54)</f>
        <v>0.39722681767624229</v>
      </c>
      <c r="J55" s="301">
        <f t="shared" si="75"/>
        <v>3.0239999999999969</v>
      </c>
      <c r="K55" s="301"/>
      <c r="L55" s="301">
        <f>SUM(L53:L54)</f>
        <v>3.2321671341782969</v>
      </c>
      <c r="M55" s="301">
        <f t="shared" ref="M55" si="83">SUM(M53:M54)</f>
        <v>0.24477931756981919</v>
      </c>
      <c r="N55" s="301">
        <f t="shared" ref="N55" si="84">SUM(N53:N54)</f>
        <v>0.31705354825188842</v>
      </c>
      <c r="O55" s="301">
        <f t="shared" si="76"/>
        <v>3.7940000000000045</v>
      </c>
      <c r="P55" s="301"/>
      <c r="Q55" s="301">
        <f>SUM(Q53:Q54)</f>
        <v>3.1343855053669181</v>
      </c>
      <c r="R55" s="301">
        <f t="shared" ref="R55" si="85">SUM(R53:R54)</f>
        <v>0.23864916129934616</v>
      </c>
      <c r="S55" s="301">
        <f t="shared" ref="S55" si="86">SUM(S53:S54)</f>
        <v>0.30396533333373654</v>
      </c>
      <c r="T55" s="301">
        <f t="shared" si="77"/>
        <v>3.6770000000000005</v>
      </c>
      <c r="U55" s="301"/>
      <c r="V55" s="301">
        <f>SUM(V53:V54)</f>
        <v>3.1598726386706026</v>
      </c>
      <c r="W55" s="301">
        <f t="shared" ref="W55" si="87">SUM(W53:W54)</f>
        <v>0.24296965552701186</v>
      </c>
      <c r="X55" s="301">
        <f t="shared" ref="X55" si="88">SUM(X53:X54)</f>
        <v>0.30315770580238738</v>
      </c>
      <c r="Y55" s="301">
        <f t="shared" si="78"/>
        <v>3.7060000000000017</v>
      </c>
    </row>
    <row r="56" spans="1:25" x14ac:dyDescent="0.2">
      <c r="C56" s="263"/>
    </row>
    <row r="57" spans="1:25" x14ac:dyDescent="0.2">
      <c r="C57" s="263"/>
    </row>
    <row r="58" spans="1:25" x14ac:dyDescent="0.2">
      <c r="C58" s="263"/>
    </row>
    <row r="59" spans="1:25" ht="15" x14ac:dyDescent="0.25">
      <c r="A59" s="265" t="str">
        <f>"Industry 7 : "&amp; name!B10</f>
        <v>Industry 7 : Water and sewerage</v>
      </c>
      <c r="B59" s="374">
        <f>$B$5</f>
        <v>2015</v>
      </c>
      <c r="C59" s="374"/>
      <c r="D59" s="374"/>
      <c r="E59" s="374"/>
      <c r="F59" s="320"/>
      <c r="G59" s="374">
        <f>$G$5</f>
        <v>2019</v>
      </c>
      <c r="H59" s="374"/>
      <c r="I59" s="374"/>
      <c r="J59" s="374"/>
      <c r="K59" s="320"/>
      <c r="L59" s="374">
        <f>$L$5</f>
        <v>2020</v>
      </c>
      <c r="M59" s="374"/>
      <c r="N59" s="374"/>
      <c r="O59" s="374"/>
      <c r="P59" s="318"/>
      <c r="Q59" s="374">
        <f>$Q$5</f>
        <v>2025</v>
      </c>
      <c r="R59" s="374"/>
      <c r="S59" s="374"/>
      <c r="T59" s="374"/>
      <c r="U59" s="320"/>
      <c r="V59" s="374">
        <f>$V$5</f>
        <v>2035</v>
      </c>
      <c r="W59" s="374"/>
      <c r="X59" s="374"/>
      <c r="Y59" s="374"/>
    </row>
    <row r="60" spans="1:25" x14ac:dyDescent="0.2">
      <c r="A60" s="264"/>
      <c r="B60" s="268" t="str">
        <f>$B$6</f>
        <v>FT</v>
      </c>
      <c r="C60" s="268" t="str">
        <f>$C$6</f>
        <v>PT</v>
      </c>
      <c r="D60" s="268" t="str">
        <f>$D$6</f>
        <v>SE</v>
      </c>
      <c r="E60" s="268" t="str">
        <f>$E$6</f>
        <v>Total</v>
      </c>
      <c r="F60" s="268"/>
      <c r="G60" s="268" t="str">
        <f>$B$6</f>
        <v>FT</v>
      </c>
      <c r="H60" s="268" t="str">
        <f>$C$6</f>
        <v>PT</v>
      </c>
      <c r="I60" s="268" t="str">
        <f>$D$6</f>
        <v>SE</v>
      </c>
      <c r="J60" s="268" t="str">
        <f>$E$6</f>
        <v>Total</v>
      </c>
      <c r="K60" s="268"/>
      <c r="L60" s="268" t="str">
        <f>$L$6</f>
        <v>FT</v>
      </c>
      <c r="M60" s="268" t="str">
        <f>$M$6</f>
        <v>PT</v>
      </c>
      <c r="N60" s="268" t="str">
        <f>$N$6</f>
        <v>SE</v>
      </c>
      <c r="O60" s="268" t="str">
        <f>$O$6</f>
        <v>Total</v>
      </c>
      <c r="P60" s="268"/>
      <c r="Q60" s="268" t="str">
        <f>$L$6</f>
        <v>FT</v>
      </c>
      <c r="R60" s="268" t="str">
        <f>$M$6</f>
        <v>PT</v>
      </c>
      <c r="S60" s="268" t="str">
        <f>$N$6</f>
        <v>SE</v>
      </c>
      <c r="T60" s="268" t="str">
        <f>$O$6</f>
        <v>Total</v>
      </c>
      <c r="U60" s="268"/>
      <c r="V60" s="268" t="str">
        <f>$V$6</f>
        <v>FT</v>
      </c>
      <c r="W60" s="268" t="str">
        <f>$W$6</f>
        <v>PT</v>
      </c>
      <c r="X60" s="268" t="str">
        <f>$X$6</f>
        <v>SE</v>
      </c>
      <c r="Y60" s="268" t="str">
        <f>$Y$6</f>
        <v>Total</v>
      </c>
    </row>
    <row r="61" spans="1:25" x14ac:dyDescent="0.2">
      <c r="C61" s="319"/>
      <c r="D61" s="319"/>
      <c r="E61" s="319"/>
      <c r="F61" s="319"/>
      <c r="G61" s="319"/>
      <c r="H61" s="319"/>
      <c r="I61" s="319"/>
      <c r="J61" s="319"/>
      <c r="K61" s="319"/>
      <c r="L61" s="319"/>
      <c r="M61" s="319"/>
      <c r="N61" s="319"/>
      <c r="O61" s="319"/>
      <c r="P61" s="319"/>
      <c r="Q61" s="319"/>
      <c r="R61" s="319"/>
      <c r="S61" s="319"/>
      <c r="T61" s="319"/>
      <c r="U61" s="319"/>
      <c r="V61" s="319"/>
      <c r="W61" s="319"/>
      <c r="X61" s="319"/>
      <c r="Y61" s="319"/>
    </row>
    <row r="62" spans="1:25" x14ac:dyDescent="0.2">
      <c r="A62" s="260" t="s">
        <v>365</v>
      </c>
      <c r="B62" s="300">
        <v>0.58726972559967039</v>
      </c>
      <c r="C62" s="300">
        <v>0.20692815666664444</v>
      </c>
      <c r="D62" s="300">
        <v>9.3054195606060389E-2</v>
      </c>
      <c r="E62" s="300">
        <f>SUM(B62:D62)</f>
        <v>0.88725207787237526</v>
      </c>
      <c r="F62" s="300"/>
      <c r="G62" s="300">
        <v>0.74358572650882149</v>
      </c>
      <c r="H62" s="300">
        <v>0.18002189551840656</v>
      </c>
      <c r="I62" s="300">
        <v>0.1319812446494289</v>
      </c>
      <c r="J62" s="300">
        <f>SUM(G62:I62)</f>
        <v>1.0555888666766569</v>
      </c>
      <c r="K62" s="300"/>
      <c r="L62" s="300">
        <v>0.63933163881477839</v>
      </c>
      <c r="M62" s="300">
        <v>0.15337171817391335</v>
      </c>
      <c r="N62" s="300">
        <v>1.0442329747932213E-2</v>
      </c>
      <c r="O62" s="300">
        <f>SUM(L62:N62)</f>
        <v>0.80314568673662401</v>
      </c>
      <c r="P62" s="300"/>
      <c r="Q62" s="300">
        <v>0.71323076479801084</v>
      </c>
      <c r="R62" s="300">
        <v>0.16662928771343236</v>
      </c>
      <c r="S62" s="300">
        <v>1.1091221186887275E-2</v>
      </c>
      <c r="T62" s="300">
        <f>SUM(Q62:S62)</f>
        <v>0.89095127369833049</v>
      </c>
      <c r="U62" s="300"/>
      <c r="V62" s="300">
        <v>0.8571954933769238</v>
      </c>
      <c r="W62" s="300">
        <v>0.19008228583165737</v>
      </c>
      <c r="X62" s="300">
        <v>1.1994218310463422E-2</v>
      </c>
      <c r="Y62" s="300">
        <f>SUM(V62:X62)</f>
        <v>1.0592719975190446</v>
      </c>
    </row>
    <row r="63" spans="1:25" x14ac:dyDescent="0.2">
      <c r="A63" s="260" t="s">
        <v>364</v>
      </c>
      <c r="B63" s="300">
        <v>2.3834822953480352</v>
      </c>
      <c r="C63" s="300">
        <v>7.4265626779592447E-2</v>
      </c>
      <c r="D63" s="300">
        <v>0</v>
      </c>
      <c r="E63" s="300">
        <f t="shared" ref="E63:E64" si="89">SUM(B63:D63)</f>
        <v>2.4577479221276275</v>
      </c>
      <c r="F63" s="300"/>
      <c r="G63" s="300">
        <v>3.2292977733440966</v>
      </c>
      <c r="H63" s="300">
        <v>7.4410790751592931E-2</v>
      </c>
      <c r="I63" s="300">
        <v>0.21370256922765704</v>
      </c>
      <c r="J63" s="300">
        <f t="shared" ref="J63:J64" si="90">SUM(G63:I63)</f>
        <v>3.5174111333233467</v>
      </c>
      <c r="K63" s="300"/>
      <c r="L63" s="300">
        <v>2.8358757013163021</v>
      </c>
      <c r="M63" s="300">
        <v>0.39041260345460826</v>
      </c>
      <c r="N63" s="300">
        <v>0.18156600849246299</v>
      </c>
      <c r="O63" s="300">
        <f t="shared" ref="O63:O64" si="91">SUM(L63:N63)</f>
        <v>3.407854313263373</v>
      </c>
      <c r="P63" s="300"/>
      <c r="Q63" s="300">
        <v>3.0234668955332733</v>
      </c>
      <c r="R63" s="300">
        <v>0.42094446528094404</v>
      </c>
      <c r="S63" s="300">
        <v>0.18763736548746013</v>
      </c>
      <c r="T63" s="300">
        <f t="shared" ref="T63:T64" si="92">SUM(Q63:S63)</f>
        <v>3.6320487263016776</v>
      </c>
      <c r="U63" s="300"/>
      <c r="V63" s="300">
        <v>3.328395581137237</v>
      </c>
      <c r="W63" s="300">
        <v>0.47064269675010595</v>
      </c>
      <c r="X63" s="300">
        <v>0.19268972459360986</v>
      </c>
      <c r="Y63" s="300">
        <f t="shared" ref="Y63:Y64" si="93">SUM(V63:X63)</f>
        <v>3.9917280024809525</v>
      </c>
    </row>
    <row r="64" spans="1:25" x14ac:dyDescent="0.2">
      <c r="A64" s="264" t="s">
        <v>363</v>
      </c>
      <c r="B64" s="301">
        <f>SUM(B62:B63)</f>
        <v>2.9707520209477059</v>
      </c>
      <c r="C64" s="301">
        <f t="shared" ref="C64" si="94">SUM(C62:C63)</f>
        <v>0.28119378344623691</v>
      </c>
      <c r="D64" s="301">
        <f t="shared" ref="D64" si="95">SUM(D62:D63)</f>
        <v>9.3054195606060389E-2</v>
      </c>
      <c r="E64" s="301">
        <f t="shared" si="89"/>
        <v>3.3450000000000029</v>
      </c>
      <c r="F64" s="301"/>
      <c r="G64" s="301">
        <f>SUM(G62:G63)</f>
        <v>3.9728834998529181</v>
      </c>
      <c r="H64" s="301">
        <f t="shared" ref="H64" si="96">SUM(H62:H63)</f>
        <v>0.25443268626999949</v>
      </c>
      <c r="I64" s="301">
        <f t="shared" ref="I64" si="97">SUM(I62:I63)</f>
        <v>0.34568381387708591</v>
      </c>
      <c r="J64" s="301">
        <f t="shared" si="90"/>
        <v>4.573000000000004</v>
      </c>
      <c r="K64" s="301"/>
      <c r="L64" s="301">
        <f>SUM(L62:L63)</f>
        <v>3.4752073401310803</v>
      </c>
      <c r="M64" s="301">
        <f t="shared" ref="M64" si="98">SUM(M62:M63)</f>
        <v>0.54378432162852164</v>
      </c>
      <c r="N64" s="301">
        <f t="shared" ref="N64" si="99">SUM(N62:N63)</f>
        <v>0.1920083382403952</v>
      </c>
      <c r="O64" s="301">
        <f t="shared" si="91"/>
        <v>4.2109999999999967</v>
      </c>
      <c r="P64" s="301"/>
      <c r="Q64" s="301">
        <f>SUM(Q62:Q63)</f>
        <v>3.7366976603312843</v>
      </c>
      <c r="R64" s="301">
        <f t="shared" ref="R64" si="100">SUM(R62:R63)</f>
        <v>0.58757375299437642</v>
      </c>
      <c r="S64" s="301">
        <f t="shared" ref="S64" si="101">SUM(S62:S63)</f>
        <v>0.1987285866743474</v>
      </c>
      <c r="T64" s="301">
        <f t="shared" si="92"/>
        <v>4.5230000000000077</v>
      </c>
      <c r="U64" s="301"/>
      <c r="V64" s="301">
        <f>SUM(V62:V63)</f>
        <v>4.1855910745141607</v>
      </c>
      <c r="W64" s="301">
        <f t="shared" ref="W64" si="102">SUM(W62:W63)</f>
        <v>0.66072498258176338</v>
      </c>
      <c r="X64" s="301">
        <f t="shared" ref="X64" si="103">SUM(X62:X63)</f>
        <v>0.2046839429040733</v>
      </c>
      <c r="Y64" s="301">
        <f t="shared" si="93"/>
        <v>5.0509999999999975</v>
      </c>
    </row>
    <row r="68" spans="1:25" ht="15" x14ac:dyDescent="0.25">
      <c r="A68" s="265" t="str">
        <f>"Industry 8 : "&amp; name!B11</f>
        <v>Industry 8 : Construction</v>
      </c>
      <c r="B68" s="374">
        <f>$B$5</f>
        <v>2015</v>
      </c>
      <c r="C68" s="374"/>
      <c r="D68" s="374"/>
      <c r="E68" s="374"/>
      <c r="F68" s="320"/>
      <c r="G68" s="374">
        <f>$G$5</f>
        <v>2019</v>
      </c>
      <c r="H68" s="374"/>
      <c r="I68" s="374"/>
      <c r="J68" s="374"/>
      <c r="K68" s="320"/>
      <c r="L68" s="374">
        <f>$L$5</f>
        <v>2020</v>
      </c>
      <c r="M68" s="374"/>
      <c r="N68" s="374"/>
      <c r="O68" s="374"/>
      <c r="P68" s="318"/>
      <c r="Q68" s="374">
        <f>$Q$5</f>
        <v>2025</v>
      </c>
      <c r="R68" s="374"/>
      <c r="S68" s="374"/>
      <c r="T68" s="374"/>
      <c r="U68" s="320"/>
      <c r="V68" s="374">
        <f>$V$5</f>
        <v>2035</v>
      </c>
      <c r="W68" s="374"/>
      <c r="X68" s="374"/>
      <c r="Y68" s="374"/>
    </row>
    <row r="69" spans="1:25" x14ac:dyDescent="0.2">
      <c r="A69" s="264"/>
      <c r="B69" s="268" t="str">
        <f>$B$6</f>
        <v>FT</v>
      </c>
      <c r="C69" s="268" t="str">
        <f>$C$6</f>
        <v>PT</v>
      </c>
      <c r="D69" s="268" t="str">
        <f>$D$6</f>
        <v>SE</v>
      </c>
      <c r="E69" s="268" t="str">
        <f>$E$6</f>
        <v>Total</v>
      </c>
      <c r="F69" s="268"/>
      <c r="G69" s="268" t="str">
        <f>$B$6</f>
        <v>FT</v>
      </c>
      <c r="H69" s="268" t="str">
        <f>$C$6</f>
        <v>PT</v>
      </c>
      <c r="I69" s="268" t="str">
        <f>$D$6</f>
        <v>SE</v>
      </c>
      <c r="J69" s="268" t="str">
        <f>$E$6</f>
        <v>Total</v>
      </c>
      <c r="K69" s="268"/>
      <c r="L69" s="268" t="str">
        <f>$L$6</f>
        <v>FT</v>
      </c>
      <c r="M69" s="268" t="str">
        <f>$M$6</f>
        <v>PT</v>
      </c>
      <c r="N69" s="268" t="str">
        <f>$N$6</f>
        <v>SE</v>
      </c>
      <c r="O69" s="268" t="str">
        <f>$O$6</f>
        <v>Total</v>
      </c>
      <c r="P69" s="268"/>
      <c r="Q69" s="268" t="str">
        <f>$L$6</f>
        <v>FT</v>
      </c>
      <c r="R69" s="268" t="str">
        <f>$M$6</f>
        <v>PT</v>
      </c>
      <c r="S69" s="268" t="str">
        <f>$N$6</f>
        <v>SE</v>
      </c>
      <c r="T69" s="268" t="str">
        <f>$O$6</f>
        <v>Total</v>
      </c>
      <c r="U69" s="268"/>
      <c r="V69" s="268" t="str">
        <f>$V$6</f>
        <v>FT</v>
      </c>
      <c r="W69" s="268" t="str">
        <f>$W$6</f>
        <v>PT</v>
      </c>
      <c r="X69" s="268" t="str">
        <f>$X$6</f>
        <v>SE</v>
      </c>
      <c r="Y69" s="268" t="str">
        <f>$Y$6</f>
        <v>Total</v>
      </c>
    </row>
    <row r="70" spans="1:25" x14ac:dyDescent="0.2">
      <c r="C70" s="319"/>
      <c r="D70" s="319"/>
      <c r="E70" s="319"/>
      <c r="F70" s="319"/>
      <c r="G70" s="319"/>
      <c r="H70" s="319"/>
      <c r="I70" s="319"/>
      <c r="J70" s="319"/>
      <c r="K70" s="319"/>
      <c r="L70" s="319"/>
      <c r="M70" s="319"/>
      <c r="N70" s="319"/>
      <c r="O70" s="319"/>
      <c r="P70" s="319"/>
      <c r="Q70" s="319"/>
      <c r="R70" s="319"/>
      <c r="S70" s="319"/>
      <c r="T70" s="319"/>
      <c r="U70" s="319"/>
      <c r="V70" s="319"/>
      <c r="W70" s="319"/>
      <c r="X70" s="319"/>
      <c r="Y70" s="319"/>
    </row>
    <row r="71" spans="1:25" x14ac:dyDescent="0.2">
      <c r="A71" s="260" t="s">
        <v>365</v>
      </c>
      <c r="B71" s="300">
        <v>3.9207881982242649</v>
      </c>
      <c r="C71" s="300">
        <v>2.7589114003583783</v>
      </c>
      <c r="D71" s="300">
        <v>1.5422531306077221</v>
      </c>
      <c r="E71" s="300">
        <f>SUM(B71:D71)</f>
        <v>8.2219527291903649</v>
      </c>
      <c r="F71" s="300"/>
      <c r="G71" s="300">
        <v>5.1435580420271405</v>
      </c>
      <c r="H71" s="300">
        <v>3.3289954991937116</v>
      </c>
      <c r="I71" s="300">
        <v>2.1272556940454437</v>
      </c>
      <c r="J71" s="300">
        <f>SUM(G71:I71)</f>
        <v>10.599809235266296</v>
      </c>
      <c r="K71" s="300"/>
      <c r="L71" s="300">
        <v>5.067538636397364</v>
      </c>
      <c r="M71" s="300">
        <v>3.989785632770054</v>
      </c>
      <c r="N71" s="300">
        <v>1.6726166746502145</v>
      </c>
      <c r="O71" s="300">
        <f>SUM(L71:N71)</f>
        <v>10.729940943817633</v>
      </c>
      <c r="P71" s="300"/>
      <c r="Q71" s="300">
        <v>5.4571485400725743</v>
      </c>
      <c r="R71" s="300">
        <v>4.3250354475071706</v>
      </c>
      <c r="S71" s="300">
        <v>1.8094049989422849</v>
      </c>
      <c r="T71" s="300">
        <f>SUM(Q71:S71)</f>
        <v>11.59158898652203</v>
      </c>
      <c r="U71" s="300"/>
      <c r="V71" s="300">
        <v>6.0155585791978607</v>
      </c>
      <c r="W71" s="300">
        <v>4.8209681916061893</v>
      </c>
      <c r="X71" s="300">
        <v>2.0504668912620785</v>
      </c>
      <c r="Y71" s="300">
        <f>SUM(V71:X71)</f>
        <v>12.886993662066129</v>
      </c>
    </row>
    <row r="72" spans="1:25" x14ac:dyDescent="0.2">
      <c r="A72" s="260" t="s">
        <v>364</v>
      </c>
      <c r="B72" s="300">
        <v>24.652390317485153</v>
      </c>
      <c r="C72" s="300">
        <v>1.2086503469765266</v>
      </c>
      <c r="D72" s="300">
        <v>20.681006606348088</v>
      </c>
      <c r="E72" s="300">
        <f t="shared" ref="E72:E73" si="104">SUM(B72:D72)</f>
        <v>46.542047270809768</v>
      </c>
      <c r="F72" s="300"/>
      <c r="G72" s="300">
        <v>28.318971461730666</v>
      </c>
      <c r="H72" s="300">
        <v>1.0747082125639702</v>
      </c>
      <c r="I72" s="300">
        <v>20.331511090439111</v>
      </c>
      <c r="J72" s="300">
        <f t="shared" ref="J72:J73" si="105">SUM(G72:I72)</f>
        <v>49.725190764733746</v>
      </c>
      <c r="K72" s="300"/>
      <c r="L72" s="300">
        <v>27.190168637582349</v>
      </c>
      <c r="M72" s="300">
        <v>2.010814167558665</v>
      </c>
      <c r="N72" s="300">
        <v>22.248076251041258</v>
      </c>
      <c r="O72" s="300">
        <f t="shared" ref="O72:O73" si="106">SUM(L72:N72)</f>
        <v>51.449059056182271</v>
      </c>
      <c r="P72" s="300"/>
      <c r="Q72" s="300">
        <v>28.786582045720241</v>
      </c>
      <c r="R72" s="300">
        <v>2.1954208079809003</v>
      </c>
      <c r="S72" s="300">
        <v>24.094408159777025</v>
      </c>
      <c r="T72" s="300">
        <f t="shared" ref="T72:T73" si="107">SUM(Q72:S72)</f>
        <v>55.076411013478165</v>
      </c>
      <c r="U72" s="300"/>
      <c r="V72" s="300">
        <v>30.314179533354356</v>
      </c>
      <c r="W72" s="300">
        <v>2.4742157871465227</v>
      </c>
      <c r="X72" s="300">
        <v>26.779611017432927</v>
      </c>
      <c r="Y72" s="300">
        <f t="shared" ref="Y72:Y73" si="108">SUM(V72:X72)</f>
        <v>59.568006337933802</v>
      </c>
    </row>
    <row r="73" spans="1:25" x14ac:dyDescent="0.2">
      <c r="A73" s="264" t="s">
        <v>363</v>
      </c>
      <c r="B73" s="301">
        <f>SUM(B71:B72)</f>
        <v>28.573178515709419</v>
      </c>
      <c r="C73" s="301">
        <f t="shared" ref="C73" si="109">SUM(C71:C72)</f>
        <v>3.967561747334905</v>
      </c>
      <c r="D73" s="301">
        <f t="shared" ref="D73" si="110">SUM(D71:D72)</f>
        <v>22.223259736955811</v>
      </c>
      <c r="E73" s="301">
        <f t="shared" si="104"/>
        <v>54.764000000000138</v>
      </c>
      <c r="F73" s="301"/>
      <c r="G73" s="301">
        <f>SUM(G71:G72)</f>
        <v>33.462529503757807</v>
      </c>
      <c r="H73" s="301">
        <f t="shared" ref="H73" si="111">SUM(H71:H72)</f>
        <v>4.4037037117576823</v>
      </c>
      <c r="I73" s="301">
        <f t="shared" ref="I73" si="112">SUM(I71:I72)</f>
        <v>22.458766784484556</v>
      </c>
      <c r="J73" s="301">
        <f t="shared" si="105"/>
        <v>60.325000000000045</v>
      </c>
      <c r="K73" s="301"/>
      <c r="L73" s="301">
        <f>SUM(L71:L72)</f>
        <v>32.257707273979712</v>
      </c>
      <c r="M73" s="301">
        <f t="shared" ref="M73" si="113">SUM(M71:M72)</f>
        <v>6.0005998003287191</v>
      </c>
      <c r="N73" s="301">
        <f t="shared" ref="N73" si="114">SUM(N71:N72)</f>
        <v>23.920692925691473</v>
      </c>
      <c r="O73" s="301">
        <f t="shared" si="106"/>
        <v>62.178999999999903</v>
      </c>
      <c r="P73" s="301"/>
      <c r="Q73" s="301">
        <f>SUM(Q71:Q72)</f>
        <v>34.243730585792818</v>
      </c>
      <c r="R73" s="301">
        <f t="shared" ref="R73" si="115">SUM(R71:R72)</f>
        <v>6.520456255488071</v>
      </c>
      <c r="S73" s="301">
        <f t="shared" ref="S73" si="116">SUM(S71:S72)</f>
        <v>25.903813158719309</v>
      </c>
      <c r="T73" s="301">
        <f t="shared" si="107"/>
        <v>66.668000000000205</v>
      </c>
      <c r="U73" s="301"/>
      <c r="V73" s="301">
        <f>SUM(V71:V72)</f>
        <v>36.329738112552214</v>
      </c>
      <c r="W73" s="301">
        <f t="shared" ref="W73" si="117">SUM(W71:W72)</f>
        <v>7.2951839787527124</v>
      </c>
      <c r="X73" s="301">
        <f t="shared" ref="X73" si="118">SUM(X71:X72)</f>
        <v>28.830077908695007</v>
      </c>
      <c r="Y73" s="301">
        <f t="shared" si="108"/>
        <v>72.454999999999927</v>
      </c>
    </row>
    <row r="74" spans="1:25" x14ac:dyDescent="0.2">
      <c r="C74" s="263"/>
    </row>
    <row r="75" spans="1:25" x14ac:dyDescent="0.2">
      <c r="C75" s="263"/>
    </row>
    <row r="76" spans="1:25" x14ac:dyDescent="0.2">
      <c r="C76" s="263"/>
    </row>
    <row r="77" spans="1:25" ht="15" x14ac:dyDescent="0.25">
      <c r="A77" s="265" t="str">
        <f>"Industry 9 : "&amp; name!B12</f>
        <v>Industry 9 : Wholesale and retail trade</v>
      </c>
      <c r="B77" s="374">
        <f>$B$5</f>
        <v>2015</v>
      </c>
      <c r="C77" s="374"/>
      <c r="D77" s="374"/>
      <c r="E77" s="374"/>
      <c r="F77" s="320"/>
      <c r="G77" s="374">
        <f>$G$5</f>
        <v>2019</v>
      </c>
      <c r="H77" s="374"/>
      <c r="I77" s="374"/>
      <c r="J77" s="374"/>
      <c r="K77" s="320"/>
      <c r="L77" s="374">
        <f>$L$5</f>
        <v>2020</v>
      </c>
      <c r="M77" s="374"/>
      <c r="N77" s="374"/>
      <c r="O77" s="374"/>
      <c r="P77" s="318"/>
      <c r="Q77" s="374">
        <f>$Q$5</f>
        <v>2025</v>
      </c>
      <c r="R77" s="374"/>
      <c r="S77" s="374"/>
      <c r="T77" s="374"/>
      <c r="U77" s="320"/>
      <c r="V77" s="374">
        <f>$V$5</f>
        <v>2035</v>
      </c>
      <c r="W77" s="374"/>
      <c r="X77" s="374"/>
      <c r="Y77" s="374"/>
    </row>
    <row r="78" spans="1:25" x14ac:dyDescent="0.2">
      <c r="A78" s="264"/>
      <c r="B78" s="268" t="str">
        <f>$B$6</f>
        <v>FT</v>
      </c>
      <c r="C78" s="268" t="str">
        <f>$C$6</f>
        <v>PT</v>
      </c>
      <c r="D78" s="268" t="str">
        <f>$D$6</f>
        <v>SE</v>
      </c>
      <c r="E78" s="268" t="str">
        <f>$E$6</f>
        <v>Total</v>
      </c>
      <c r="F78" s="268"/>
      <c r="G78" s="268" t="str">
        <f>$B$6</f>
        <v>FT</v>
      </c>
      <c r="H78" s="268" t="str">
        <f>$C$6</f>
        <v>PT</v>
      </c>
      <c r="I78" s="268" t="str">
        <f>$D$6</f>
        <v>SE</v>
      </c>
      <c r="J78" s="268" t="str">
        <f>$E$6</f>
        <v>Total</v>
      </c>
      <c r="K78" s="268"/>
      <c r="L78" s="268" t="str">
        <f>$L$6</f>
        <v>FT</v>
      </c>
      <c r="M78" s="268" t="str">
        <f>$M$6</f>
        <v>PT</v>
      </c>
      <c r="N78" s="268" t="str">
        <f>$N$6</f>
        <v>SE</v>
      </c>
      <c r="O78" s="268" t="str">
        <f>$O$6</f>
        <v>Total</v>
      </c>
      <c r="P78" s="268"/>
      <c r="Q78" s="268" t="str">
        <f>$L$6</f>
        <v>FT</v>
      </c>
      <c r="R78" s="268" t="str">
        <f>$M$6</f>
        <v>PT</v>
      </c>
      <c r="S78" s="268" t="str">
        <f>$N$6</f>
        <v>SE</v>
      </c>
      <c r="T78" s="268" t="str">
        <f>$O$6</f>
        <v>Total</v>
      </c>
      <c r="U78" s="268"/>
      <c r="V78" s="268" t="str">
        <f>$V$6</f>
        <v>FT</v>
      </c>
      <c r="W78" s="268" t="str">
        <f>$W$6</f>
        <v>PT</v>
      </c>
      <c r="X78" s="268" t="str">
        <f>$X$6</f>
        <v>SE</v>
      </c>
      <c r="Y78" s="268" t="str">
        <f>$Y$6</f>
        <v>Total</v>
      </c>
    </row>
    <row r="79" spans="1:25" x14ac:dyDescent="0.2">
      <c r="C79" s="319"/>
      <c r="D79" s="319"/>
      <c r="E79" s="319"/>
      <c r="F79" s="319"/>
      <c r="G79" s="319"/>
      <c r="H79" s="319"/>
      <c r="I79" s="319"/>
      <c r="J79" s="319"/>
      <c r="K79" s="319"/>
      <c r="L79" s="319"/>
      <c r="M79" s="319"/>
      <c r="N79" s="319"/>
      <c r="O79" s="319"/>
      <c r="P79" s="319"/>
      <c r="Q79" s="319"/>
      <c r="R79" s="319"/>
      <c r="S79" s="319"/>
      <c r="T79" s="319"/>
      <c r="U79" s="319"/>
      <c r="V79" s="319"/>
      <c r="W79" s="319"/>
      <c r="X79" s="319"/>
      <c r="Y79" s="319"/>
    </row>
    <row r="80" spans="1:25" x14ac:dyDescent="0.2">
      <c r="A80" s="260" t="s">
        <v>365</v>
      </c>
      <c r="B80" s="300">
        <v>26.088594471477499</v>
      </c>
      <c r="C80" s="300">
        <v>32.57266699052353</v>
      </c>
      <c r="D80" s="300">
        <v>3.2729281892777724</v>
      </c>
      <c r="E80" s="300">
        <f>SUM(B80:D80)</f>
        <v>61.9341896512788</v>
      </c>
      <c r="F80" s="300"/>
      <c r="G80" s="300">
        <v>28.02902925423011</v>
      </c>
      <c r="H80" s="300">
        <v>33.18805247186787</v>
      </c>
      <c r="I80" s="300">
        <v>2.5741187734081818</v>
      </c>
      <c r="J80" s="300">
        <f>SUM(G80:I80)</f>
        <v>63.791200499506161</v>
      </c>
      <c r="K80" s="300"/>
      <c r="L80" s="300">
        <v>30.35625866481077</v>
      </c>
      <c r="M80" s="300">
        <v>34.283737784515864</v>
      </c>
      <c r="N80" s="300">
        <v>3.1651473648588735</v>
      </c>
      <c r="O80" s="300">
        <f>SUM(L80:N80)</f>
        <v>67.805143814185499</v>
      </c>
      <c r="P80" s="300"/>
      <c r="Q80" s="300">
        <v>31.780175606381643</v>
      </c>
      <c r="R80" s="300">
        <v>33.108049829477402</v>
      </c>
      <c r="S80" s="300">
        <v>3.2733601014786782</v>
      </c>
      <c r="T80" s="300">
        <f>SUM(Q80:S80)</f>
        <v>68.161585537337714</v>
      </c>
      <c r="U80" s="300"/>
      <c r="V80" s="300">
        <v>34.393990678425808</v>
      </c>
      <c r="W80" s="300">
        <v>30.92876842371755</v>
      </c>
      <c r="X80" s="300">
        <v>3.5013527080509577</v>
      </c>
      <c r="Y80" s="300">
        <f>SUM(V80:X80)</f>
        <v>68.82411181019431</v>
      </c>
    </row>
    <row r="81" spans="1:25" x14ac:dyDescent="0.2">
      <c r="A81" s="260" t="s">
        <v>364</v>
      </c>
      <c r="B81" s="300">
        <v>45.77124427313457</v>
      </c>
      <c r="C81" s="300">
        <v>15.15249188487595</v>
      </c>
      <c r="D81" s="300">
        <v>4.6770741907105222</v>
      </c>
      <c r="E81" s="300">
        <f t="shared" ref="E81:E82" si="119">SUM(B81:D81)</f>
        <v>65.600810348721041</v>
      </c>
      <c r="F81" s="300"/>
      <c r="G81" s="300">
        <v>51.932448645728897</v>
      </c>
      <c r="H81" s="300">
        <v>14.636884300214259</v>
      </c>
      <c r="I81" s="300">
        <v>4.2334665545507066</v>
      </c>
      <c r="J81" s="300">
        <f t="shared" ref="J81:J82" si="120">SUM(G81:I81)</f>
        <v>70.802799500493862</v>
      </c>
      <c r="K81" s="300"/>
      <c r="L81" s="300">
        <v>48.509363458293763</v>
      </c>
      <c r="M81" s="300">
        <v>17.516092854011834</v>
      </c>
      <c r="N81" s="300">
        <v>3.968399873508873</v>
      </c>
      <c r="O81" s="300">
        <f t="shared" ref="O81:O82" si="121">SUM(L81:N81)</f>
        <v>69.993856185814465</v>
      </c>
      <c r="P81" s="300"/>
      <c r="Q81" s="300">
        <v>49.512936081411482</v>
      </c>
      <c r="R81" s="300">
        <v>17.576572291950157</v>
      </c>
      <c r="S81" s="300">
        <v>4.0369060893006665</v>
      </c>
      <c r="T81" s="300">
        <f t="shared" ref="T81:T82" si="122">SUM(Q81:S81)</f>
        <v>71.126414462662311</v>
      </c>
      <c r="U81" s="300"/>
      <c r="V81" s="300">
        <v>50.681122167271113</v>
      </c>
      <c r="W81" s="300">
        <v>17.787370614099114</v>
      </c>
      <c r="X81" s="300">
        <v>4.1373954084353759</v>
      </c>
      <c r="Y81" s="300">
        <f t="shared" ref="Y81:Y82" si="123">SUM(V81:X81)</f>
        <v>72.605888189805611</v>
      </c>
    </row>
    <row r="82" spans="1:25" x14ac:dyDescent="0.2">
      <c r="A82" s="264" t="s">
        <v>363</v>
      </c>
      <c r="B82" s="301">
        <f>SUM(B80:B81)</f>
        <v>71.859838744612063</v>
      </c>
      <c r="C82" s="301">
        <f t="shared" ref="C82" si="124">SUM(C80:C81)</f>
        <v>47.72515887539948</v>
      </c>
      <c r="D82" s="301">
        <f t="shared" ref="D82" si="125">SUM(D80:D81)</f>
        <v>7.9500023799882946</v>
      </c>
      <c r="E82" s="301">
        <f t="shared" si="119"/>
        <v>127.53499999999983</v>
      </c>
      <c r="F82" s="301"/>
      <c r="G82" s="301">
        <f>SUM(G80:G81)</f>
        <v>79.961477899959007</v>
      </c>
      <c r="H82" s="301">
        <f t="shared" ref="H82" si="126">SUM(H80:H81)</f>
        <v>47.824936772082125</v>
      </c>
      <c r="I82" s="301">
        <f t="shared" ref="I82" si="127">SUM(I80:I81)</f>
        <v>6.807585327958888</v>
      </c>
      <c r="J82" s="301">
        <f t="shared" si="120"/>
        <v>134.59400000000002</v>
      </c>
      <c r="K82" s="301"/>
      <c r="L82" s="301">
        <f>SUM(L80:L81)</f>
        <v>78.865622123104529</v>
      </c>
      <c r="M82" s="301">
        <f t="shared" ref="M82" si="128">SUM(M80:M81)</f>
        <v>51.799830638527695</v>
      </c>
      <c r="N82" s="301">
        <f t="shared" ref="N82" si="129">SUM(N80:N81)</f>
        <v>7.133547238367747</v>
      </c>
      <c r="O82" s="301">
        <f t="shared" si="121"/>
        <v>137.79899999999998</v>
      </c>
      <c r="P82" s="301"/>
      <c r="Q82" s="301">
        <f>SUM(Q80:Q81)</f>
        <v>81.293111687793129</v>
      </c>
      <c r="R82" s="301">
        <f t="shared" ref="R82" si="130">SUM(R80:R81)</f>
        <v>50.684622121427559</v>
      </c>
      <c r="S82" s="301">
        <f t="shared" ref="S82" si="131">SUM(S80:S81)</f>
        <v>7.3102661907793447</v>
      </c>
      <c r="T82" s="301">
        <f t="shared" si="122"/>
        <v>139.28800000000004</v>
      </c>
      <c r="U82" s="301"/>
      <c r="V82" s="301">
        <f>SUM(V80:V81)</f>
        <v>85.075112845696921</v>
      </c>
      <c r="W82" s="301">
        <f t="shared" ref="W82" si="132">SUM(W80:W81)</f>
        <v>48.71613903781666</v>
      </c>
      <c r="X82" s="301">
        <f t="shared" ref="X82" si="133">SUM(X80:X81)</f>
        <v>7.6387481164863331</v>
      </c>
      <c r="Y82" s="301">
        <f t="shared" si="123"/>
        <v>141.42999999999992</v>
      </c>
    </row>
    <row r="83" spans="1:25" x14ac:dyDescent="0.2">
      <c r="A83" s="266"/>
      <c r="B83" s="320"/>
      <c r="C83" s="320"/>
      <c r="D83" s="320"/>
      <c r="E83" s="320"/>
      <c r="F83" s="320"/>
      <c r="G83" s="320"/>
      <c r="H83" s="320"/>
      <c r="I83" s="320"/>
      <c r="J83" s="320"/>
      <c r="K83" s="320"/>
      <c r="L83" s="320"/>
      <c r="M83" s="320"/>
      <c r="N83" s="320"/>
      <c r="O83" s="320"/>
      <c r="P83" s="320"/>
      <c r="Q83" s="320"/>
      <c r="R83" s="320"/>
      <c r="S83" s="320"/>
      <c r="T83" s="320"/>
      <c r="U83" s="320"/>
      <c r="V83" s="320"/>
      <c r="W83" s="320"/>
      <c r="X83" s="320"/>
      <c r="Y83" s="320"/>
    </row>
    <row r="84" spans="1:25" x14ac:dyDescent="0.2">
      <c r="C84" s="263"/>
    </row>
    <row r="85" spans="1:25" x14ac:dyDescent="0.2">
      <c r="A85" s="261"/>
    </row>
    <row r="86" spans="1:25" ht="15" x14ac:dyDescent="0.25">
      <c r="A86" s="265" t="str">
        <f>"Industry 10 : "&amp; name!B13</f>
        <v>Industry 10 : Transport and storage</v>
      </c>
      <c r="B86" s="374">
        <f>$B$5</f>
        <v>2015</v>
      </c>
      <c r="C86" s="374"/>
      <c r="D86" s="374"/>
      <c r="E86" s="374"/>
      <c r="F86" s="320"/>
      <c r="G86" s="374">
        <f>$G$5</f>
        <v>2019</v>
      </c>
      <c r="H86" s="374"/>
      <c r="I86" s="374"/>
      <c r="J86" s="374"/>
      <c r="K86" s="320"/>
      <c r="L86" s="374">
        <f>$L$5</f>
        <v>2020</v>
      </c>
      <c r="M86" s="374"/>
      <c r="N86" s="374"/>
      <c r="O86" s="374"/>
      <c r="P86" s="318"/>
      <c r="Q86" s="374">
        <f>$Q$5</f>
        <v>2025</v>
      </c>
      <c r="R86" s="374"/>
      <c r="S86" s="374"/>
      <c r="T86" s="374"/>
      <c r="U86" s="320"/>
      <c r="V86" s="374">
        <f>$V$5</f>
        <v>2035</v>
      </c>
      <c r="W86" s="374"/>
      <c r="X86" s="374"/>
      <c r="Y86" s="374"/>
    </row>
    <row r="87" spans="1:25" x14ac:dyDescent="0.2">
      <c r="A87" s="264"/>
      <c r="B87" s="268" t="str">
        <f>$B$6</f>
        <v>FT</v>
      </c>
      <c r="C87" s="268" t="str">
        <f>$C$6</f>
        <v>PT</v>
      </c>
      <c r="D87" s="268" t="str">
        <f>$D$6</f>
        <v>SE</v>
      </c>
      <c r="E87" s="268" t="str">
        <f>$E$6</f>
        <v>Total</v>
      </c>
      <c r="F87" s="268"/>
      <c r="G87" s="268" t="str">
        <f>$B$6</f>
        <v>FT</v>
      </c>
      <c r="H87" s="268" t="str">
        <f>$C$6</f>
        <v>PT</v>
      </c>
      <c r="I87" s="268" t="str">
        <f>$D$6</f>
        <v>SE</v>
      </c>
      <c r="J87" s="268" t="str">
        <f>$E$6</f>
        <v>Total</v>
      </c>
      <c r="K87" s="268"/>
      <c r="L87" s="268" t="str">
        <f>$L$6</f>
        <v>FT</v>
      </c>
      <c r="M87" s="268" t="str">
        <f>$M$6</f>
        <v>PT</v>
      </c>
      <c r="N87" s="268" t="str">
        <f>$N$6</f>
        <v>SE</v>
      </c>
      <c r="O87" s="268" t="str">
        <f>$O$6</f>
        <v>Total</v>
      </c>
      <c r="P87" s="268"/>
      <c r="Q87" s="268" t="str">
        <f>$L$6</f>
        <v>FT</v>
      </c>
      <c r="R87" s="268" t="str">
        <f>$M$6</f>
        <v>PT</v>
      </c>
      <c r="S87" s="268" t="str">
        <f>$N$6</f>
        <v>SE</v>
      </c>
      <c r="T87" s="268" t="str">
        <f>$O$6</f>
        <v>Total</v>
      </c>
      <c r="U87" s="268"/>
      <c r="V87" s="268" t="str">
        <f>$V$6</f>
        <v>FT</v>
      </c>
      <c r="W87" s="268" t="str">
        <f>$W$6</f>
        <v>PT</v>
      </c>
      <c r="X87" s="268" t="str">
        <f>$X$6</f>
        <v>SE</v>
      </c>
      <c r="Y87" s="268" t="str">
        <f>$Y$6</f>
        <v>Total</v>
      </c>
    </row>
    <row r="88" spans="1:25" x14ac:dyDescent="0.2">
      <c r="C88" s="319"/>
      <c r="D88" s="319"/>
      <c r="E88" s="319"/>
      <c r="F88" s="319"/>
      <c r="G88" s="319"/>
      <c r="H88" s="319"/>
      <c r="I88" s="319"/>
      <c r="J88" s="319"/>
      <c r="K88" s="319"/>
      <c r="L88" s="319"/>
      <c r="M88" s="319"/>
      <c r="N88" s="319"/>
      <c r="O88" s="319"/>
      <c r="P88" s="319"/>
      <c r="Q88" s="319"/>
      <c r="R88" s="319"/>
      <c r="S88" s="319"/>
      <c r="T88" s="319"/>
      <c r="U88" s="319"/>
      <c r="V88" s="319"/>
      <c r="W88" s="319"/>
      <c r="X88" s="319"/>
      <c r="Y88" s="319"/>
    </row>
    <row r="89" spans="1:25" x14ac:dyDescent="0.2">
      <c r="A89" s="260" t="s">
        <v>365</v>
      </c>
      <c r="B89" s="300">
        <v>4.0821873089920286</v>
      </c>
      <c r="C89" s="300">
        <v>2.2532242972649135</v>
      </c>
      <c r="D89" s="300">
        <v>0.3956138666318893</v>
      </c>
      <c r="E89" s="300">
        <f>SUM(B89:D89)</f>
        <v>6.731025472888831</v>
      </c>
      <c r="F89" s="300"/>
      <c r="G89" s="300">
        <v>4.5783775773319748</v>
      </c>
      <c r="H89" s="300">
        <v>2.731058906072275</v>
      </c>
      <c r="I89" s="300">
        <v>0.61097093003310865</v>
      </c>
      <c r="J89" s="300">
        <f>SUM(G89:I89)</f>
        <v>7.9204074134373581</v>
      </c>
      <c r="K89" s="300"/>
      <c r="L89" s="300">
        <v>4.4794296711576793</v>
      </c>
      <c r="M89" s="300">
        <v>2.6909622556743522</v>
      </c>
      <c r="N89" s="300">
        <v>0.24783396717513093</v>
      </c>
      <c r="O89" s="300">
        <f>SUM(L89:N89)</f>
        <v>7.418225894007163</v>
      </c>
      <c r="P89" s="300"/>
      <c r="Q89" s="300">
        <v>4.7023664043900304</v>
      </c>
      <c r="R89" s="300">
        <v>2.9037998950307156</v>
      </c>
      <c r="S89" s="300">
        <v>0.25165527087350847</v>
      </c>
      <c r="T89" s="300">
        <f>SUM(Q89:S89)</f>
        <v>7.857821570294254</v>
      </c>
      <c r="U89" s="300"/>
      <c r="V89" s="300">
        <v>4.8844931670626659</v>
      </c>
      <c r="W89" s="300">
        <v>3.1467595478951504</v>
      </c>
      <c r="X89" s="300">
        <v>0.24844671983405217</v>
      </c>
      <c r="Y89" s="300">
        <f>SUM(V89:X89)</f>
        <v>8.2796994347918673</v>
      </c>
    </row>
    <row r="90" spans="1:25" x14ac:dyDescent="0.2">
      <c r="A90" s="260" t="s">
        <v>364</v>
      </c>
      <c r="B90" s="300">
        <v>17.003710372094954</v>
      </c>
      <c r="C90" s="300">
        <v>1.7314220443521799</v>
      </c>
      <c r="D90" s="300">
        <v>4.62984211066403</v>
      </c>
      <c r="E90" s="300">
        <f t="shared" ref="E90:E91" si="134">SUM(B90:D90)</f>
        <v>23.364974527111162</v>
      </c>
      <c r="F90" s="300"/>
      <c r="G90" s="300">
        <v>16.045863025627529</v>
      </c>
      <c r="H90" s="300">
        <v>2.4083402371655698</v>
      </c>
      <c r="I90" s="300">
        <v>5.6143893237694478</v>
      </c>
      <c r="J90" s="300">
        <f t="shared" ref="J90:J91" si="135">SUM(G90:I90)</f>
        <v>24.068592586562549</v>
      </c>
      <c r="K90" s="300"/>
      <c r="L90" s="300">
        <v>16.466603407003291</v>
      </c>
      <c r="M90" s="300">
        <v>2.6546674451181551</v>
      </c>
      <c r="N90" s="300">
        <v>2.8035032538713698</v>
      </c>
      <c r="O90" s="300">
        <f t="shared" ref="O90:O91" si="136">SUM(L90:N90)</f>
        <v>21.924774105992814</v>
      </c>
      <c r="P90" s="300"/>
      <c r="Q90" s="300">
        <v>17.233746290325485</v>
      </c>
      <c r="R90" s="300">
        <v>2.8092041051452172</v>
      </c>
      <c r="S90" s="300">
        <v>2.9492280342349635</v>
      </c>
      <c r="T90" s="300">
        <f t="shared" ref="T90:T91" si="137">SUM(Q90:S90)</f>
        <v>22.992178429705664</v>
      </c>
      <c r="U90" s="300"/>
      <c r="V90" s="300">
        <v>17.029120626753706</v>
      </c>
      <c r="W90" s="300">
        <v>2.9285500340843509</v>
      </c>
      <c r="X90" s="300">
        <v>3.0556299043700434</v>
      </c>
      <c r="Y90" s="300">
        <f t="shared" ref="Y90:Y91" si="138">SUM(V90:X90)</f>
        <v>23.013300565208098</v>
      </c>
    </row>
    <row r="91" spans="1:25" x14ac:dyDescent="0.2">
      <c r="A91" s="264" t="s">
        <v>363</v>
      </c>
      <c r="B91" s="301">
        <f>SUM(B89:B90)</f>
        <v>21.085897681086983</v>
      </c>
      <c r="C91" s="301">
        <f t="shared" ref="C91" si="139">SUM(C89:C90)</f>
        <v>3.9846463416170934</v>
      </c>
      <c r="D91" s="301">
        <f t="shared" ref="D91" si="140">SUM(D89:D90)</f>
        <v>5.0254559772959189</v>
      </c>
      <c r="E91" s="301">
        <f t="shared" si="134"/>
        <v>30.095999999999997</v>
      </c>
      <c r="F91" s="301"/>
      <c r="G91" s="301">
        <f>SUM(G89:G90)</f>
        <v>20.624240602959503</v>
      </c>
      <c r="H91" s="301">
        <f t="shared" ref="H91" si="141">SUM(H89:H90)</f>
        <v>5.1393991432378447</v>
      </c>
      <c r="I91" s="301">
        <f t="shared" ref="I91" si="142">SUM(I89:I90)</f>
        <v>6.2253602538025561</v>
      </c>
      <c r="J91" s="301">
        <f t="shared" si="135"/>
        <v>31.988999999999905</v>
      </c>
      <c r="K91" s="301"/>
      <c r="L91" s="301">
        <f>SUM(L89:L90)</f>
        <v>20.946033078160969</v>
      </c>
      <c r="M91" s="301">
        <f t="shared" ref="M91" si="143">SUM(M89:M90)</f>
        <v>5.3456297007925073</v>
      </c>
      <c r="N91" s="301">
        <f t="shared" ref="N91" si="144">SUM(N89:N90)</f>
        <v>3.0513372210465008</v>
      </c>
      <c r="O91" s="301">
        <f t="shared" si="136"/>
        <v>29.342999999999979</v>
      </c>
      <c r="P91" s="301"/>
      <c r="Q91" s="301">
        <f>SUM(Q89:Q90)</f>
        <v>21.936112694715515</v>
      </c>
      <c r="R91" s="301">
        <f t="shared" ref="R91" si="145">SUM(R89:R90)</f>
        <v>5.7130040001759328</v>
      </c>
      <c r="S91" s="301">
        <f t="shared" ref="S91" si="146">SUM(S89:S90)</f>
        <v>3.200883305108472</v>
      </c>
      <c r="T91" s="301">
        <f t="shared" si="137"/>
        <v>30.84999999999992</v>
      </c>
      <c r="U91" s="301"/>
      <c r="V91" s="301">
        <f>SUM(V89:V90)</f>
        <v>21.913613793816371</v>
      </c>
      <c r="W91" s="301">
        <f t="shared" ref="W91" si="147">SUM(W89:W90)</f>
        <v>6.0753095819795018</v>
      </c>
      <c r="X91" s="301">
        <f t="shared" ref="X91" si="148">SUM(X89:X90)</f>
        <v>3.3040766242040958</v>
      </c>
      <c r="Y91" s="301">
        <f t="shared" si="138"/>
        <v>31.292999999999967</v>
      </c>
    </row>
    <row r="92" spans="1:25" x14ac:dyDescent="0.2">
      <c r="C92" s="263"/>
    </row>
    <row r="93" spans="1:25" x14ac:dyDescent="0.2">
      <c r="C93" s="263"/>
    </row>
    <row r="94" spans="1:25" x14ac:dyDescent="0.2">
      <c r="C94" s="263"/>
    </row>
    <row r="95" spans="1:25" ht="15" x14ac:dyDescent="0.25">
      <c r="A95" s="265" t="str">
        <f>"Industry 11 : "&amp; name!B14</f>
        <v>Industry 11 : Accommodation and food</v>
      </c>
      <c r="B95" s="374">
        <f>$B$5</f>
        <v>2015</v>
      </c>
      <c r="C95" s="374"/>
      <c r="D95" s="374"/>
      <c r="E95" s="374"/>
      <c r="F95" s="320"/>
      <c r="G95" s="374">
        <f>$G$5</f>
        <v>2019</v>
      </c>
      <c r="H95" s="374"/>
      <c r="I95" s="374"/>
      <c r="J95" s="374"/>
      <c r="K95" s="320"/>
      <c r="L95" s="374">
        <f>$L$5</f>
        <v>2020</v>
      </c>
      <c r="M95" s="374"/>
      <c r="N95" s="374"/>
      <c r="O95" s="374"/>
      <c r="P95" s="318"/>
      <c r="Q95" s="374">
        <f>$Q$5</f>
        <v>2025</v>
      </c>
      <c r="R95" s="374"/>
      <c r="S95" s="374"/>
      <c r="T95" s="374"/>
      <c r="U95" s="320"/>
      <c r="V95" s="374">
        <f>$V$5</f>
        <v>2035</v>
      </c>
      <c r="W95" s="374"/>
      <c r="X95" s="374"/>
      <c r="Y95" s="374"/>
    </row>
    <row r="96" spans="1:25" x14ac:dyDescent="0.2">
      <c r="A96" s="264"/>
      <c r="B96" s="268" t="str">
        <f>$B$6</f>
        <v>FT</v>
      </c>
      <c r="C96" s="268" t="str">
        <f>$C$6</f>
        <v>PT</v>
      </c>
      <c r="D96" s="268" t="str">
        <f>$D$6</f>
        <v>SE</v>
      </c>
      <c r="E96" s="268" t="str">
        <f>$E$6</f>
        <v>Total</v>
      </c>
      <c r="F96" s="268"/>
      <c r="G96" s="268" t="str">
        <f>$B$6</f>
        <v>FT</v>
      </c>
      <c r="H96" s="268" t="str">
        <f>$C$6</f>
        <v>PT</v>
      </c>
      <c r="I96" s="268" t="str">
        <f>$D$6</f>
        <v>SE</v>
      </c>
      <c r="J96" s="268" t="str">
        <f>$E$6</f>
        <v>Total</v>
      </c>
      <c r="K96" s="268"/>
      <c r="L96" s="268" t="str">
        <f>$L$6</f>
        <v>FT</v>
      </c>
      <c r="M96" s="268" t="str">
        <f>$M$6</f>
        <v>PT</v>
      </c>
      <c r="N96" s="268" t="str">
        <f>$N$6</f>
        <v>SE</v>
      </c>
      <c r="O96" s="268" t="str">
        <f>$O$6</f>
        <v>Total</v>
      </c>
      <c r="P96" s="268"/>
      <c r="Q96" s="268" t="str">
        <f>$L$6</f>
        <v>FT</v>
      </c>
      <c r="R96" s="268" t="str">
        <f>$M$6</f>
        <v>PT</v>
      </c>
      <c r="S96" s="268" t="str">
        <f>$N$6</f>
        <v>SE</v>
      </c>
      <c r="T96" s="268" t="str">
        <f>$O$6</f>
        <v>Total</v>
      </c>
      <c r="U96" s="268"/>
      <c r="V96" s="268" t="str">
        <f>$V$6</f>
        <v>FT</v>
      </c>
      <c r="W96" s="268" t="str">
        <f>$W$6</f>
        <v>PT</v>
      </c>
      <c r="X96" s="268" t="str">
        <f>$X$6</f>
        <v>SE</v>
      </c>
      <c r="Y96" s="268" t="str">
        <f>$Y$6</f>
        <v>Total</v>
      </c>
    </row>
    <row r="97" spans="1:25" x14ac:dyDescent="0.2">
      <c r="C97" s="319"/>
      <c r="D97" s="319"/>
      <c r="E97" s="319"/>
      <c r="F97" s="319"/>
      <c r="G97" s="319"/>
      <c r="H97" s="319"/>
      <c r="I97" s="319"/>
      <c r="J97" s="319"/>
      <c r="K97" s="319"/>
      <c r="L97" s="319"/>
      <c r="M97" s="319"/>
      <c r="N97" s="319"/>
      <c r="O97" s="319"/>
      <c r="P97" s="319"/>
      <c r="Q97" s="319"/>
      <c r="R97" s="319"/>
      <c r="S97" s="319"/>
      <c r="T97" s="319"/>
      <c r="U97" s="319"/>
      <c r="V97" s="319"/>
      <c r="W97" s="319"/>
      <c r="X97" s="319"/>
      <c r="Y97" s="319"/>
    </row>
    <row r="98" spans="1:25" x14ac:dyDescent="0.2">
      <c r="A98" s="260" t="s">
        <v>365</v>
      </c>
      <c r="B98" s="300">
        <v>10.847235505608385</v>
      </c>
      <c r="C98" s="300">
        <v>17.631234144529973</v>
      </c>
      <c r="D98" s="300">
        <v>1.2256742532199947</v>
      </c>
      <c r="E98" s="300">
        <f>SUM(B98:D98)</f>
        <v>29.704143903358354</v>
      </c>
      <c r="F98" s="300"/>
      <c r="G98" s="300">
        <v>11.210869577783873</v>
      </c>
      <c r="H98" s="300">
        <v>18.664527965239238</v>
      </c>
      <c r="I98" s="300">
        <v>1.5993013520105093</v>
      </c>
      <c r="J98" s="300">
        <f>SUM(G98:I98)</f>
        <v>31.474698895033622</v>
      </c>
      <c r="K98" s="300"/>
      <c r="L98" s="300">
        <v>10.691817014951914</v>
      </c>
      <c r="M98" s="300">
        <v>18.272567075133622</v>
      </c>
      <c r="N98" s="300">
        <v>1.0398142345101367</v>
      </c>
      <c r="O98" s="300">
        <f>SUM(L98:N98)</f>
        <v>30.004198324595674</v>
      </c>
      <c r="P98" s="300"/>
      <c r="Q98" s="300">
        <v>11.346455834943844</v>
      </c>
      <c r="R98" s="300">
        <v>19.256820673902379</v>
      </c>
      <c r="S98" s="300">
        <v>1.1173425360418041</v>
      </c>
      <c r="T98" s="300">
        <f>SUM(Q98:S98)</f>
        <v>31.720619044888025</v>
      </c>
      <c r="U98" s="300"/>
      <c r="V98" s="300">
        <v>13.078806888325071</v>
      </c>
      <c r="W98" s="300">
        <v>22.079112932192679</v>
      </c>
      <c r="X98" s="300">
        <v>1.2907251460749625</v>
      </c>
      <c r="Y98" s="300">
        <f>SUM(V98:X98)</f>
        <v>36.44864496659271</v>
      </c>
    </row>
    <row r="99" spans="1:25" x14ac:dyDescent="0.2">
      <c r="A99" s="260" t="s">
        <v>364</v>
      </c>
      <c r="B99" s="300">
        <v>14.362830685292508</v>
      </c>
      <c r="C99" s="300">
        <v>11.238408139836594</v>
      </c>
      <c r="D99" s="300">
        <v>1.3476172715125418</v>
      </c>
      <c r="E99" s="300">
        <f t="shared" ref="E99:E100" si="149">SUM(B99:D99)</f>
        <v>26.948856096641641</v>
      </c>
      <c r="F99" s="300"/>
      <c r="G99" s="300">
        <v>14.854432835176468</v>
      </c>
      <c r="H99" s="300">
        <v>12.787231208324149</v>
      </c>
      <c r="I99" s="300">
        <v>1.9276370614658427</v>
      </c>
      <c r="J99" s="300">
        <f t="shared" ref="J99:J100" si="150">SUM(G99:I99)</f>
        <v>29.56930110496646</v>
      </c>
      <c r="K99" s="300"/>
      <c r="L99" s="300">
        <v>12.558910874535067</v>
      </c>
      <c r="M99" s="300">
        <v>13.100368093794218</v>
      </c>
      <c r="N99" s="300">
        <v>0.69152270707493346</v>
      </c>
      <c r="O99" s="300">
        <f t="shared" ref="O99:O100" si="151">SUM(L99:N99)</f>
        <v>26.35080167540422</v>
      </c>
      <c r="P99" s="300"/>
      <c r="Q99" s="300">
        <v>13.355921078793092</v>
      </c>
      <c r="R99" s="300">
        <v>13.761001531111082</v>
      </c>
      <c r="S99" s="300">
        <v>0.74045834520783005</v>
      </c>
      <c r="T99" s="300">
        <f t="shared" ref="T99:T100" si="152">SUM(Q99:S99)</f>
        <v>27.857380955112003</v>
      </c>
      <c r="U99" s="300"/>
      <c r="V99" s="300">
        <v>15.549416842655999</v>
      </c>
      <c r="W99" s="300">
        <v>15.803396534251103</v>
      </c>
      <c r="X99" s="300">
        <v>0.85654165650017056</v>
      </c>
      <c r="Y99" s="300">
        <f t="shared" ref="Y99:Y100" si="153">SUM(V99:X99)</f>
        <v>32.20935503340727</v>
      </c>
    </row>
    <row r="100" spans="1:25" x14ac:dyDescent="0.2">
      <c r="A100" s="264" t="s">
        <v>363</v>
      </c>
      <c r="B100" s="301">
        <f>SUM(B98:B99)</f>
        <v>25.210066190900893</v>
      </c>
      <c r="C100" s="301">
        <f t="shared" ref="C100" si="154">SUM(C98:C99)</f>
        <v>28.869642284366567</v>
      </c>
      <c r="D100" s="301">
        <f t="shared" ref="D100" si="155">SUM(D98:D99)</f>
        <v>2.5732915247325368</v>
      </c>
      <c r="E100" s="301">
        <f t="shared" si="149"/>
        <v>56.652999999999999</v>
      </c>
      <c r="F100" s="301"/>
      <c r="G100" s="301">
        <f>SUM(G98:G99)</f>
        <v>26.065302412960342</v>
      </c>
      <c r="H100" s="301">
        <f t="shared" ref="H100" si="156">SUM(H98:H99)</f>
        <v>31.451759173563389</v>
      </c>
      <c r="I100" s="301">
        <f t="shared" ref="I100" si="157">SUM(I98:I99)</f>
        <v>3.5269384134763522</v>
      </c>
      <c r="J100" s="301">
        <f t="shared" si="150"/>
        <v>61.044000000000082</v>
      </c>
      <c r="K100" s="301"/>
      <c r="L100" s="301">
        <f>SUM(L98:L99)</f>
        <v>23.250727889486981</v>
      </c>
      <c r="M100" s="301">
        <f t="shared" ref="M100" si="158">SUM(M98:M99)</f>
        <v>31.372935168927839</v>
      </c>
      <c r="N100" s="301">
        <f t="shared" ref="N100" si="159">SUM(N98:N99)</f>
        <v>1.7313369415850701</v>
      </c>
      <c r="O100" s="301">
        <f t="shared" si="151"/>
        <v>56.35499999999989</v>
      </c>
      <c r="P100" s="301"/>
      <c r="Q100" s="301">
        <f>SUM(Q98:Q99)</f>
        <v>24.702376913736934</v>
      </c>
      <c r="R100" s="301">
        <f t="shared" ref="R100" si="160">SUM(R98:R99)</f>
        <v>33.017822205013459</v>
      </c>
      <c r="S100" s="301">
        <f t="shared" ref="S100" si="161">SUM(S98:S99)</f>
        <v>1.8578008812496343</v>
      </c>
      <c r="T100" s="301">
        <f t="shared" si="152"/>
        <v>59.578000000000031</v>
      </c>
      <c r="U100" s="301"/>
      <c r="V100" s="301">
        <f>SUM(V98:V99)</f>
        <v>28.62822373098107</v>
      </c>
      <c r="W100" s="301">
        <f t="shared" ref="W100" si="162">SUM(W98:W99)</f>
        <v>37.882509466443778</v>
      </c>
      <c r="X100" s="301">
        <f t="shared" ref="X100" si="163">SUM(X98:X99)</f>
        <v>2.1472668025751331</v>
      </c>
      <c r="Y100" s="301">
        <f t="shared" si="153"/>
        <v>68.657999999999987</v>
      </c>
    </row>
    <row r="101" spans="1:25" x14ac:dyDescent="0.2">
      <c r="C101" s="263"/>
    </row>
    <row r="102" spans="1:25" x14ac:dyDescent="0.2">
      <c r="C102" s="263"/>
    </row>
    <row r="103" spans="1:25" x14ac:dyDescent="0.2">
      <c r="C103" s="263"/>
    </row>
    <row r="104" spans="1:25" ht="15" x14ac:dyDescent="0.25">
      <c r="A104" s="265" t="str">
        <f>"Industry 12 : "&amp; name!B15</f>
        <v>Industry 12 : Media</v>
      </c>
      <c r="B104" s="374">
        <f>$B$5</f>
        <v>2015</v>
      </c>
      <c r="C104" s="374"/>
      <c r="D104" s="374"/>
      <c r="E104" s="374"/>
      <c r="F104" s="320"/>
      <c r="G104" s="374">
        <f>$G$5</f>
        <v>2019</v>
      </c>
      <c r="H104" s="374"/>
      <c r="I104" s="374"/>
      <c r="J104" s="374"/>
      <c r="K104" s="320"/>
      <c r="L104" s="374">
        <f>$L$5</f>
        <v>2020</v>
      </c>
      <c r="M104" s="374"/>
      <c r="N104" s="374"/>
      <c r="O104" s="374"/>
      <c r="P104" s="318"/>
      <c r="Q104" s="374">
        <f>$Q$5</f>
        <v>2025</v>
      </c>
      <c r="R104" s="374"/>
      <c r="S104" s="374"/>
      <c r="T104" s="374"/>
      <c r="U104" s="320"/>
      <c r="V104" s="374">
        <f>$V$5</f>
        <v>2035</v>
      </c>
      <c r="W104" s="374"/>
      <c r="X104" s="374"/>
      <c r="Y104" s="374"/>
    </row>
    <row r="105" spans="1:25" x14ac:dyDescent="0.2">
      <c r="A105" s="264"/>
      <c r="B105" s="268" t="str">
        <f>$B$6</f>
        <v>FT</v>
      </c>
      <c r="C105" s="268" t="str">
        <f>$C$6</f>
        <v>PT</v>
      </c>
      <c r="D105" s="268" t="str">
        <f>$D$6</f>
        <v>SE</v>
      </c>
      <c r="E105" s="268" t="str">
        <f>$E$6</f>
        <v>Total</v>
      </c>
      <c r="F105" s="268"/>
      <c r="G105" s="268" t="str">
        <f>$B$6</f>
        <v>FT</v>
      </c>
      <c r="H105" s="268" t="str">
        <f>$C$6</f>
        <v>PT</v>
      </c>
      <c r="I105" s="268" t="str">
        <f>$D$6</f>
        <v>SE</v>
      </c>
      <c r="J105" s="268" t="str">
        <f>$E$6</f>
        <v>Total</v>
      </c>
      <c r="K105" s="268"/>
      <c r="L105" s="268" t="str">
        <f>$L$6</f>
        <v>FT</v>
      </c>
      <c r="M105" s="268" t="str">
        <f>$M$6</f>
        <v>PT</v>
      </c>
      <c r="N105" s="268" t="str">
        <f>$N$6</f>
        <v>SE</v>
      </c>
      <c r="O105" s="268" t="str">
        <f>$O$6</f>
        <v>Total</v>
      </c>
      <c r="P105" s="268"/>
      <c r="Q105" s="268" t="str">
        <f>$L$6</f>
        <v>FT</v>
      </c>
      <c r="R105" s="268" t="str">
        <f>$M$6</f>
        <v>PT</v>
      </c>
      <c r="S105" s="268" t="str">
        <f>$N$6</f>
        <v>SE</v>
      </c>
      <c r="T105" s="268" t="str">
        <f>$O$6</f>
        <v>Total</v>
      </c>
      <c r="U105" s="268"/>
      <c r="V105" s="268" t="str">
        <f>$V$6</f>
        <v>FT</v>
      </c>
      <c r="W105" s="268" t="str">
        <f>$W$6</f>
        <v>PT</v>
      </c>
      <c r="X105" s="268" t="str">
        <f>$X$6</f>
        <v>SE</v>
      </c>
      <c r="Y105" s="268" t="str">
        <f>$Y$6</f>
        <v>Total</v>
      </c>
    </row>
    <row r="106" spans="1:25" x14ac:dyDescent="0.2">
      <c r="C106" s="319"/>
      <c r="D106" s="319"/>
      <c r="E106" s="319"/>
      <c r="F106" s="319"/>
      <c r="G106" s="319"/>
      <c r="H106" s="319"/>
      <c r="I106" s="319"/>
      <c r="J106" s="319"/>
      <c r="K106" s="319"/>
      <c r="L106" s="319"/>
      <c r="M106" s="319"/>
      <c r="N106" s="319"/>
      <c r="O106" s="319"/>
      <c r="P106" s="319"/>
      <c r="Q106" s="319"/>
      <c r="R106" s="319"/>
      <c r="S106" s="319"/>
      <c r="T106" s="319"/>
      <c r="U106" s="319"/>
      <c r="V106" s="319"/>
      <c r="W106" s="319"/>
      <c r="X106" s="319"/>
      <c r="Y106" s="319"/>
    </row>
    <row r="107" spans="1:25" x14ac:dyDescent="0.2">
      <c r="A107" s="260" t="s">
        <v>365</v>
      </c>
      <c r="B107" s="300">
        <v>2.0386399837831011</v>
      </c>
      <c r="C107" s="300">
        <v>0.72724546643274812</v>
      </c>
      <c r="D107" s="300">
        <v>0.68897722628706848</v>
      </c>
      <c r="E107" s="300">
        <f>SUM(B107:D107)</f>
        <v>3.454862676502918</v>
      </c>
      <c r="F107" s="300"/>
      <c r="G107" s="300">
        <v>1.2580653021840713</v>
      </c>
      <c r="H107" s="300">
        <v>0.64683546199324349</v>
      </c>
      <c r="I107" s="300">
        <v>0.33217784427606256</v>
      </c>
      <c r="J107" s="300">
        <f>SUM(G107:I107)</f>
        <v>2.2370786084533774</v>
      </c>
      <c r="K107" s="300"/>
      <c r="L107" s="300">
        <v>1.3762504596892198</v>
      </c>
      <c r="M107" s="300">
        <v>0.67480484855679257</v>
      </c>
      <c r="N107" s="300">
        <v>1.0071058501544292</v>
      </c>
      <c r="O107" s="300">
        <f>SUM(L107:N107)</f>
        <v>3.0581611584004418</v>
      </c>
      <c r="P107" s="300"/>
      <c r="Q107" s="300">
        <v>1.3220281235255402</v>
      </c>
      <c r="R107" s="300">
        <v>0.65797247753849764</v>
      </c>
      <c r="S107" s="300">
        <v>0.95802829877471829</v>
      </c>
      <c r="T107" s="300">
        <f>SUM(Q107:S107)</f>
        <v>2.938028899838756</v>
      </c>
      <c r="U107" s="300"/>
      <c r="V107" s="300">
        <v>1.3036307318321709</v>
      </c>
      <c r="W107" s="300">
        <v>0.64482482088192072</v>
      </c>
      <c r="X107" s="300">
        <v>0.89648444216997836</v>
      </c>
      <c r="Y107" s="300">
        <f>SUM(V107:X107)</f>
        <v>2.8449399948840699</v>
      </c>
    </row>
    <row r="108" spans="1:25" x14ac:dyDescent="0.2">
      <c r="A108" s="260" t="s">
        <v>364</v>
      </c>
      <c r="B108" s="300">
        <v>2.6159394664453872</v>
      </c>
      <c r="C108" s="300">
        <v>0.68019191045333038</v>
      </c>
      <c r="D108" s="300">
        <v>1.3370059465983615</v>
      </c>
      <c r="E108" s="300">
        <f t="shared" ref="E108:E109" si="164">SUM(B108:D108)</f>
        <v>4.6331373234970794</v>
      </c>
      <c r="F108" s="300"/>
      <c r="G108" s="300">
        <v>1.706526585789891</v>
      </c>
      <c r="H108" s="300">
        <v>0.60275231123307449</v>
      </c>
      <c r="I108" s="300">
        <v>0.74164249452366038</v>
      </c>
      <c r="J108" s="300">
        <f t="shared" ref="J108:J109" si="165">SUM(G108:I108)</f>
        <v>3.050921391546626</v>
      </c>
      <c r="K108" s="300"/>
      <c r="L108" s="300">
        <v>1.6728415029540729</v>
      </c>
      <c r="M108" s="300">
        <v>0.52771382948364853</v>
      </c>
      <c r="N108" s="300">
        <v>0.59828350916183859</v>
      </c>
      <c r="O108" s="300">
        <f t="shared" ref="O108:O109" si="166">SUM(L108:N108)</f>
        <v>2.7988388415995598</v>
      </c>
      <c r="P108" s="300"/>
      <c r="Q108" s="300">
        <v>1.6000147754732696</v>
      </c>
      <c r="R108" s="300">
        <v>0.53178209912175856</v>
      </c>
      <c r="S108" s="300">
        <v>0.57917422556621267</v>
      </c>
      <c r="T108" s="300">
        <f t="shared" ref="T108:T109" si="167">SUM(Q108:S108)</f>
        <v>2.7109711001612409</v>
      </c>
      <c r="U108" s="300"/>
      <c r="V108" s="300">
        <v>1.5479467502326594</v>
      </c>
      <c r="W108" s="300">
        <v>0.55444201638063251</v>
      </c>
      <c r="X108" s="300">
        <v>0.5716712385026389</v>
      </c>
      <c r="Y108" s="300">
        <f t="shared" ref="Y108:Y109" si="168">SUM(V108:X108)</f>
        <v>2.6740600051159307</v>
      </c>
    </row>
    <row r="109" spans="1:25" x14ac:dyDescent="0.2">
      <c r="A109" s="264" t="s">
        <v>363</v>
      </c>
      <c r="B109" s="301">
        <f>SUM(B107:B108)</f>
        <v>4.6545794502284883</v>
      </c>
      <c r="C109" s="301">
        <f t="shared" ref="C109" si="169">SUM(C107:C108)</f>
        <v>1.4074373768860786</v>
      </c>
      <c r="D109" s="301">
        <f t="shared" ref="D109" si="170">SUM(D107:D108)</f>
        <v>2.0259831728854301</v>
      </c>
      <c r="E109" s="301">
        <f t="shared" si="164"/>
        <v>8.0879999999999974</v>
      </c>
      <c r="F109" s="301"/>
      <c r="G109" s="301">
        <f>SUM(G107:G108)</f>
        <v>2.9645918879739623</v>
      </c>
      <c r="H109" s="301">
        <f t="shared" ref="H109" si="171">SUM(H107:H108)</f>
        <v>1.2495877732263181</v>
      </c>
      <c r="I109" s="301">
        <f t="shared" ref="I109" si="172">SUM(I107:I108)</f>
        <v>1.0738203387997229</v>
      </c>
      <c r="J109" s="301">
        <f t="shared" si="165"/>
        <v>5.2880000000000029</v>
      </c>
      <c r="K109" s="301"/>
      <c r="L109" s="301">
        <f>SUM(L107:L108)</f>
        <v>3.0490919626432929</v>
      </c>
      <c r="M109" s="301">
        <f t="shared" ref="M109" si="173">SUM(M107:M108)</f>
        <v>1.2025186780404411</v>
      </c>
      <c r="N109" s="301">
        <f t="shared" ref="N109" si="174">SUM(N107:N108)</f>
        <v>1.6053893593162678</v>
      </c>
      <c r="O109" s="301">
        <f t="shared" si="166"/>
        <v>5.857000000000002</v>
      </c>
      <c r="P109" s="301"/>
      <c r="Q109" s="301">
        <f>SUM(Q107:Q108)</f>
        <v>2.9220428989988099</v>
      </c>
      <c r="R109" s="301">
        <f t="shared" ref="R109" si="175">SUM(R107:R108)</f>
        <v>1.1897545766602562</v>
      </c>
      <c r="S109" s="301">
        <f t="shared" ref="S109" si="176">SUM(S107:S108)</f>
        <v>1.5372025243409309</v>
      </c>
      <c r="T109" s="301">
        <f t="shared" si="167"/>
        <v>5.6489999999999974</v>
      </c>
      <c r="U109" s="301"/>
      <c r="V109" s="301">
        <f>SUM(V107:V108)</f>
        <v>2.8515774820648305</v>
      </c>
      <c r="W109" s="301">
        <f t="shared" ref="W109" si="177">SUM(W107:W108)</f>
        <v>1.1992668372625532</v>
      </c>
      <c r="X109" s="301">
        <f t="shared" ref="X109" si="178">SUM(X107:X108)</f>
        <v>1.4681556806726173</v>
      </c>
      <c r="Y109" s="301">
        <f t="shared" si="168"/>
        <v>5.519000000000001</v>
      </c>
    </row>
    <row r="110" spans="1:25" x14ac:dyDescent="0.2">
      <c r="C110" s="263"/>
    </row>
    <row r="111" spans="1:25" x14ac:dyDescent="0.2">
      <c r="C111" s="263"/>
    </row>
    <row r="112" spans="1:25" x14ac:dyDescent="0.2">
      <c r="A112" s="262"/>
    </row>
    <row r="113" spans="1:25" ht="15" x14ac:dyDescent="0.25">
      <c r="A113" s="265" t="str">
        <f>"Industry 13 : "&amp; name!B16</f>
        <v>Industry 13 : Information technology</v>
      </c>
      <c r="B113" s="374">
        <f>$B$5</f>
        <v>2015</v>
      </c>
      <c r="C113" s="374"/>
      <c r="D113" s="374"/>
      <c r="E113" s="374"/>
      <c r="F113" s="320"/>
      <c r="G113" s="374">
        <f>$G$5</f>
        <v>2019</v>
      </c>
      <c r="H113" s="374"/>
      <c r="I113" s="374"/>
      <c r="J113" s="374"/>
      <c r="K113" s="320"/>
      <c r="L113" s="374">
        <f>$L$5</f>
        <v>2020</v>
      </c>
      <c r="M113" s="374"/>
      <c r="N113" s="374"/>
      <c r="O113" s="374"/>
      <c r="P113" s="318"/>
      <c r="Q113" s="374">
        <f>$Q$5</f>
        <v>2025</v>
      </c>
      <c r="R113" s="374"/>
      <c r="S113" s="374"/>
      <c r="T113" s="374"/>
      <c r="U113" s="320"/>
      <c r="V113" s="374">
        <f>$V$5</f>
        <v>2035</v>
      </c>
      <c r="W113" s="374"/>
      <c r="X113" s="374"/>
      <c r="Y113" s="374"/>
    </row>
    <row r="114" spans="1:25" x14ac:dyDescent="0.2">
      <c r="A114" s="264"/>
      <c r="B114" s="268" t="str">
        <f>$B$6</f>
        <v>FT</v>
      </c>
      <c r="C114" s="268" t="str">
        <f>$C$6</f>
        <v>PT</v>
      </c>
      <c r="D114" s="268" t="str">
        <f>$D$6</f>
        <v>SE</v>
      </c>
      <c r="E114" s="268" t="str">
        <f>$E$6</f>
        <v>Total</v>
      </c>
      <c r="F114" s="268"/>
      <c r="G114" s="268" t="str">
        <f>$B$6</f>
        <v>FT</v>
      </c>
      <c r="H114" s="268" t="str">
        <f>$C$6</f>
        <v>PT</v>
      </c>
      <c r="I114" s="268" t="str">
        <f>$D$6</f>
        <v>SE</v>
      </c>
      <c r="J114" s="268" t="str">
        <f>$E$6</f>
        <v>Total</v>
      </c>
      <c r="K114" s="268"/>
      <c r="L114" s="268" t="str">
        <f>$L$6</f>
        <v>FT</v>
      </c>
      <c r="M114" s="268" t="str">
        <f>$M$6</f>
        <v>PT</v>
      </c>
      <c r="N114" s="268" t="str">
        <f>$N$6</f>
        <v>SE</v>
      </c>
      <c r="O114" s="268" t="str">
        <f>$O$6</f>
        <v>Total</v>
      </c>
      <c r="P114" s="268"/>
      <c r="Q114" s="268" t="str">
        <f>$L$6</f>
        <v>FT</v>
      </c>
      <c r="R114" s="268" t="str">
        <f>$M$6</f>
        <v>PT</v>
      </c>
      <c r="S114" s="268" t="str">
        <f>$N$6</f>
        <v>SE</v>
      </c>
      <c r="T114" s="268" t="str">
        <f>$O$6</f>
        <v>Total</v>
      </c>
      <c r="U114" s="268"/>
      <c r="V114" s="268" t="str">
        <f>$V$6</f>
        <v>FT</v>
      </c>
      <c r="W114" s="268" t="str">
        <f>$W$6</f>
        <v>PT</v>
      </c>
      <c r="X114" s="268" t="str">
        <f>$X$6</f>
        <v>SE</v>
      </c>
      <c r="Y114" s="268" t="str">
        <f>$Y$6</f>
        <v>Total</v>
      </c>
    </row>
    <row r="115" spans="1:25" x14ac:dyDescent="0.2">
      <c r="C115" s="319"/>
      <c r="D115" s="319"/>
      <c r="E115" s="319"/>
      <c r="F115" s="319"/>
      <c r="G115" s="319"/>
      <c r="H115" s="319"/>
      <c r="I115" s="319"/>
      <c r="J115" s="319"/>
      <c r="K115" s="319"/>
      <c r="L115" s="319"/>
      <c r="M115" s="319"/>
      <c r="N115" s="319"/>
      <c r="O115" s="319"/>
      <c r="P115" s="319"/>
      <c r="Q115" s="319"/>
      <c r="R115" s="319"/>
      <c r="S115" s="319"/>
      <c r="T115" s="319"/>
      <c r="U115" s="319"/>
      <c r="V115" s="319"/>
      <c r="W115" s="319"/>
      <c r="X115" s="319"/>
      <c r="Y115" s="319"/>
    </row>
    <row r="116" spans="1:25" x14ac:dyDescent="0.2">
      <c r="A116" s="260" t="s">
        <v>365</v>
      </c>
      <c r="B116" s="300">
        <v>10.478902543563882</v>
      </c>
      <c r="C116" s="300">
        <v>2.8291718068297778</v>
      </c>
      <c r="D116" s="300">
        <v>1.2563299731160897</v>
      </c>
      <c r="E116" s="300">
        <f>SUM(B116:D116)</f>
        <v>14.56440432350975</v>
      </c>
      <c r="F116" s="300"/>
      <c r="G116" s="300">
        <v>10.095618241001588</v>
      </c>
      <c r="H116" s="300">
        <v>3.7368521624446145</v>
      </c>
      <c r="I116" s="300">
        <v>0.30444193361399202</v>
      </c>
      <c r="J116" s="300">
        <f>SUM(G116:I116)</f>
        <v>14.136912337060195</v>
      </c>
      <c r="K116" s="300"/>
      <c r="L116" s="300">
        <v>11.593390803847909</v>
      </c>
      <c r="M116" s="300">
        <v>3.0908580995426247</v>
      </c>
      <c r="N116" s="300">
        <v>1.6565041640199185</v>
      </c>
      <c r="O116" s="300">
        <f>SUM(L116:N116)</f>
        <v>16.34075306741045</v>
      </c>
      <c r="P116" s="300"/>
      <c r="Q116" s="300">
        <v>12.725476255120149</v>
      </c>
      <c r="R116" s="300">
        <v>3.2696224407476855</v>
      </c>
      <c r="S116" s="300">
        <v>1.8047107698334093</v>
      </c>
      <c r="T116" s="300">
        <f>SUM(Q116:S116)</f>
        <v>17.799809465701244</v>
      </c>
      <c r="U116" s="300"/>
      <c r="V116" s="300">
        <v>14.328085072045635</v>
      </c>
      <c r="W116" s="300">
        <v>3.4093528353635745</v>
      </c>
      <c r="X116" s="300">
        <v>1.9549578474963383</v>
      </c>
      <c r="Y116" s="300">
        <f>SUM(V116:X116)</f>
        <v>19.692395754905547</v>
      </c>
    </row>
    <row r="117" spans="1:25" x14ac:dyDescent="0.2">
      <c r="A117" s="260" t="s">
        <v>364</v>
      </c>
      <c r="B117" s="300">
        <v>34.513443538850936</v>
      </c>
      <c r="C117" s="300">
        <v>1.7729754298033917</v>
      </c>
      <c r="D117" s="300">
        <v>5.5641767078358999</v>
      </c>
      <c r="E117" s="300">
        <f t="shared" ref="E117:E118" si="179">SUM(B117:D117)</f>
        <v>41.850595676490229</v>
      </c>
      <c r="F117" s="300"/>
      <c r="G117" s="300">
        <v>35.723487845567405</v>
      </c>
      <c r="H117" s="300">
        <v>2.7271237164903424</v>
      </c>
      <c r="I117" s="300">
        <v>3.1874761008820447</v>
      </c>
      <c r="J117" s="300">
        <f t="shared" ref="J117:J118" si="180">SUM(G117:I117)</f>
        <v>41.638087662939789</v>
      </c>
      <c r="K117" s="300"/>
      <c r="L117" s="300">
        <v>33.429213909469837</v>
      </c>
      <c r="M117" s="300">
        <v>2.5272855411777972</v>
      </c>
      <c r="N117" s="300">
        <v>4.3617474819419364</v>
      </c>
      <c r="O117" s="300">
        <f t="shared" ref="O117:O118" si="181">SUM(L117:N117)</f>
        <v>40.318246932589574</v>
      </c>
      <c r="P117" s="300"/>
      <c r="Q117" s="300">
        <v>35.595135470376647</v>
      </c>
      <c r="R117" s="300">
        <v>2.7318431724180936</v>
      </c>
      <c r="S117" s="300">
        <v>4.7862118915040002</v>
      </c>
      <c r="T117" s="300">
        <f t="shared" ref="T117:T118" si="182">SUM(Q117:S117)</f>
        <v>43.113190534298745</v>
      </c>
      <c r="U117" s="300"/>
      <c r="V117" s="300">
        <v>38.010467848271858</v>
      </c>
      <c r="W117" s="300">
        <v>2.972238308225752</v>
      </c>
      <c r="X117" s="300">
        <v>5.2818980885969449</v>
      </c>
      <c r="Y117" s="300">
        <f t="shared" ref="Y117:Y118" si="183">SUM(V117:X117)</f>
        <v>46.26460424509456</v>
      </c>
    </row>
    <row r="118" spans="1:25" x14ac:dyDescent="0.2">
      <c r="A118" s="264" t="s">
        <v>363</v>
      </c>
      <c r="B118" s="301">
        <f>SUM(B116:B117)</f>
        <v>44.992346082414819</v>
      </c>
      <c r="C118" s="301">
        <f t="shared" ref="C118" si="184">SUM(C116:C117)</f>
        <v>4.6021472366331695</v>
      </c>
      <c r="D118" s="301">
        <f t="shared" ref="D118" si="185">SUM(D116:D117)</f>
        <v>6.8205066809519899</v>
      </c>
      <c r="E118" s="301">
        <f t="shared" si="179"/>
        <v>56.414999999999978</v>
      </c>
      <c r="F118" s="301"/>
      <c r="G118" s="301">
        <f>SUM(G116:G117)</f>
        <v>45.819106086568993</v>
      </c>
      <c r="H118" s="301">
        <f t="shared" ref="H118" si="186">SUM(H116:H117)</f>
        <v>6.4639758789349564</v>
      </c>
      <c r="I118" s="301">
        <f t="shared" ref="I118" si="187">SUM(I116:I117)</f>
        <v>3.4919180344960368</v>
      </c>
      <c r="J118" s="301">
        <f t="shared" si="180"/>
        <v>55.774999999999991</v>
      </c>
      <c r="K118" s="301"/>
      <c r="L118" s="301">
        <f>SUM(L116:L117)</f>
        <v>45.022604713317747</v>
      </c>
      <c r="M118" s="301">
        <f t="shared" ref="M118" si="188">SUM(M116:M117)</f>
        <v>5.6181436407204224</v>
      </c>
      <c r="N118" s="301">
        <f t="shared" ref="N118" si="189">SUM(N116:N117)</f>
        <v>6.0182516459618549</v>
      </c>
      <c r="O118" s="301">
        <f t="shared" si="181"/>
        <v>56.65900000000002</v>
      </c>
      <c r="P118" s="301"/>
      <c r="Q118" s="301">
        <f>SUM(Q116:Q117)</f>
        <v>48.320611725496796</v>
      </c>
      <c r="R118" s="301">
        <f t="shared" ref="R118" si="190">SUM(R116:R117)</f>
        <v>6.0014656131657791</v>
      </c>
      <c r="S118" s="301">
        <f t="shared" ref="S118" si="191">SUM(S116:S117)</f>
        <v>6.5909226613374097</v>
      </c>
      <c r="T118" s="301">
        <f t="shared" si="182"/>
        <v>60.912999999999982</v>
      </c>
      <c r="U118" s="301"/>
      <c r="V118" s="301">
        <f>SUM(V116:V117)</f>
        <v>52.338552920317497</v>
      </c>
      <c r="W118" s="301">
        <f t="shared" ref="W118" si="192">SUM(W116:W117)</f>
        <v>6.3815911435893264</v>
      </c>
      <c r="X118" s="301">
        <f t="shared" ref="X118" si="193">SUM(X116:X117)</f>
        <v>7.2368559360932831</v>
      </c>
      <c r="Y118" s="301">
        <f t="shared" si="183"/>
        <v>65.957000000000107</v>
      </c>
    </row>
    <row r="119" spans="1:25" x14ac:dyDescent="0.2">
      <c r="A119" s="262"/>
    </row>
    <row r="120" spans="1:25" x14ac:dyDescent="0.2">
      <c r="A120" s="261"/>
    </row>
    <row r="121" spans="1:25" x14ac:dyDescent="0.2">
      <c r="C121" s="263"/>
    </row>
    <row r="122" spans="1:25" ht="15" x14ac:dyDescent="0.25">
      <c r="A122" s="265" t="str">
        <f>"Industry 14 : "&amp; name!B17</f>
        <v>Industry 14 : Finance and insurance</v>
      </c>
      <c r="B122" s="374">
        <f>$B$5</f>
        <v>2015</v>
      </c>
      <c r="C122" s="374"/>
      <c r="D122" s="374"/>
      <c r="E122" s="374"/>
      <c r="F122" s="320"/>
      <c r="G122" s="374">
        <f>$G$5</f>
        <v>2019</v>
      </c>
      <c r="H122" s="374"/>
      <c r="I122" s="374"/>
      <c r="J122" s="374"/>
      <c r="K122" s="320"/>
      <c r="L122" s="374">
        <f>$L$5</f>
        <v>2020</v>
      </c>
      <c r="M122" s="374"/>
      <c r="N122" s="374"/>
      <c r="O122" s="374"/>
      <c r="P122" s="318"/>
      <c r="Q122" s="374">
        <f>$Q$5</f>
        <v>2025</v>
      </c>
      <c r="R122" s="374"/>
      <c r="S122" s="374"/>
      <c r="T122" s="374"/>
      <c r="U122" s="320"/>
      <c r="V122" s="374">
        <f>$V$5</f>
        <v>2035</v>
      </c>
      <c r="W122" s="374"/>
      <c r="X122" s="374"/>
      <c r="Y122" s="374"/>
    </row>
    <row r="123" spans="1:25" x14ac:dyDescent="0.2">
      <c r="A123" s="264"/>
      <c r="B123" s="268" t="str">
        <f>$B$6</f>
        <v>FT</v>
      </c>
      <c r="C123" s="268" t="str">
        <f>$C$6</f>
        <v>PT</v>
      </c>
      <c r="D123" s="268" t="str">
        <f>$D$6</f>
        <v>SE</v>
      </c>
      <c r="E123" s="268" t="str">
        <f>$E$6</f>
        <v>Total</v>
      </c>
      <c r="F123" s="268"/>
      <c r="G123" s="268" t="str">
        <f>$B$6</f>
        <v>FT</v>
      </c>
      <c r="H123" s="268" t="str">
        <f>$C$6</f>
        <v>PT</v>
      </c>
      <c r="I123" s="268" t="str">
        <f>$D$6</f>
        <v>SE</v>
      </c>
      <c r="J123" s="268" t="str">
        <f>$E$6</f>
        <v>Total</v>
      </c>
      <c r="K123" s="268"/>
      <c r="L123" s="268" t="str">
        <f>$L$6</f>
        <v>FT</v>
      </c>
      <c r="M123" s="268" t="str">
        <f>$M$6</f>
        <v>PT</v>
      </c>
      <c r="N123" s="268" t="str">
        <f>$N$6</f>
        <v>SE</v>
      </c>
      <c r="O123" s="268" t="str">
        <f>$O$6</f>
        <v>Total</v>
      </c>
      <c r="P123" s="268"/>
      <c r="Q123" s="268" t="str">
        <f>$L$6</f>
        <v>FT</v>
      </c>
      <c r="R123" s="268" t="str">
        <f>$M$6</f>
        <v>PT</v>
      </c>
      <c r="S123" s="268" t="str">
        <f>$N$6</f>
        <v>SE</v>
      </c>
      <c r="T123" s="268" t="str">
        <f>$O$6</f>
        <v>Total</v>
      </c>
      <c r="U123" s="268"/>
      <c r="V123" s="268" t="str">
        <f>$V$6</f>
        <v>FT</v>
      </c>
      <c r="W123" s="268" t="str">
        <f>$W$6</f>
        <v>PT</v>
      </c>
      <c r="X123" s="268" t="str">
        <f>$X$6</f>
        <v>SE</v>
      </c>
      <c r="Y123" s="268" t="str">
        <f>$Y$6</f>
        <v>Total</v>
      </c>
    </row>
    <row r="124" spans="1:25" x14ac:dyDescent="0.2">
      <c r="C124" s="319"/>
      <c r="D124" s="319"/>
      <c r="E124" s="319"/>
      <c r="F124" s="319"/>
      <c r="G124" s="319"/>
      <c r="H124" s="319"/>
      <c r="I124" s="319"/>
      <c r="J124" s="319"/>
      <c r="K124" s="319"/>
      <c r="L124" s="319"/>
      <c r="M124" s="319"/>
      <c r="N124" s="319"/>
      <c r="O124" s="319"/>
      <c r="P124" s="319"/>
      <c r="Q124" s="319"/>
      <c r="R124" s="319"/>
      <c r="S124" s="319"/>
      <c r="T124" s="319"/>
      <c r="U124" s="319"/>
      <c r="V124" s="319"/>
      <c r="W124" s="319"/>
      <c r="X124" s="319"/>
      <c r="Y124" s="319"/>
    </row>
    <row r="125" spans="1:25" x14ac:dyDescent="0.2">
      <c r="A125" s="260" t="s">
        <v>365</v>
      </c>
      <c r="B125" s="300">
        <v>7.8687344842036158</v>
      </c>
      <c r="C125" s="300">
        <v>2.8603092986563308</v>
      </c>
      <c r="D125" s="300">
        <v>0.79542757812744969</v>
      </c>
      <c r="E125" s="300">
        <f>SUM(B125:D125)</f>
        <v>11.524471360987397</v>
      </c>
      <c r="F125" s="300"/>
      <c r="G125" s="300">
        <v>8.4631533609612966</v>
      </c>
      <c r="H125" s="300">
        <v>2.6160949478236906</v>
      </c>
      <c r="I125" s="300">
        <v>0.89743943926276615</v>
      </c>
      <c r="J125" s="300">
        <f>SUM(G125:I125)</f>
        <v>11.976687748047754</v>
      </c>
      <c r="K125" s="300"/>
      <c r="L125" s="300">
        <v>8.2175620963217373</v>
      </c>
      <c r="M125" s="300">
        <v>2.3157825260690768</v>
      </c>
      <c r="N125" s="300">
        <v>0.45292220537130534</v>
      </c>
      <c r="O125" s="300">
        <f>SUM(L125:N125)</f>
        <v>10.986266827762119</v>
      </c>
      <c r="P125" s="300"/>
      <c r="Q125" s="300">
        <v>7.9836251224907544</v>
      </c>
      <c r="R125" s="300">
        <v>2.2257456470396972</v>
      </c>
      <c r="S125" s="300">
        <v>0.45976988465411739</v>
      </c>
      <c r="T125" s="300">
        <f>SUM(Q125:S125)</f>
        <v>10.669140654184568</v>
      </c>
      <c r="U125" s="300"/>
      <c r="V125" s="300">
        <v>7.4003479065243907</v>
      </c>
      <c r="W125" s="300">
        <v>2.0441952180110472</v>
      </c>
      <c r="X125" s="300">
        <v>0.43401367998680068</v>
      </c>
      <c r="Y125" s="300">
        <f>SUM(V125:X125)</f>
        <v>9.8785568045222387</v>
      </c>
    </row>
    <row r="126" spans="1:25" x14ac:dyDescent="0.2">
      <c r="A126" s="260" t="s">
        <v>364</v>
      </c>
      <c r="B126" s="300">
        <v>10.094227975805472</v>
      </c>
      <c r="C126" s="300">
        <v>0.38937262525411365</v>
      </c>
      <c r="D126" s="300">
        <v>1.728928037953039</v>
      </c>
      <c r="E126" s="300">
        <f t="shared" ref="E126:E127" si="194">SUM(B126:D126)</f>
        <v>12.212528639012625</v>
      </c>
      <c r="F126" s="300"/>
      <c r="G126" s="300">
        <v>9.9097640324533334</v>
      </c>
      <c r="H126" s="300">
        <v>0.35716093356081746</v>
      </c>
      <c r="I126" s="300">
        <v>1.1233872859381249</v>
      </c>
      <c r="J126" s="300">
        <f t="shared" ref="J126:J127" si="195">SUM(G126:I126)</f>
        <v>11.390312251952277</v>
      </c>
      <c r="K126" s="300"/>
      <c r="L126" s="300">
        <v>9.9711839684527259</v>
      </c>
      <c r="M126" s="300">
        <v>0.42969542561593271</v>
      </c>
      <c r="N126" s="300">
        <v>2.1878537781692677</v>
      </c>
      <c r="O126" s="300">
        <f t="shared" ref="O126:O127" si="196">SUM(L126:N126)</f>
        <v>12.588733172237927</v>
      </c>
      <c r="P126" s="300"/>
      <c r="Q126" s="300">
        <v>9.728453657629677</v>
      </c>
      <c r="R126" s="300">
        <v>0.4367996207943235</v>
      </c>
      <c r="S126" s="300">
        <v>2.241606067391436</v>
      </c>
      <c r="T126" s="300">
        <f t="shared" ref="T126:T127" si="197">SUM(Q126:S126)</f>
        <v>12.406859345815436</v>
      </c>
      <c r="U126" s="300"/>
      <c r="V126" s="300">
        <v>9.0468354719418524</v>
      </c>
      <c r="W126" s="300">
        <v>0.43401367999535523</v>
      </c>
      <c r="X126" s="300">
        <v>2.1685940435405655</v>
      </c>
      <c r="Y126" s="300">
        <f t="shared" ref="Y126:Y127" si="198">SUM(V126:X126)</f>
        <v>11.649443195477772</v>
      </c>
    </row>
    <row r="127" spans="1:25" x14ac:dyDescent="0.2">
      <c r="A127" s="264" t="s">
        <v>363</v>
      </c>
      <c r="B127" s="301">
        <f>SUM(B125:B126)</f>
        <v>17.962962460009088</v>
      </c>
      <c r="C127" s="301">
        <f t="shared" ref="C127" si="199">SUM(C125:C126)</f>
        <v>3.2496819239104444</v>
      </c>
      <c r="D127" s="301">
        <f t="shared" ref="D127" si="200">SUM(D125:D126)</f>
        <v>2.5243556160804888</v>
      </c>
      <c r="E127" s="301">
        <f t="shared" si="194"/>
        <v>23.73700000000002</v>
      </c>
      <c r="F127" s="301"/>
      <c r="G127" s="301">
        <f>SUM(G125:G126)</f>
        <v>18.372917393414632</v>
      </c>
      <c r="H127" s="301">
        <f t="shared" ref="H127" si="201">SUM(H125:H126)</f>
        <v>2.973255881384508</v>
      </c>
      <c r="I127" s="301">
        <f t="shared" ref="I127" si="202">SUM(I125:I126)</f>
        <v>2.0208267252008909</v>
      </c>
      <c r="J127" s="301">
        <f t="shared" si="195"/>
        <v>23.367000000000029</v>
      </c>
      <c r="K127" s="301"/>
      <c r="L127" s="301">
        <f>SUM(L125:L126)</f>
        <v>18.188746064774463</v>
      </c>
      <c r="M127" s="301">
        <f t="shared" ref="M127" si="203">SUM(M125:M126)</f>
        <v>2.7454779516850096</v>
      </c>
      <c r="N127" s="301">
        <f t="shared" ref="N127" si="204">SUM(N125:N126)</f>
        <v>2.6407759835405731</v>
      </c>
      <c r="O127" s="301">
        <f t="shared" si="196"/>
        <v>23.575000000000045</v>
      </c>
      <c r="P127" s="301"/>
      <c r="Q127" s="301">
        <f>SUM(Q125:Q126)</f>
        <v>17.712078780120432</v>
      </c>
      <c r="R127" s="301">
        <f t="shared" ref="R127" si="205">SUM(R125:R126)</f>
        <v>2.6625452678340209</v>
      </c>
      <c r="S127" s="301">
        <f t="shared" ref="S127" si="206">SUM(S125:S126)</f>
        <v>2.7013759520455531</v>
      </c>
      <c r="T127" s="301">
        <f t="shared" si="197"/>
        <v>23.076000000000004</v>
      </c>
      <c r="U127" s="301"/>
      <c r="V127" s="301">
        <f>SUM(V125:V126)</f>
        <v>16.447183378466242</v>
      </c>
      <c r="W127" s="301">
        <f t="shared" ref="W127" si="207">SUM(W125:W126)</f>
        <v>2.4782088980064025</v>
      </c>
      <c r="X127" s="301">
        <f t="shared" ref="X127" si="208">SUM(X125:X126)</f>
        <v>2.6026077235273664</v>
      </c>
      <c r="Y127" s="301">
        <f t="shared" si="198"/>
        <v>21.528000000000013</v>
      </c>
    </row>
    <row r="131" spans="1:25" ht="15" x14ac:dyDescent="0.25">
      <c r="A131" s="265" t="str">
        <f>"Industry 15 : "&amp; name!B18</f>
        <v>Industry 15 : Real estate</v>
      </c>
      <c r="B131" s="374">
        <f>$B$5</f>
        <v>2015</v>
      </c>
      <c r="C131" s="374"/>
      <c r="D131" s="374"/>
      <c r="E131" s="374"/>
      <c r="F131" s="320"/>
      <c r="G131" s="374">
        <f>$G$5</f>
        <v>2019</v>
      </c>
      <c r="H131" s="374"/>
      <c r="I131" s="374"/>
      <c r="J131" s="374"/>
      <c r="K131" s="320"/>
      <c r="L131" s="374">
        <f>$L$5</f>
        <v>2020</v>
      </c>
      <c r="M131" s="374"/>
      <c r="N131" s="374"/>
      <c r="O131" s="374"/>
      <c r="P131" s="318"/>
      <c r="Q131" s="374">
        <f>$Q$5</f>
        <v>2025</v>
      </c>
      <c r="R131" s="374"/>
      <c r="S131" s="374"/>
      <c r="T131" s="374"/>
      <c r="U131" s="320"/>
      <c r="V131" s="374">
        <f>$V$5</f>
        <v>2035</v>
      </c>
      <c r="W131" s="374"/>
      <c r="X131" s="374"/>
      <c r="Y131" s="374"/>
    </row>
    <row r="132" spans="1:25" x14ac:dyDescent="0.2">
      <c r="A132" s="264"/>
      <c r="B132" s="268" t="str">
        <f>$B$6</f>
        <v>FT</v>
      </c>
      <c r="C132" s="268" t="str">
        <f>$C$6</f>
        <v>PT</v>
      </c>
      <c r="D132" s="268" t="str">
        <f>$D$6</f>
        <v>SE</v>
      </c>
      <c r="E132" s="268" t="str">
        <f>$E$6</f>
        <v>Total</v>
      </c>
      <c r="F132" s="268"/>
      <c r="G132" s="268" t="str">
        <f>$B$6</f>
        <v>FT</v>
      </c>
      <c r="H132" s="268" t="str">
        <f>$C$6</f>
        <v>PT</v>
      </c>
      <c r="I132" s="268" t="str">
        <f>$D$6</f>
        <v>SE</v>
      </c>
      <c r="J132" s="268" t="str">
        <f>$E$6</f>
        <v>Total</v>
      </c>
      <c r="K132" s="268"/>
      <c r="L132" s="268" t="str">
        <f>$L$6</f>
        <v>FT</v>
      </c>
      <c r="M132" s="268" t="str">
        <f>$M$6</f>
        <v>PT</v>
      </c>
      <c r="N132" s="268" t="str">
        <f>$N$6</f>
        <v>SE</v>
      </c>
      <c r="O132" s="268" t="str">
        <f>$O$6</f>
        <v>Total</v>
      </c>
      <c r="P132" s="268"/>
      <c r="Q132" s="268" t="str">
        <f>$L$6</f>
        <v>FT</v>
      </c>
      <c r="R132" s="268" t="str">
        <f>$M$6</f>
        <v>PT</v>
      </c>
      <c r="S132" s="268" t="str">
        <f>$N$6</f>
        <v>SE</v>
      </c>
      <c r="T132" s="268" t="str">
        <f>$O$6</f>
        <v>Total</v>
      </c>
      <c r="U132" s="268"/>
      <c r="V132" s="268" t="str">
        <f>$V$6</f>
        <v>FT</v>
      </c>
      <c r="W132" s="268" t="str">
        <f>$W$6</f>
        <v>PT</v>
      </c>
      <c r="X132" s="268" t="str">
        <f>$X$6</f>
        <v>SE</v>
      </c>
      <c r="Y132" s="268" t="str">
        <f>$Y$6</f>
        <v>Total</v>
      </c>
    </row>
    <row r="133" spans="1:25" x14ac:dyDescent="0.2">
      <c r="C133" s="319"/>
      <c r="D133" s="319"/>
      <c r="E133" s="319"/>
      <c r="F133" s="319"/>
      <c r="G133" s="319"/>
      <c r="H133" s="319"/>
      <c r="I133" s="319"/>
      <c r="J133" s="319"/>
      <c r="K133" s="319"/>
      <c r="L133" s="319"/>
      <c r="M133" s="319"/>
      <c r="N133" s="319"/>
      <c r="O133" s="319"/>
      <c r="P133" s="319"/>
      <c r="Q133" s="319"/>
      <c r="R133" s="319"/>
      <c r="S133" s="319"/>
      <c r="T133" s="319"/>
      <c r="U133" s="319"/>
      <c r="V133" s="319"/>
      <c r="W133" s="319"/>
      <c r="X133" s="319"/>
      <c r="Y133" s="319"/>
    </row>
    <row r="134" spans="1:25" x14ac:dyDescent="0.2">
      <c r="A134" s="260" t="s">
        <v>365</v>
      </c>
      <c r="B134" s="300">
        <v>4.3640886737508513</v>
      </c>
      <c r="C134" s="300">
        <v>2.6260100677973561</v>
      </c>
      <c r="D134" s="300">
        <v>0.779664859643032</v>
      </c>
      <c r="E134" s="300">
        <f>SUM(B134:D134)</f>
        <v>7.7697636011912392</v>
      </c>
      <c r="F134" s="300"/>
      <c r="G134" s="300">
        <v>4.0542808228224532</v>
      </c>
      <c r="H134" s="300">
        <v>2.0779600875239175</v>
      </c>
      <c r="I134" s="300">
        <v>1.2483397348379699</v>
      </c>
      <c r="J134" s="300">
        <f>SUM(G134:I134)</f>
        <v>7.3805806451843399</v>
      </c>
      <c r="K134" s="300"/>
      <c r="L134" s="300">
        <v>4.4684177658177431</v>
      </c>
      <c r="M134" s="300">
        <v>3.4132921216038854</v>
      </c>
      <c r="N134" s="300">
        <v>0.92679718977463688</v>
      </c>
      <c r="O134" s="300">
        <f>SUM(L134:N134)</f>
        <v>8.8085070771962659</v>
      </c>
      <c r="P134" s="300"/>
      <c r="Q134" s="300">
        <v>4.60469021099256</v>
      </c>
      <c r="R134" s="300">
        <v>3.2484867736543368</v>
      </c>
      <c r="S134" s="300">
        <v>0.93538508936578457</v>
      </c>
      <c r="T134" s="300">
        <f>SUM(Q134:S134)</f>
        <v>8.7885620740126811</v>
      </c>
      <c r="U134" s="300"/>
      <c r="V134" s="300">
        <v>5.4442378331466141</v>
      </c>
      <c r="W134" s="300">
        <v>3.2835921205358307</v>
      </c>
      <c r="X134" s="300">
        <v>1.0401549826209535</v>
      </c>
      <c r="Y134" s="300">
        <f>SUM(V134:X134)</f>
        <v>9.7679849363033977</v>
      </c>
    </row>
    <row r="135" spans="1:25" x14ac:dyDescent="0.2">
      <c r="A135" s="260" t="s">
        <v>364</v>
      </c>
      <c r="B135" s="300">
        <v>4.6881618586291385</v>
      </c>
      <c r="C135" s="300">
        <v>1.1413407066731793</v>
      </c>
      <c r="D135" s="300">
        <v>1.4127338335064488</v>
      </c>
      <c r="E135" s="300">
        <f t="shared" ref="E135:E136" si="209">SUM(B135:D135)</f>
        <v>7.2422363988087666</v>
      </c>
      <c r="F135" s="300"/>
      <c r="G135" s="300">
        <v>3.9126806998057302</v>
      </c>
      <c r="H135" s="300">
        <v>0.53703801257164774</v>
      </c>
      <c r="I135" s="300">
        <v>0.88070064243828605</v>
      </c>
      <c r="J135" s="300">
        <f t="shared" ref="J135:J136" si="210">SUM(G135:I135)</f>
        <v>5.330419354815664</v>
      </c>
      <c r="K135" s="300"/>
      <c r="L135" s="300">
        <v>4.587305162356631</v>
      </c>
      <c r="M135" s="300">
        <v>1.1198143747608502</v>
      </c>
      <c r="N135" s="300">
        <v>0.71437338568625408</v>
      </c>
      <c r="O135" s="300">
        <f t="shared" ref="O135:O136" si="211">SUM(L135:N135)</f>
        <v>6.4214929228037354</v>
      </c>
      <c r="P135" s="300"/>
      <c r="Q135" s="300">
        <v>4.5613140885629475</v>
      </c>
      <c r="R135" s="300">
        <v>1.1164104385632245</v>
      </c>
      <c r="S135" s="300">
        <v>0.74771339886114707</v>
      </c>
      <c r="T135" s="300">
        <f t="shared" ref="T135:T136" si="212">SUM(Q135:S135)</f>
        <v>6.4254379259873184</v>
      </c>
      <c r="U135" s="300"/>
      <c r="V135" s="300">
        <v>5.0346658458522944</v>
      </c>
      <c r="W135" s="300">
        <v>1.2546759849255458</v>
      </c>
      <c r="X135" s="300">
        <v>0.89667323291874446</v>
      </c>
      <c r="Y135" s="300">
        <f t="shared" ref="Y135:Y136" si="213">SUM(V135:X135)</f>
        <v>7.1860150636965843</v>
      </c>
    </row>
    <row r="136" spans="1:25" x14ac:dyDescent="0.2">
      <c r="A136" s="264" t="s">
        <v>363</v>
      </c>
      <c r="B136" s="301">
        <f>SUM(B134:B135)</f>
        <v>9.0522505323799898</v>
      </c>
      <c r="C136" s="301">
        <f t="shared" ref="C136" si="214">SUM(C134:C135)</f>
        <v>3.7673507744705352</v>
      </c>
      <c r="D136" s="301">
        <f t="shared" ref="D136" si="215">SUM(D134:D135)</f>
        <v>2.1923986931494808</v>
      </c>
      <c r="E136" s="301">
        <f t="shared" si="209"/>
        <v>15.012000000000008</v>
      </c>
      <c r="F136" s="301"/>
      <c r="G136" s="301">
        <f>SUM(G134:G135)</f>
        <v>7.9669615226281838</v>
      </c>
      <c r="H136" s="301">
        <f t="shared" ref="H136" si="216">SUM(H134:H135)</f>
        <v>2.6149981000955651</v>
      </c>
      <c r="I136" s="301">
        <f t="shared" ref="I136" si="217">SUM(I134:I135)</f>
        <v>2.1290403772762558</v>
      </c>
      <c r="J136" s="301">
        <f t="shared" si="210"/>
        <v>12.711000000000006</v>
      </c>
      <c r="K136" s="301"/>
      <c r="L136" s="301">
        <f>SUM(L134:L135)</f>
        <v>9.0557229281743741</v>
      </c>
      <c r="M136" s="301">
        <f t="shared" ref="M136" si="218">SUM(M134:M135)</f>
        <v>4.5331064963647361</v>
      </c>
      <c r="N136" s="301">
        <f t="shared" ref="N136" si="219">SUM(N134:N135)</f>
        <v>1.641170575460891</v>
      </c>
      <c r="O136" s="301">
        <f t="shared" si="211"/>
        <v>15.23</v>
      </c>
      <c r="P136" s="301"/>
      <c r="Q136" s="301">
        <f>SUM(Q134:Q135)</f>
        <v>9.1660042995555067</v>
      </c>
      <c r="R136" s="301">
        <f t="shared" ref="R136" si="220">SUM(R134:R135)</f>
        <v>4.3648972122175618</v>
      </c>
      <c r="S136" s="301">
        <f t="shared" ref="S136" si="221">SUM(S134:S135)</f>
        <v>1.6830984882269315</v>
      </c>
      <c r="T136" s="301">
        <f t="shared" si="212"/>
        <v>15.214</v>
      </c>
      <c r="U136" s="301"/>
      <c r="V136" s="301">
        <f>SUM(V134:V135)</f>
        <v>10.478903678998908</v>
      </c>
      <c r="W136" s="301">
        <f t="shared" ref="W136" si="222">SUM(W134:W135)</f>
        <v>4.5382681054613769</v>
      </c>
      <c r="X136" s="301">
        <f t="shared" ref="X136" si="223">SUM(X134:X135)</f>
        <v>1.9368282155396979</v>
      </c>
      <c r="Y136" s="301">
        <f t="shared" si="213"/>
        <v>16.953999999999983</v>
      </c>
    </row>
    <row r="137" spans="1:25" x14ac:dyDescent="0.2">
      <c r="C137" s="263"/>
    </row>
    <row r="138" spans="1:25" x14ac:dyDescent="0.2">
      <c r="A138" s="261"/>
    </row>
    <row r="139" spans="1:25" x14ac:dyDescent="0.2">
      <c r="C139" s="263"/>
    </row>
    <row r="140" spans="1:25" ht="15" x14ac:dyDescent="0.25">
      <c r="A140" s="265" t="str">
        <f>"Industry 16 : "&amp; name!B19</f>
        <v>Industry 16 : Professional services</v>
      </c>
      <c r="B140" s="374">
        <f>$B$5</f>
        <v>2015</v>
      </c>
      <c r="C140" s="374"/>
      <c r="D140" s="374"/>
      <c r="E140" s="374"/>
      <c r="F140" s="320"/>
      <c r="G140" s="374">
        <f>$G$5</f>
        <v>2019</v>
      </c>
      <c r="H140" s="374"/>
      <c r="I140" s="374"/>
      <c r="J140" s="374"/>
      <c r="K140" s="320"/>
      <c r="L140" s="374">
        <f>$L$5</f>
        <v>2020</v>
      </c>
      <c r="M140" s="374"/>
      <c r="N140" s="374"/>
      <c r="O140" s="374"/>
      <c r="P140" s="318"/>
      <c r="Q140" s="374">
        <f>$Q$5</f>
        <v>2025</v>
      </c>
      <c r="R140" s="374"/>
      <c r="S140" s="374"/>
      <c r="T140" s="374"/>
      <c r="U140" s="320"/>
      <c r="V140" s="374">
        <f>$V$5</f>
        <v>2035</v>
      </c>
      <c r="W140" s="374"/>
      <c r="X140" s="374"/>
      <c r="Y140" s="374"/>
    </row>
    <row r="141" spans="1:25" x14ac:dyDescent="0.2">
      <c r="A141" s="264"/>
      <c r="B141" s="268" t="str">
        <f>$B$6</f>
        <v>FT</v>
      </c>
      <c r="C141" s="268" t="str">
        <f>$C$6</f>
        <v>PT</v>
      </c>
      <c r="D141" s="268" t="str">
        <f>$D$6</f>
        <v>SE</v>
      </c>
      <c r="E141" s="268" t="str">
        <f>$E$6</f>
        <v>Total</v>
      </c>
      <c r="F141" s="268"/>
      <c r="G141" s="268" t="str">
        <f>$B$6</f>
        <v>FT</v>
      </c>
      <c r="H141" s="268" t="str">
        <f>$C$6</f>
        <v>PT</v>
      </c>
      <c r="I141" s="268" t="str">
        <f>$D$6</f>
        <v>SE</v>
      </c>
      <c r="J141" s="268" t="str">
        <f>$E$6</f>
        <v>Total</v>
      </c>
      <c r="K141" s="268"/>
      <c r="L141" s="268" t="str">
        <f>$L$6</f>
        <v>FT</v>
      </c>
      <c r="M141" s="268" t="str">
        <f>$M$6</f>
        <v>PT</v>
      </c>
      <c r="N141" s="268" t="str">
        <f>$N$6</f>
        <v>SE</v>
      </c>
      <c r="O141" s="268" t="str">
        <f>$O$6</f>
        <v>Total</v>
      </c>
      <c r="P141" s="268"/>
      <c r="Q141" s="268" t="str">
        <f>$L$6</f>
        <v>FT</v>
      </c>
      <c r="R141" s="268" t="str">
        <f>$M$6</f>
        <v>PT</v>
      </c>
      <c r="S141" s="268" t="str">
        <f>$N$6</f>
        <v>SE</v>
      </c>
      <c r="T141" s="268" t="str">
        <f>$O$6</f>
        <v>Total</v>
      </c>
      <c r="U141" s="268"/>
      <c r="V141" s="268" t="str">
        <f>$V$6</f>
        <v>FT</v>
      </c>
      <c r="W141" s="268" t="str">
        <f>$W$6</f>
        <v>PT</v>
      </c>
      <c r="X141" s="268" t="str">
        <f>$X$6</f>
        <v>SE</v>
      </c>
      <c r="Y141" s="268" t="str">
        <f>$Y$6</f>
        <v>Total</v>
      </c>
    </row>
    <row r="142" spans="1:25" x14ac:dyDescent="0.2">
      <c r="C142" s="319"/>
      <c r="D142" s="319"/>
      <c r="E142" s="319"/>
      <c r="F142" s="319"/>
      <c r="G142" s="319"/>
      <c r="H142" s="319"/>
      <c r="I142" s="319"/>
      <c r="J142" s="319"/>
      <c r="K142" s="319"/>
      <c r="L142" s="319"/>
      <c r="M142" s="319"/>
      <c r="N142" s="319"/>
      <c r="O142" s="319"/>
      <c r="P142" s="319"/>
      <c r="Q142" s="319"/>
      <c r="R142" s="319"/>
      <c r="S142" s="319"/>
      <c r="T142" s="319"/>
      <c r="U142" s="319"/>
      <c r="V142" s="319"/>
      <c r="W142" s="319"/>
      <c r="X142" s="319"/>
      <c r="Y142" s="319"/>
    </row>
    <row r="143" spans="1:25" x14ac:dyDescent="0.2">
      <c r="A143" s="260" t="s">
        <v>365</v>
      </c>
      <c r="B143" s="300">
        <v>22.255828212420475</v>
      </c>
      <c r="C143" s="300">
        <v>14.677897285218995</v>
      </c>
      <c r="D143" s="300">
        <v>7.4766375186449139</v>
      </c>
      <c r="E143" s="300">
        <f>SUM(B143:D143)</f>
        <v>44.410363016284386</v>
      </c>
      <c r="F143" s="300"/>
      <c r="G143" s="300">
        <v>26.528924748512367</v>
      </c>
      <c r="H143" s="300">
        <v>11.448050447382061</v>
      </c>
      <c r="I143" s="300">
        <v>10.324457588566535</v>
      </c>
      <c r="J143" s="300">
        <f>SUM(G143:I143)</f>
        <v>48.301432784460957</v>
      </c>
      <c r="K143" s="300"/>
      <c r="L143" s="300">
        <v>25.049145386783362</v>
      </c>
      <c r="M143" s="300">
        <v>10.604634639868312</v>
      </c>
      <c r="N143" s="300">
        <v>6.3606168757969606</v>
      </c>
      <c r="O143" s="300">
        <f>SUM(L143:N143)</f>
        <v>42.014396902448638</v>
      </c>
      <c r="P143" s="300"/>
      <c r="Q143" s="300">
        <v>26.479855400217549</v>
      </c>
      <c r="R143" s="300">
        <v>11.22330300347004</v>
      </c>
      <c r="S143" s="300">
        <v>6.935064751513389</v>
      </c>
      <c r="T143" s="300">
        <f>SUM(Q143:S143)</f>
        <v>44.638223155200976</v>
      </c>
      <c r="U143" s="300"/>
      <c r="V143" s="300">
        <v>28.463589046062644</v>
      </c>
      <c r="W143" s="300">
        <v>12.106912168002662</v>
      </c>
      <c r="X143" s="300">
        <v>7.8987872006210216</v>
      </c>
      <c r="Y143" s="300">
        <f>SUM(V143:X143)</f>
        <v>48.469288414686325</v>
      </c>
    </row>
    <row r="144" spans="1:25" x14ac:dyDescent="0.2">
      <c r="A144" s="260" t="s">
        <v>364</v>
      </c>
      <c r="B144" s="300">
        <v>36.46475016956537</v>
      </c>
      <c r="C144" s="300">
        <v>4.6301173313810855</v>
      </c>
      <c r="D144" s="300">
        <v>10.015769482769146</v>
      </c>
      <c r="E144" s="300">
        <f t="shared" ref="E144:E145" si="224">SUM(B144:D144)</f>
        <v>51.110636983715601</v>
      </c>
      <c r="F144" s="300"/>
      <c r="G144" s="300">
        <v>37.453305933613031</v>
      </c>
      <c r="H144" s="300">
        <v>4.5733641831640419</v>
      </c>
      <c r="I144" s="300">
        <v>9.8068970987618638</v>
      </c>
      <c r="J144" s="300">
        <f t="shared" ref="J144:J145" si="225">SUM(G144:I144)</f>
        <v>51.833567215538935</v>
      </c>
      <c r="K144" s="300"/>
      <c r="L144" s="300">
        <v>37.446641517647734</v>
      </c>
      <c r="M144" s="300">
        <v>5.9980561981129918</v>
      </c>
      <c r="N144" s="300">
        <v>7.6929053817905926</v>
      </c>
      <c r="O144" s="300">
        <f t="shared" ref="O144:O145" si="226">SUM(L144:N144)</f>
        <v>51.13760309755132</v>
      </c>
      <c r="P144" s="300"/>
      <c r="Q144" s="300">
        <v>38.388045833762924</v>
      </c>
      <c r="R144" s="300">
        <v>6.3761966085687876</v>
      </c>
      <c r="S144" s="300">
        <v>8.1025344024671835</v>
      </c>
      <c r="T144" s="300">
        <f t="shared" ref="T144:T145" si="227">SUM(Q144:S144)</f>
        <v>52.866776844798899</v>
      </c>
      <c r="U144" s="300"/>
      <c r="V144" s="300">
        <v>39.686232100918801</v>
      </c>
      <c r="W144" s="300">
        <v>7.0565763213057195</v>
      </c>
      <c r="X144" s="300">
        <v>8.7479031630893154</v>
      </c>
      <c r="Y144" s="300">
        <f t="shared" ref="Y144:Y145" si="228">SUM(V144:X144)</f>
        <v>55.490711585313832</v>
      </c>
    </row>
    <row r="145" spans="1:25" x14ac:dyDescent="0.2">
      <c r="A145" s="264" t="s">
        <v>363</v>
      </c>
      <c r="B145" s="301">
        <f>SUM(B143:B144)</f>
        <v>58.720578381985845</v>
      </c>
      <c r="C145" s="301">
        <f t="shared" ref="C145" si="229">SUM(C143:C144)</f>
        <v>19.308014616600079</v>
      </c>
      <c r="D145" s="301">
        <f t="shared" ref="D145" si="230">SUM(D143:D144)</f>
        <v>17.492407001414058</v>
      </c>
      <c r="E145" s="301">
        <f t="shared" si="224"/>
        <v>95.520999999999987</v>
      </c>
      <c r="F145" s="301"/>
      <c r="G145" s="301">
        <f>SUM(G143:G144)</f>
        <v>63.982230682125397</v>
      </c>
      <c r="H145" s="301">
        <f t="shared" ref="H145" si="231">SUM(H143:H144)</f>
        <v>16.021414630546104</v>
      </c>
      <c r="I145" s="301">
        <f t="shared" ref="I145" si="232">SUM(I143:I144)</f>
        <v>20.131354687328397</v>
      </c>
      <c r="J145" s="301">
        <f t="shared" si="225"/>
        <v>100.13499999999989</v>
      </c>
      <c r="K145" s="301"/>
      <c r="L145" s="301">
        <f>SUM(L143:L144)</f>
        <v>62.4957869044311</v>
      </c>
      <c r="M145" s="301">
        <f t="shared" ref="M145" si="233">SUM(M143:M144)</f>
        <v>16.602690837981303</v>
      </c>
      <c r="N145" s="301">
        <f t="shared" ref="N145" si="234">SUM(N143:N144)</f>
        <v>14.053522257587552</v>
      </c>
      <c r="O145" s="301">
        <f t="shared" si="226"/>
        <v>93.151999999999958</v>
      </c>
      <c r="P145" s="301"/>
      <c r="Q145" s="301">
        <f>SUM(Q143:Q144)</f>
        <v>64.867901233980476</v>
      </c>
      <c r="R145" s="301">
        <f t="shared" ref="R145" si="235">SUM(R143:R144)</f>
        <v>17.599499612038827</v>
      </c>
      <c r="S145" s="301">
        <f t="shared" ref="S145" si="236">SUM(S143:S144)</f>
        <v>15.037599153980572</v>
      </c>
      <c r="T145" s="301">
        <f t="shared" si="227"/>
        <v>97.504999999999882</v>
      </c>
      <c r="U145" s="301"/>
      <c r="V145" s="301">
        <f>SUM(V143:V144)</f>
        <v>68.149821146981452</v>
      </c>
      <c r="W145" s="301">
        <f t="shared" ref="W145" si="237">SUM(W143:W144)</f>
        <v>19.163488489308381</v>
      </c>
      <c r="X145" s="301">
        <f t="shared" ref="X145" si="238">SUM(X143:X144)</f>
        <v>16.646690363710338</v>
      </c>
      <c r="Y145" s="301">
        <f t="shared" si="228"/>
        <v>103.96000000000016</v>
      </c>
    </row>
    <row r="146" spans="1:25" x14ac:dyDescent="0.2">
      <c r="C146" s="263"/>
    </row>
    <row r="147" spans="1:25" x14ac:dyDescent="0.2">
      <c r="A147" s="261"/>
    </row>
    <row r="148" spans="1:25" x14ac:dyDescent="0.2">
      <c r="C148" s="263"/>
    </row>
    <row r="149" spans="1:25" ht="15" x14ac:dyDescent="0.25">
      <c r="A149" s="265" t="str">
        <f>"Industry 17 : "&amp; name!B20</f>
        <v>Industry 17 : Support services</v>
      </c>
      <c r="B149" s="374">
        <f>$B$5</f>
        <v>2015</v>
      </c>
      <c r="C149" s="374"/>
      <c r="D149" s="374"/>
      <c r="E149" s="374"/>
      <c r="F149" s="320"/>
      <c r="G149" s="374">
        <f>$G$5</f>
        <v>2019</v>
      </c>
      <c r="H149" s="374"/>
      <c r="I149" s="374"/>
      <c r="J149" s="374"/>
      <c r="K149" s="320"/>
      <c r="L149" s="374">
        <f>$L$5</f>
        <v>2020</v>
      </c>
      <c r="M149" s="374"/>
      <c r="N149" s="374"/>
      <c r="O149" s="374"/>
      <c r="P149" s="318"/>
      <c r="Q149" s="374">
        <f>$Q$5</f>
        <v>2025</v>
      </c>
      <c r="R149" s="374"/>
      <c r="S149" s="374"/>
      <c r="T149" s="374"/>
      <c r="U149" s="320"/>
      <c r="V149" s="374">
        <f>$V$5</f>
        <v>2035</v>
      </c>
      <c r="W149" s="374"/>
      <c r="X149" s="374"/>
      <c r="Y149" s="374"/>
    </row>
    <row r="150" spans="1:25" x14ac:dyDescent="0.2">
      <c r="A150" s="264"/>
      <c r="B150" s="268" t="str">
        <f>$B$6</f>
        <v>FT</v>
      </c>
      <c r="C150" s="268" t="str">
        <f>$C$6</f>
        <v>PT</v>
      </c>
      <c r="D150" s="268" t="str">
        <f>$D$6</f>
        <v>SE</v>
      </c>
      <c r="E150" s="268" t="str">
        <f>$E$6</f>
        <v>Total</v>
      </c>
      <c r="F150" s="268"/>
      <c r="G150" s="268" t="str">
        <f>$B$6</f>
        <v>FT</v>
      </c>
      <c r="H150" s="268" t="str">
        <f>$C$6</f>
        <v>PT</v>
      </c>
      <c r="I150" s="268" t="str">
        <f>$D$6</f>
        <v>SE</v>
      </c>
      <c r="J150" s="268" t="str">
        <f>$E$6</f>
        <v>Total</v>
      </c>
      <c r="K150" s="268"/>
      <c r="L150" s="268" t="str">
        <f>$L$6</f>
        <v>FT</v>
      </c>
      <c r="M150" s="268" t="str">
        <f>$M$6</f>
        <v>PT</v>
      </c>
      <c r="N150" s="268" t="str">
        <f>$N$6</f>
        <v>SE</v>
      </c>
      <c r="O150" s="268" t="str">
        <f>$O$6</f>
        <v>Total</v>
      </c>
      <c r="P150" s="268"/>
      <c r="Q150" s="268" t="str">
        <f>$L$6</f>
        <v>FT</v>
      </c>
      <c r="R150" s="268" t="str">
        <f>$M$6</f>
        <v>PT</v>
      </c>
      <c r="S150" s="268" t="str">
        <f>$N$6</f>
        <v>SE</v>
      </c>
      <c r="T150" s="268" t="str">
        <f>$O$6</f>
        <v>Total</v>
      </c>
      <c r="U150" s="268"/>
      <c r="V150" s="268" t="str">
        <f>$V$6</f>
        <v>FT</v>
      </c>
      <c r="W150" s="268" t="str">
        <f>$W$6</f>
        <v>PT</v>
      </c>
      <c r="X150" s="268" t="str">
        <f>$X$6</f>
        <v>SE</v>
      </c>
      <c r="Y150" s="268" t="str">
        <f>$Y$6</f>
        <v>Total</v>
      </c>
    </row>
    <row r="151" spans="1:25" x14ac:dyDescent="0.2">
      <c r="A151" s="262"/>
      <c r="C151" s="319"/>
      <c r="D151" s="319"/>
      <c r="E151" s="319"/>
      <c r="F151" s="319"/>
      <c r="G151" s="319"/>
      <c r="H151" s="319"/>
      <c r="I151" s="319"/>
      <c r="J151" s="319"/>
      <c r="K151" s="319"/>
      <c r="L151" s="319"/>
      <c r="M151" s="319"/>
      <c r="N151" s="319"/>
      <c r="O151" s="319"/>
      <c r="P151" s="319"/>
      <c r="Q151" s="319"/>
      <c r="R151" s="319"/>
      <c r="S151" s="319"/>
      <c r="T151" s="319"/>
      <c r="U151" s="319"/>
      <c r="V151" s="319"/>
      <c r="W151" s="319"/>
      <c r="X151" s="319"/>
      <c r="Y151" s="319"/>
    </row>
    <row r="152" spans="1:25" x14ac:dyDescent="0.2">
      <c r="A152" s="260" t="s">
        <v>365</v>
      </c>
      <c r="B152" s="300">
        <v>13.806495123368881</v>
      </c>
      <c r="C152" s="300">
        <v>12.370097304313303</v>
      </c>
      <c r="D152" s="300">
        <v>4.3532787057290498</v>
      </c>
      <c r="E152" s="300">
        <f>SUM(B152:D152)</f>
        <v>30.529871133411234</v>
      </c>
      <c r="F152" s="300"/>
      <c r="G152" s="300">
        <v>14.262217949042407</v>
      </c>
      <c r="H152" s="300">
        <v>11.996549966983535</v>
      </c>
      <c r="I152" s="300">
        <v>5.3730701998442729</v>
      </c>
      <c r="J152" s="300">
        <f>SUM(G152:I152)</f>
        <v>31.631838115870217</v>
      </c>
      <c r="K152" s="300"/>
      <c r="L152" s="300">
        <v>11.863793923502998</v>
      </c>
      <c r="M152" s="300">
        <v>12.084976674534438</v>
      </c>
      <c r="N152" s="300">
        <v>4.8483394967745097</v>
      </c>
      <c r="O152" s="300">
        <f>SUM(L152:N152)</f>
        <v>28.797110094811945</v>
      </c>
      <c r="P152" s="300"/>
      <c r="Q152" s="300">
        <v>12.632407522607307</v>
      </c>
      <c r="R152" s="300">
        <v>12.403463049102214</v>
      </c>
      <c r="S152" s="300">
        <v>4.9868759442600155</v>
      </c>
      <c r="T152" s="300">
        <f>SUM(Q152:S152)</f>
        <v>30.022746515969537</v>
      </c>
      <c r="U152" s="300"/>
      <c r="V152" s="300">
        <v>13.904039705729383</v>
      </c>
      <c r="W152" s="300">
        <v>12.89803087721322</v>
      </c>
      <c r="X152" s="300">
        <v>5.4171496888641952</v>
      </c>
      <c r="Y152" s="300">
        <f>SUM(V152:X152)</f>
        <v>32.219220271806797</v>
      </c>
    </row>
    <row r="153" spans="1:25" x14ac:dyDescent="0.2">
      <c r="A153" s="260" t="s">
        <v>364</v>
      </c>
      <c r="B153" s="300">
        <v>24.758981992290991</v>
      </c>
      <c r="C153" s="300">
        <v>8.6699127119146731</v>
      </c>
      <c r="D153" s="300">
        <v>6.0562341623829852</v>
      </c>
      <c r="E153" s="300">
        <f t="shared" ref="E153:E154" si="239">SUM(B153:D153)</f>
        <v>39.485128866588646</v>
      </c>
      <c r="F153" s="300"/>
      <c r="G153" s="300">
        <v>23.834272699547743</v>
      </c>
      <c r="H153" s="300">
        <v>9.7006530365392738</v>
      </c>
      <c r="I153" s="300">
        <v>6.5052361480428536</v>
      </c>
      <c r="J153" s="300">
        <f t="shared" ref="J153:J154" si="240">SUM(G153:I153)</f>
        <v>40.040161884129873</v>
      </c>
      <c r="K153" s="300"/>
      <c r="L153" s="300">
        <v>21.483968506919943</v>
      </c>
      <c r="M153" s="300">
        <v>9.4192229990072072</v>
      </c>
      <c r="N153" s="300">
        <v>5.3496983992608085</v>
      </c>
      <c r="O153" s="300">
        <f t="shared" ref="O153:O154" si="241">SUM(L153:N153)</f>
        <v>36.252889905187956</v>
      </c>
      <c r="P153" s="300"/>
      <c r="Q153" s="300">
        <v>22.471962208401383</v>
      </c>
      <c r="R153" s="300">
        <v>9.8321367503484751</v>
      </c>
      <c r="S153" s="300">
        <v>5.5081545252806166</v>
      </c>
      <c r="T153" s="300">
        <f t="shared" ref="T153:T154" si="242">SUM(Q153:S153)</f>
        <v>37.812253484030478</v>
      </c>
      <c r="U153" s="300"/>
      <c r="V153" s="300">
        <v>24.19476175126843</v>
      </c>
      <c r="W153" s="300">
        <v>10.48909700961187</v>
      </c>
      <c r="X153" s="300">
        <v>5.9489209673128816</v>
      </c>
      <c r="Y153" s="300">
        <f t="shared" ref="Y153:Y154" si="243">SUM(V153:X153)</f>
        <v>40.632779728193178</v>
      </c>
    </row>
    <row r="154" spans="1:25" x14ac:dyDescent="0.2">
      <c r="A154" s="264" t="s">
        <v>363</v>
      </c>
      <c r="B154" s="301">
        <f>SUM(B152:B153)</f>
        <v>38.565477115659874</v>
      </c>
      <c r="C154" s="301">
        <f t="shared" ref="C154" si="244">SUM(C152:C153)</f>
        <v>21.040010016227974</v>
      </c>
      <c r="D154" s="301">
        <f t="shared" ref="D154" si="245">SUM(D152:D153)</f>
        <v>10.409512868112035</v>
      </c>
      <c r="E154" s="301">
        <f t="shared" si="239"/>
        <v>70.014999999999887</v>
      </c>
      <c r="F154" s="301"/>
      <c r="G154" s="301">
        <f>SUM(G152:G153)</f>
        <v>38.096490648590148</v>
      </c>
      <c r="H154" s="301">
        <f t="shared" ref="H154" si="246">SUM(H152:H153)</f>
        <v>21.697203003522809</v>
      </c>
      <c r="I154" s="301">
        <f t="shared" ref="I154" si="247">SUM(I152:I153)</f>
        <v>11.878306347887126</v>
      </c>
      <c r="J154" s="301">
        <f t="shared" si="240"/>
        <v>71.672000000000082</v>
      </c>
      <c r="K154" s="301"/>
      <c r="L154" s="301">
        <f>SUM(L152:L153)</f>
        <v>33.347762430422939</v>
      </c>
      <c r="M154" s="301">
        <f t="shared" ref="M154" si="248">SUM(M152:M153)</f>
        <v>21.504199673541645</v>
      </c>
      <c r="N154" s="301">
        <f t="shared" ref="N154" si="249">SUM(N152:N153)</f>
        <v>10.198037896035318</v>
      </c>
      <c r="O154" s="301">
        <f t="shared" si="241"/>
        <v>65.049999999999898</v>
      </c>
      <c r="P154" s="301"/>
      <c r="Q154" s="301">
        <f>SUM(Q152:Q153)</f>
        <v>35.104369731008688</v>
      </c>
      <c r="R154" s="301">
        <f t="shared" ref="R154" si="250">SUM(R152:R153)</f>
        <v>22.235599799450689</v>
      </c>
      <c r="S154" s="301">
        <f t="shared" ref="S154" si="251">SUM(S152:S153)</f>
        <v>10.495030469540632</v>
      </c>
      <c r="T154" s="301">
        <f t="shared" si="242"/>
        <v>67.835000000000008</v>
      </c>
      <c r="U154" s="301"/>
      <c r="V154" s="301">
        <f>SUM(V152:V153)</f>
        <v>38.098801456997812</v>
      </c>
      <c r="W154" s="301">
        <f t="shared" ref="W154" si="252">SUM(W152:W153)</f>
        <v>23.387127886825091</v>
      </c>
      <c r="X154" s="301">
        <f t="shared" ref="X154" si="253">SUM(X152:X153)</f>
        <v>11.366070656177076</v>
      </c>
      <c r="Y154" s="301">
        <f t="shared" si="243"/>
        <v>72.851999999999975</v>
      </c>
    </row>
    <row r="155" spans="1:25" x14ac:dyDescent="0.2">
      <c r="C155" s="263"/>
    </row>
    <row r="156" spans="1:25" x14ac:dyDescent="0.2">
      <c r="A156" s="261"/>
    </row>
    <row r="157" spans="1:25" x14ac:dyDescent="0.2">
      <c r="C157" s="263"/>
    </row>
    <row r="158" spans="1:25" ht="15" x14ac:dyDescent="0.25">
      <c r="A158" s="265" t="str">
        <f>"Industry 18 : "&amp; name!B21</f>
        <v>Industry 18 : Public admin. and defence</v>
      </c>
      <c r="B158" s="374">
        <f>$B$5</f>
        <v>2015</v>
      </c>
      <c r="C158" s="374"/>
      <c r="D158" s="374"/>
      <c r="E158" s="374"/>
      <c r="F158" s="320"/>
      <c r="G158" s="374">
        <f>$G$5</f>
        <v>2019</v>
      </c>
      <c r="H158" s="374"/>
      <c r="I158" s="374"/>
      <c r="J158" s="374"/>
      <c r="K158" s="320"/>
      <c r="L158" s="374">
        <f>$L$5</f>
        <v>2020</v>
      </c>
      <c r="M158" s="374"/>
      <c r="N158" s="374"/>
      <c r="O158" s="374"/>
      <c r="P158" s="318"/>
      <c r="Q158" s="374">
        <f>$Q$5</f>
        <v>2025</v>
      </c>
      <c r="R158" s="374"/>
      <c r="S158" s="374"/>
      <c r="T158" s="374"/>
      <c r="U158" s="320"/>
      <c r="V158" s="374">
        <f>$V$5</f>
        <v>2035</v>
      </c>
      <c r="W158" s="374"/>
      <c r="X158" s="374"/>
      <c r="Y158" s="374"/>
    </row>
    <row r="159" spans="1:25" x14ac:dyDescent="0.2">
      <c r="A159" s="264"/>
      <c r="B159" s="268" t="str">
        <f>$B$6</f>
        <v>FT</v>
      </c>
      <c r="C159" s="268" t="str">
        <f>$C$6</f>
        <v>PT</v>
      </c>
      <c r="D159" s="268" t="str">
        <f>$D$6</f>
        <v>SE</v>
      </c>
      <c r="E159" s="268" t="str">
        <f>$E$6</f>
        <v>Total</v>
      </c>
      <c r="F159" s="268"/>
      <c r="G159" s="268" t="str">
        <f>$B$6</f>
        <v>FT</v>
      </c>
      <c r="H159" s="268" t="str">
        <f>$C$6</f>
        <v>PT</v>
      </c>
      <c r="I159" s="268" t="str">
        <f>$D$6</f>
        <v>SE</v>
      </c>
      <c r="J159" s="268" t="str">
        <f>$E$6</f>
        <v>Total</v>
      </c>
      <c r="K159" s="268"/>
      <c r="L159" s="268" t="str">
        <f>$L$6</f>
        <v>FT</v>
      </c>
      <c r="M159" s="268" t="str">
        <f>$M$6</f>
        <v>PT</v>
      </c>
      <c r="N159" s="268" t="str">
        <f>$N$6</f>
        <v>SE</v>
      </c>
      <c r="O159" s="268" t="str">
        <f>$O$6</f>
        <v>Total</v>
      </c>
      <c r="P159" s="268"/>
      <c r="Q159" s="268" t="str">
        <f>$L$6</f>
        <v>FT</v>
      </c>
      <c r="R159" s="268" t="str">
        <f>$M$6</f>
        <v>PT</v>
      </c>
      <c r="S159" s="268" t="str">
        <f>$N$6</f>
        <v>SE</v>
      </c>
      <c r="T159" s="268" t="str">
        <f>$O$6</f>
        <v>Total</v>
      </c>
      <c r="U159" s="268"/>
      <c r="V159" s="268" t="str">
        <f>$V$6</f>
        <v>FT</v>
      </c>
      <c r="W159" s="268" t="str">
        <f>$W$6</f>
        <v>PT</v>
      </c>
      <c r="X159" s="268" t="str">
        <f>$X$6</f>
        <v>SE</v>
      </c>
      <c r="Y159" s="268" t="str">
        <f>$Y$6</f>
        <v>Total</v>
      </c>
    </row>
    <row r="160" spans="1:25" x14ac:dyDescent="0.2">
      <c r="A160" s="262"/>
      <c r="C160" s="319"/>
      <c r="D160" s="319"/>
      <c r="E160" s="319"/>
      <c r="F160" s="319"/>
      <c r="G160" s="319"/>
      <c r="H160" s="319"/>
      <c r="I160" s="319"/>
      <c r="J160" s="319"/>
      <c r="K160" s="319"/>
      <c r="L160" s="319"/>
      <c r="M160" s="319"/>
      <c r="N160" s="319"/>
      <c r="O160" s="319"/>
      <c r="P160" s="319"/>
      <c r="Q160" s="319"/>
      <c r="R160" s="319"/>
      <c r="S160" s="319"/>
      <c r="T160" s="319"/>
      <c r="U160" s="319"/>
      <c r="V160" s="319"/>
      <c r="W160" s="319"/>
      <c r="X160" s="319"/>
      <c r="Y160" s="319"/>
    </row>
    <row r="161" spans="1:25" x14ac:dyDescent="0.2">
      <c r="A161" s="260" t="s">
        <v>365</v>
      </c>
      <c r="B161" s="300">
        <v>7.9417172427578926</v>
      </c>
      <c r="C161" s="300">
        <v>6.575027357062158</v>
      </c>
      <c r="D161" s="300">
        <v>0.79130482309591432</v>
      </c>
      <c r="E161" s="300">
        <f>SUM(B161:D161)</f>
        <v>15.308049422915964</v>
      </c>
      <c r="F161" s="300"/>
      <c r="G161" s="300">
        <v>7.761180664124673</v>
      </c>
      <c r="H161" s="300">
        <v>6.264753966881579</v>
      </c>
      <c r="I161" s="300">
        <v>0.60907598443926203</v>
      </c>
      <c r="J161" s="300">
        <f>SUM(G161:I161)</f>
        <v>14.635010615445513</v>
      </c>
      <c r="K161" s="300"/>
      <c r="L161" s="300">
        <v>7.9060879880493502</v>
      </c>
      <c r="M161" s="300">
        <v>6.2929490782702411</v>
      </c>
      <c r="N161" s="300">
        <v>0.85002003918497737</v>
      </c>
      <c r="O161" s="300">
        <f>SUM(L161:N161)</f>
        <v>15.049057105504568</v>
      </c>
      <c r="P161" s="300"/>
      <c r="Q161" s="300">
        <v>8.2203458480449356</v>
      </c>
      <c r="R161" s="300">
        <v>6.5565610924548654</v>
      </c>
      <c r="S161" s="300">
        <v>0.88494385913136975</v>
      </c>
      <c r="T161" s="300">
        <f>SUM(Q161:S161)</f>
        <v>15.661850799631171</v>
      </c>
      <c r="U161" s="300"/>
      <c r="V161" s="300">
        <v>8.1726297672818475</v>
      </c>
      <c r="W161" s="300">
        <v>6.5213818465540925</v>
      </c>
      <c r="X161" s="300">
        <v>0.88707997088196389</v>
      </c>
      <c r="Y161" s="300">
        <f>SUM(V161:X161)</f>
        <v>15.581091584717903</v>
      </c>
    </row>
    <row r="162" spans="1:25" x14ac:dyDescent="0.2">
      <c r="A162" s="260" t="s">
        <v>364</v>
      </c>
      <c r="B162" s="300">
        <v>10.005886094713917</v>
      </c>
      <c r="C162" s="300">
        <v>1.4438756868302287</v>
      </c>
      <c r="D162" s="300">
        <v>0.82618879553988622</v>
      </c>
      <c r="E162" s="300">
        <f t="shared" ref="E162:E163" si="254">SUM(B162:D162)</f>
        <v>12.275950577084032</v>
      </c>
      <c r="F162" s="300"/>
      <c r="G162" s="300">
        <v>9.3064647566496301</v>
      </c>
      <c r="H162" s="300">
        <v>1.3473440531023242</v>
      </c>
      <c r="I162" s="300">
        <v>0.63418057480256651</v>
      </c>
      <c r="J162" s="300">
        <f t="shared" ref="J162:J163" si="255">SUM(G162:I162)</f>
        <v>11.287989384554521</v>
      </c>
      <c r="K162" s="300"/>
      <c r="L162" s="300">
        <v>9.5000434170541119</v>
      </c>
      <c r="M162" s="300">
        <v>1.3681658586213923</v>
      </c>
      <c r="N162" s="300">
        <v>0.51373361881988411</v>
      </c>
      <c r="O162" s="300">
        <f t="shared" ref="O162:O163" si="256">SUM(L162:N162)</f>
        <v>11.381942894495388</v>
      </c>
      <c r="P162" s="300"/>
      <c r="Q162" s="300">
        <v>9.6783209560573003</v>
      </c>
      <c r="R162" s="300">
        <v>1.4991746627320677</v>
      </c>
      <c r="S162" s="300">
        <v>0.5346535815794542</v>
      </c>
      <c r="T162" s="300">
        <f t="shared" ref="T162:T163" si="257">SUM(Q162:S162)</f>
        <v>11.712149200368822</v>
      </c>
      <c r="U162" s="300"/>
      <c r="V162" s="300">
        <v>9.2304517763298985</v>
      </c>
      <c r="W162" s="300">
        <v>1.6442031894939317</v>
      </c>
      <c r="X162" s="300">
        <v>0.53725344945828135</v>
      </c>
      <c r="Y162" s="300">
        <f t="shared" ref="Y162:Y163" si="258">SUM(V162:X162)</f>
        <v>11.411908415282111</v>
      </c>
    </row>
    <row r="163" spans="1:25" x14ac:dyDescent="0.2">
      <c r="A163" s="264" t="s">
        <v>363</v>
      </c>
      <c r="B163" s="301">
        <f>SUM(B161:B162)</f>
        <v>17.947603337471811</v>
      </c>
      <c r="C163" s="301">
        <f t="shared" ref="C163" si="259">SUM(C161:C162)</f>
        <v>8.0189030438923865</v>
      </c>
      <c r="D163" s="301">
        <f t="shared" ref="D163" si="260">SUM(D161:D162)</f>
        <v>1.6174936186358004</v>
      </c>
      <c r="E163" s="301">
        <f t="shared" si="254"/>
        <v>27.584</v>
      </c>
      <c r="F163" s="301"/>
      <c r="G163" s="301">
        <f>SUM(G161:G162)</f>
        <v>17.067645420774305</v>
      </c>
      <c r="H163" s="301">
        <f t="shared" ref="H163" si="261">SUM(H161:H162)</f>
        <v>7.612098019983903</v>
      </c>
      <c r="I163" s="301">
        <f t="shared" ref="I163" si="262">SUM(I161:I162)</f>
        <v>1.2432565592418285</v>
      </c>
      <c r="J163" s="301">
        <f t="shared" si="255"/>
        <v>25.923000000000037</v>
      </c>
      <c r="K163" s="301"/>
      <c r="L163" s="301">
        <f>SUM(L161:L162)</f>
        <v>17.406131405103462</v>
      </c>
      <c r="M163" s="301">
        <f t="shared" ref="M163" si="263">SUM(M161:M162)</f>
        <v>7.6611149368916331</v>
      </c>
      <c r="N163" s="301">
        <f t="shared" ref="N163" si="264">SUM(N161:N162)</f>
        <v>1.3637536580048615</v>
      </c>
      <c r="O163" s="301">
        <f t="shared" si="256"/>
        <v>26.430999999999955</v>
      </c>
      <c r="P163" s="301"/>
      <c r="Q163" s="301">
        <f>SUM(Q161:Q162)</f>
        <v>17.898666804102234</v>
      </c>
      <c r="R163" s="301">
        <f t="shared" ref="R163" si="265">SUM(R161:R162)</f>
        <v>8.0557357551869337</v>
      </c>
      <c r="S163" s="301">
        <f t="shared" ref="S163" si="266">SUM(S161:S162)</f>
        <v>1.4195974407108238</v>
      </c>
      <c r="T163" s="301">
        <f t="shared" si="257"/>
        <v>27.373999999999992</v>
      </c>
      <c r="U163" s="301"/>
      <c r="V163" s="301">
        <f>SUM(V161:V162)</f>
        <v>17.403081543611748</v>
      </c>
      <c r="W163" s="301">
        <f t="shared" ref="W163" si="267">SUM(W161:W162)</f>
        <v>8.1655850360480251</v>
      </c>
      <c r="X163" s="301">
        <f t="shared" ref="X163" si="268">SUM(X161:X162)</f>
        <v>1.4243334203402451</v>
      </c>
      <c r="Y163" s="301">
        <f t="shared" si="258"/>
        <v>26.993000000000016</v>
      </c>
    </row>
    <row r="167" spans="1:25" ht="15" x14ac:dyDescent="0.25">
      <c r="A167" s="265" t="str">
        <f>"Industry 19 : "&amp; name!B22</f>
        <v>Industry 19 : Education</v>
      </c>
      <c r="B167" s="374">
        <f>$B$5</f>
        <v>2015</v>
      </c>
      <c r="C167" s="374"/>
      <c r="D167" s="374"/>
      <c r="E167" s="374"/>
      <c r="F167" s="320"/>
      <c r="G167" s="374">
        <f>$G$5</f>
        <v>2019</v>
      </c>
      <c r="H167" s="374"/>
      <c r="I167" s="374"/>
      <c r="J167" s="374"/>
      <c r="K167" s="320"/>
      <c r="L167" s="374">
        <f>$L$5</f>
        <v>2020</v>
      </c>
      <c r="M167" s="374"/>
      <c r="N167" s="374"/>
      <c r="O167" s="374"/>
      <c r="P167" s="318"/>
      <c r="Q167" s="374">
        <f>$Q$5</f>
        <v>2025</v>
      </c>
      <c r="R167" s="374"/>
      <c r="S167" s="374"/>
      <c r="T167" s="374"/>
      <c r="U167" s="320"/>
      <c r="V167" s="374">
        <f>$V$5</f>
        <v>2035</v>
      </c>
      <c r="W167" s="374"/>
      <c r="X167" s="374"/>
      <c r="Y167" s="374"/>
    </row>
    <row r="168" spans="1:25" x14ac:dyDescent="0.2">
      <c r="A168" s="264"/>
      <c r="B168" s="268" t="str">
        <f>$B$6</f>
        <v>FT</v>
      </c>
      <c r="C168" s="268" t="str">
        <f>$C$6</f>
        <v>PT</v>
      </c>
      <c r="D168" s="268" t="str">
        <f>$D$6</f>
        <v>SE</v>
      </c>
      <c r="E168" s="268" t="str">
        <f>$E$6</f>
        <v>Total</v>
      </c>
      <c r="F168" s="268"/>
      <c r="G168" s="268" t="str">
        <f>$B$6</f>
        <v>FT</v>
      </c>
      <c r="H168" s="268" t="str">
        <f>$C$6</f>
        <v>PT</v>
      </c>
      <c r="I168" s="268" t="str">
        <f>$D$6</f>
        <v>SE</v>
      </c>
      <c r="J168" s="268" t="str">
        <f>$E$6</f>
        <v>Total</v>
      </c>
      <c r="K168" s="268"/>
      <c r="L168" s="268" t="str">
        <f>$L$6</f>
        <v>FT</v>
      </c>
      <c r="M168" s="268" t="str">
        <f>$M$6</f>
        <v>PT</v>
      </c>
      <c r="N168" s="268" t="str">
        <f>$N$6</f>
        <v>SE</v>
      </c>
      <c r="O168" s="268" t="str">
        <f>$O$6</f>
        <v>Total</v>
      </c>
      <c r="P168" s="268"/>
      <c r="Q168" s="268" t="str">
        <f>$L$6</f>
        <v>FT</v>
      </c>
      <c r="R168" s="268" t="str">
        <f>$M$6</f>
        <v>PT</v>
      </c>
      <c r="S168" s="268" t="str">
        <f>$N$6</f>
        <v>SE</v>
      </c>
      <c r="T168" s="268" t="str">
        <f>$O$6</f>
        <v>Total</v>
      </c>
      <c r="U168" s="268"/>
      <c r="V168" s="268" t="str">
        <f>$V$6</f>
        <v>FT</v>
      </c>
      <c r="W168" s="268" t="str">
        <f>$W$6</f>
        <v>PT</v>
      </c>
      <c r="X168" s="268" t="str">
        <f>$X$6</f>
        <v>SE</v>
      </c>
      <c r="Y168" s="268" t="str">
        <f>$Y$6</f>
        <v>Total</v>
      </c>
    </row>
    <row r="169" spans="1:25" x14ac:dyDescent="0.2">
      <c r="C169" s="319"/>
      <c r="D169" s="319"/>
      <c r="E169" s="319"/>
      <c r="F169" s="319"/>
      <c r="G169" s="319"/>
      <c r="H169" s="319"/>
      <c r="I169" s="319"/>
      <c r="J169" s="319"/>
      <c r="K169" s="319"/>
      <c r="L169" s="319"/>
      <c r="M169" s="319"/>
      <c r="N169" s="319"/>
      <c r="O169" s="319"/>
      <c r="P169" s="319"/>
      <c r="Q169" s="319"/>
      <c r="R169" s="319"/>
      <c r="S169" s="319"/>
      <c r="T169" s="319"/>
      <c r="U169" s="319"/>
      <c r="V169" s="319"/>
      <c r="W169" s="319"/>
      <c r="X169" s="319"/>
      <c r="Y169" s="319"/>
    </row>
    <row r="170" spans="1:25" x14ac:dyDescent="0.2">
      <c r="A170" s="260" t="s">
        <v>365</v>
      </c>
      <c r="B170" s="300">
        <v>22.005574106823158</v>
      </c>
      <c r="C170" s="300">
        <v>28.054249084991696</v>
      </c>
      <c r="D170" s="300">
        <v>6.7748584216058632</v>
      </c>
      <c r="E170" s="300">
        <f>SUM(B170:D170)</f>
        <v>56.83468161342072</v>
      </c>
      <c r="F170" s="300"/>
      <c r="G170" s="300">
        <v>20.695650795875082</v>
      </c>
      <c r="H170" s="300">
        <v>27.362534932401598</v>
      </c>
      <c r="I170" s="300">
        <v>6.2107611881176101</v>
      </c>
      <c r="J170" s="300">
        <f>SUM(G170:I170)</f>
        <v>54.268946916394292</v>
      </c>
      <c r="K170" s="300"/>
      <c r="L170" s="300">
        <v>19.472539268660721</v>
      </c>
      <c r="M170" s="300">
        <v>26.832282633172483</v>
      </c>
      <c r="N170" s="300">
        <v>6.0661438038984778</v>
      </c>
      <c r="O170" s="300">
        <f>SUM(L170:N170)</f>
        <v>52.370965705731685</v>
      </c>
      <c r="P170" s="300"/>
      <c r="Q170" s="300">
        <v>19.862888674685948</v>
      </c>
      <c r="R170" s="300">
        <v>26.198799053692177</v>
      </c>
      <c r="S170" s="300">
        <v>6.1208193838995966</v>
      </c>
      <c r="T170" s="300">
        <f>SUM(Q170:S170)</f>
        <v>52.182507112277719</v>
      </c>
      <c r="U170" s="300"/>
      <c r="V170" s="300">
        <v>21.326063198007329</v>
      </c>
      <c r="W170" s="300">
        <v>25.713231727255604</v>
      </c>
      <c r="X170" s="300">
        <v>6.2891614510105249</v>
      </c>
      <c r="Y170" s="300">
        <f>SUM(V170:X170)</f>
        <v>53.328456376273465</v>
      </c>
    </row>
    <row r="171" spans="1:25" x14ac:dyDescent="0.2">
      <c r="A171" s="260" t="s">
        <v>364</v>
      </c>
      <c r="B171" s="300">
        <v>14.439904266828908</v>
      </c>
      <c r="C171" s="300">
        <v>5.7525613429836788</v>
      </c>
      <c r="D171" s="300">
        <v>3.0848527767666249</v>
      </c>
      <c r="E171" s="300">
        <f t="shared" ref="E171" si="269">SUM(B171:D171)</f>
        <v>23.277318386579211</v>
      </c>
      <c r="F171" s="300"/>
      <c r="G171" s="300">
        <v>13.105706801825864</v>
      </c>
      <c r="H171" s="300">
        <v>5.9970645192292897</v>
      </c>
      <c r="I171" s="300">
        <v>3.6602817625504556</v>
      </c>
      <c r="J171" s="300">
        <f t="shared" ref="J171:J172" si="270">SUM(G171:I171)</f>
        <v>22.763053083605609</v>
      </c>
      <c r="K171" s="300"/>
      <c r="L171" s="300">
        <v>12.441393581104489</v>
      </c>
      <c r="M171" s="300">
        <v>6.2652840682780866</v>
      </c>
      <c r="N171" s="300">
        <v>4.038356644885754</v>
      </c>
      <c r="O171" s="300">
        <f t="shared" ref="O171:O172" si="271">SUM(L171:N171)</f>
        <v>22.745034294268329</v>
      </c>
      <c r="P171" s="300"/>
      <c r="Q171" s="300">
        <v>12.25270244978727</v>
      </c>
      <c r="R171" s="300">
        <v>6.3359103788482516</v>
      </c>
      <c r="S171" s="300">
        <v>4.1078800590867477</v>
      </c>
      <c r="T171" s="300">
        <f t="shared" ref="T171:T172" si="272">SUM(Q171:S171)</f>
        <v>22.696492887722272</v>
      </c>
      <c r="U171" s="300"/>
      <c r="V171" s="300">
        <v>12.254458656747408</v>
      </c>
      <c r="W171" s="300">
        <v>6.6417307390112903</v>
      </c>
      <c r="X171" s="300">
        <v>4.3443542279678029</v>
      </c>
      <c r="Y171" s="300">
        <f t="shared" ref="Y171:Y172" si="273">SUM(V171:X171)</f>
        <v>23.240543623726499</v>
      </c>
    </row>
    <row r="172" spans="1:25" x14ac:dyDescent="0.2">
      <c r="A172" s="264" t="s">
        <v>363</v>
      </c>
      <c r="B172" s="301">
        <f>SUM(B170:B171)</f>
        <v>36.445478373652065</v>
      </c>
      <c r="C172" s="301">
        <f t="shared" ref="C172" si="274">SUM(C170:C171)</f>
        <v>33.806810427975378</v>
      </c>
      <c r="D172" s="301">
        <f t="shared" ref="D172" si="275">SUM(D170:D171)</f>
        <v>9.8597111983724872</v>
      </c>
      <c r="E172" s="301">
        <f>SUM(B172:D172)</f>
        <v>80.111999999999938</v>
      </c>
      <c r="F172" s="301"/>
      <c r="G172" s="301">
        <f>SUM(G170:G171)</f>
        <v>33.801357597700942</v>
      </c>
      <c r="H172" s="301">
        <f t="shared" ref="H172" si="276">SUM(H170:H171)</f>
        <v>33.359599451630885</v>
      </c>
      <c r="I172" s="301">
        <f t="shared" ref="I172" si="277">SUM(I170:I171)</f>
        <v>9.8710429506680661</v>
      </c>
      <c r="J172" s="301">
        <f t="shared" si="270"/>
        <v>77.031999999999897</v>
      </c>
      <c r="K172" s="301"/>
      <c r="L172" s="301">
        <f>SUM(L170:L171)</f>
        <v>31.91393284976521</v>
      </c>
      <c r="M172" s="301">
        <f t="shared" ref="M172" si="278">SUM(M170:M171)</f>
        <v>33.097566701450567</v>
      </c>
      <c r="N172" s="301">
        <f t="shared" ref="N172" si="279">SUM(N170:N171)</f>
        <v>10.104500448784233</v>
      </c>
      <c r="O172" s="301">
        <f t="shared" si="271"/>
        <v>75.116000000000014</v>
      </c>
      <c r="P172" s="301"/>
      <c r="Q172" s="301">
        <f>SUM(Q170:Q171)</f>
        <v>32.11559112447322</v>
      </c>
      <c r="R172" s="301">
        <f t="shared" ref="R172" si="280">SUM(R170:R171)</f>
        <v>32.534709432540431</v>
      </c>
      <c r="S172" s="301">
        <f t="shared" ref="S172" si="281">SUM(S170:S171)</f>
        <v>10.228699442986343</v>
      </c>
      <c r="T172" s="301">
        <f t="shared" si="272"/>
        <v>74.878999999999991</v>
      </c>
      <c r="U172" s="301"/>
      <c r="V172" s="301">
        <f>SUM(V170:V171)</f>
        <v>33.580521854754736</v>
      </c>
      <c r="W172" s="301">
        <f t="shared" ref="W172" si="282">SUM(W170:W171)</f>
        <v>32.354962466266898</v>
      </c>
      <c r="X172" s="301">
        <f t="shared" ref="X172" si="283">SUM(X170:X171)</f>
        <v>10.633515678978327</v>
      </c>
      <c r="Y172" s="301">
        <f t="shared" si="273"/>
        <v>76.56899999999996</v>
      </c>
    </row>
    <row r="176" spans="1:25" ht="15" x14ac:dyDescent="0.25">
      <c r="A176" s="265" t="str">
        <f>"Industry 20 : "&amp; name!B23</f>
        <v>Industry 20 : Health and social work</v>
      </c>
      <c r="B176" s="374">
        <f>$B$5</f>
        <v>2015</v>
      </c>
      <c r="C176" s="374"/>
      <c r="D176" s="374"/>
      <c r="E176" s="374"/>
      <c r="F176" s="320"/>
      <c r="G176" s="374">
        <f>$G$5</f>
        <v>2019</v>
      </c>
      <c r="H176" s="374"/>
      <c r="I176" s="374"/>
      <c r="J176" s="374"/>
      <c r="K176" s="320"/>
      <c r="L176" s="374">
        <f>$L$5</f>
        <v>2020</v>
      </c>
      <c r="M176" s="374"/>
      <c r="N176" s="374"/>
      <c r="O176" s="374"/>
      <c r="P176" s="318"/>
      <c r="Q176" s="374">
        <f>$Q$5</f>
        <v>2025</v>
      </c>
      <c r="R176" s="374"/>
      <c r="S176" s="374"/>
      <c r="T176" s="374"/>
      <c r="U176" s="320"/>
      <c r="V176" s="374">
        <f>$V$5</f>
        <v>2035</v>
      </c>
      <c r="W176" s="374"/>
      <c r="X176" s="374"/>
      <c r="Y176" s="374"/>
    </row>
    <row r="177" spans="1:25" x14ac:dyDescent="0.2">
      <c r="A177" s="264"/>
      <c r="B177" s="268" t="str">
        <f>$B$6</f>
        <v>FT</v>
      </c>
      <c r="C177" s="268" t="str">
        <f>$C$6</f>
        <v>PT</v>
      </c>
      <c r="D177" s="268" t="str">
        <f>$D$6</f>
        <v>SE</v>
      </c>
      <c r="E177" s="268" t="str">
        <f>$E$6</f>
        <v>Total</v>
      </c>
      <c r="F177" s="268"/>
      <c r="G177" s="268" t="str">
        <f>$B$6</f>
        <v>FT</v>
      </c>
      <c r="H177" s="268" t="str">
        <f>$C$6</f>
        <v>PT</v>
      </c>
      <c r="I177" s="268" t="str">
        <f>$D$6</f>
        <v>SE</v>
      </c>
      <c r="J177" s="268" t="str">
        <f>$E$6</f>
        <v>Total</v>
      </c>
      <c r="K177" s="268"/>
      <c r="L177" s="268" t="str">
        <f>$L$6</f>
        <v>FT</v>
      </c>
      <c r="M177" s="268" t="str">
        <f>$M$6</f>
        <v>PT</v>
      </c>
      <c r="N177" s="268" t="str">
        <f>$N$6</f>
        <v>SE</v>
      </c>
      <c r="O177" s="268" t="str">
        <f>$O$6</f>
        <v>Total</v>
      </c>
      <c r="P177" s="268"/>
      <c r="Q177" s="268" t="str">
        <f>$L$6</f>
        <v>FT</v>
      </c>
      <c r="R177" s="268" t="str">
        <f>$M$6</f>
        <v>PT</v>
      </c>
      <c r="S177" s="268" t="str">
        <f>$N$6</f>
        <v>SE</v>
      </c>
      <c r="T177" s="268" t="str">
        <f>$O$6</f>
        <v>Total</v>
      </c>
      <c r="U177" s="268"/>
      <c r="V177" s="268" t="str">
        <f>$V$6</f>
        <v>FT</v>
      </c>
      <c r="W177" s="268" t="str">
        <f>$W$6</f>
        <v>PT</v>
      </c>
      <c r="X177" s="268" t="str">
        <f>$X$6</f>
        <v>SE</v>
      </c>
      <c r="Y177" s="268" t="str">
        <f>$Y$6</f>
        <v>Total</v>
      </c>
    </row>
    <row r="178" spans="1:25" x14ac:dyDescent="0.2">
      <c r="C178" s="319"/>
      <c r="D178" s="319"/>
      <c r="E178" s="319"/>
      <c r="F178" s="319"/>
      <c r="G178" s="319"/>
      <c r="H178" s="319"/>
      <c r="I178" s="319"/>
      <c r="J178" s="319"/>
      <c r="K178" s="319"/>
      <c r="L178" s="319"/>
      <c r="M178" s="319"/>
      <c r="N178" s="319"/>
      <c r="O178" s="319"/>
      <c r="P178" s="319"/>
      <c r="Q178" s="319"/>
      <c r="R178" s="319"/>
      <c r="S178" s="319"/>
      <c r="T178" s="319"/>
      <c r="U178" s="319"/>
      <c r="V178" s="319"/>
      <c r="W178" s="319"/>
      <c r="X178" s="319"/>
      <c r="Y178" s="319"/>
    </row>
    <row r="179" spans="1:25" x14ac:dyDescent="0.2">
      <c r="A179" s="260" t="s">
        <v>365</v>
      </c>
      <c r="B179" s="300">
        <v>33.305017612682342</v>
      </c>
      <c r="C179" s="300">
        <v>31.448483109653623</v>
      </c>
      <c r="D179" s="300">
        <v>7.3311027183794808</v>
      </c>
      <c r="E179" s="300">
        <f>SUM(B179:D179)</f>
        <v>72.084603440715441</v>
      </c>
      <c r="F179" s="300"/>
      <c r="G179" s="300">
        <v>36.868169664625263</v>
      </c>
      <c r="H179" s="300">
        <v>34.80490893730336</v>
      </c>
      <c r="I179" s="300">
        <v>7.1603078373745666</v>
      </c>
      <c r="J179" s="300">
        <f>SUM(G179:I179)</f>
        <v>78.833386439303183</v>
      </c>
      <c r="K179" s="300"/>
      <c r="L179" s="300">
        <v>35.964313110904996</v>
      </c>
      <c r="M179" s="300">
        <v>33.584650702540515</v>
      </c>
      <c r="N179" s="300">
        <v>6.9443267312811194</v>
      </c>
      <c r="O179" s="300">
        <f>SUM(L179:N179)</f>
        <v>76.493290544726634</v>
      </c>
      <c r="P179" s="300"/>
      <c r="Q179" s="300">
        <v>38.431973981777389</v>
      </c>
      <c r="R179" s="300">
        <v>33.798485381057489</v>
      </c>
      <c r="S179" s="300">
        <v>7.6024343763797742</v>
      </c>
      <c r="T179" s="300">
        <f>SUM(Q179:S179)</f>
        <v>79.832893739214654</v>
      </c>
      <c r="U179" s="300"/>
      <c r="V179" s="300">
        <v>40.929448164574183</v>
      </c>
      <c r="W179" s="300">
        <v>31.795651191889664</v>
      </c>
      <c r="X179" s="300">
        <v>8.3004920209875941</v>
      </c>
      <c r="Y179" s="300">
        <f>SUM(V179:X179)</f>
        <v>81.025591377451434</v>
      </c>
    </row>
    <row r="180" spans="1:25" x14ac:dyDescent="0.2">
      <c r="A180" s="260" t="s">
        <v>364</v>
      </c>
      <c r="B180" s="300">
        <v>13.929697502298437</v>
      </c>
      <c r="C180" s="300">
        <v>5.2050226968242139</v>
      </c>
      <c r="D180" s="300">
        <v>1.11967636016191</v>
      </c>
      <c r="E180" s="300">
        <f t="shared" ref="E180:E181" si="284">SUM(B180:D180)</f>
        <v>20.254396559284562</v>
      </c>
      <c r="F180" s="300"/>
      <c r="G180" s="300">
        <v>12.78609772495644</v>
      </c>
      <c r="H180" s="300">
        <v>4.1880418405692188</v>
      </c>
      <c r="I180" s="300">
        <v>1.9034739951712056</v>
      </c>
      <c r="J180" s="300">
        <f t="shared" ref="J180:J181" si="285">SUM(G180:I180)</f>
        <v>18.877613560696862</v>
      </c>
      <c r="K180" s="300"/>
      <c r="L180" s="300">
        <v>12.839971823851872</v>
      </c>
      <c r="M180" s="300">
        <v>5.4970466697223115</v>
      </c>
      <c r="N180" s="300">
        <v>1.738690961699332</v>
      </c>
      <c r="O180" s="300">
        <f t="shared" ref="O180:O181" si="286">SUM(L180:N180)</f>
        <v>20.075709455273518</v>
      </c>
      <c r="P180" s="300"/>
      <c r="Q180" s="300">
        <v>13.412335451108692</v>
      </c>
      <c r="R180" s="300">
        <v>5.8137341229773059</v>
      </c>
      <c r="S180" s="300">
        <v>1.7470366866994036</v>
      </c>
      <c r="T180" s="300">
        <f t="shared" ref="T180:T181" si="287">SUM(Q180:S180)</f>
        <v>20.9731062607854</v>
      </c>
      <c r="U180" s="300"/>
      <c r="V180" s="300">
        <v>13.67715388453642</v>
      </c>
      <c r="W180" s="300">
        <v>6.0658790227526902</v>
      </c>
      <c r="X180" s="300">
        <v>1.6283757152594642</v>
      </c>
      <c r="Y180" s="300">
        <f t="shared" ref="Y180:Y181" si="288">SUM(V180:X180)</f>
        <v>21.371408622548572</v>
      </c>
    </row>
    <row r="181" spans="1:25" x14ac:dyDescent="0.2">
      <c r="A181" s="264" t="s">
        <v>363</v>
      </c>
      <c r="B181" s="301">
        <f>SUM(B179:B180)</f>
        <v>47.23471511498078</v>
      </c>
      <c r="C181" s="301">
        <f t="shared" ref="C181" si="289">SUM(C179:C180)</f>
        <v>36.653505806477838</v>
      </c>
      <c r="D181" s="301">
        <f t="shared" ref="D181" si="290">SUM(D179:D180)</f>
        <v>8.450779078541391</v>
      </c>
      <c r="E181" s="301">
        <f t="shared" si="284"/>
        <v>92.338999999999999</v>
      </c>
      <c r="F181" s="301"/>
      <c r="G181" s="301">
        <f>SUM(G179:G180)</f>
        <v>49.654267389581705</v>
      </c>
      <c r="H181" s="301">
        <f t="shared" ref="H181" si="291">SUM(H179:H180)</f>
        <v>38.992950777872579</v>
      </c>
      <c r="I181" s="301">
        <f t="shared" ref="I181" si="292">SUM(I179:I180)</f>
        <v>9.0637818325457715</v>
      </c>
      <c r="J181" s="301">
        <f t="shared" si="285"/>
        <v>97.711000000000055</v>
      </c>
      <c r="K181" s="301"/>
      <c r="L181" s="301">
        <f>SUM(L179:L180)</f>
        <v>48.804284934756865</v>
      </c>
      <c r="M181" s="301">
        <f t="shared" ref="M181" si="293">SUM(M179:M180)</f>
        <v>39.081697372262823</v>
      </c>
      <c r="N181" s="301">
        <f t="shared" ref="N181" si="294">SUM(N179:N180)</f>
        <v>8.6830176929804512</v>
      </c>
      <c r="O181" s="301">
        <f t="shared" si="286"/>
        <v>96.569000000000145</v>
      </c>
      <c r="P181" s="301"/>
      <c r="Q181" s="301">
        <f>SUM(Q179:Q180)</f>
        <v>51.844309432886078</v>
      </c>
      <c r="R181" s="301">
        <f t="shared" ref="R181" si="295">SUM(R179:R180)</f>
        <v>39.612219504034798</v>
      </c>
      <c r="S181" s="301">
        <f t="shared" ref="S181" si="296">SUM(S179:S180)</f>
        <v>9.3494710630791786</v>
      </c>
      <c r="T181" s="301">
        <f t="shared" si="287"/>
        <v>100.80600000000005</v>
      </c>
      <c r="U181" s="301"/>
      <c r="V181" s="301">
        <f>SUM(V179:V180)</f>
        <v>54.606602049110606</v>
      </c>
      <c r="W181" s="301">
        <f t="shared" ref="W181" si="297">SUM(W179:W180)</f>
        <v>37.861530214642357</v>
      </c>
      <c r="X181" s="301">
        <f t="shared" ref="X181" si="298">SUM(X179:X180)</f>
        <v>9.9288677362470583</v>
      </c>
      <c r="Y181" s="301">
        <f t="shared" si="288"/>
        <v>102.39700000000002</v>
      </c>
    </row>
    <row r="182" spans="1:25" x14ac:dyDescent="0.2">
      <c r="C182" s="263"/>
    </row>
    <row r="183" spans="1:25" x14ac:dyDescent="0.2">
      <c r="A183" s="261"/>
    </row>
    <row r="184" spans="1:25" x14ac:dyDescent="0.2">
      <c r="C184" s="263"/>
    </row>
    <row r="185" spans="1:25" ht="15" x14ac:dyDescent="0.25">
      <c r="A185" s="265" t="str">
        <f>"Industry 21 : "&amp; name!B24</f>
        <v>Industry 21 : Arts and entertainment</v>
      </c>
      <c r="B185" s="374">
        <f>$B$5</f>
        <v>2015</v>
      </c>
      <c r="C185" s="374"/>
      <c r="D185" s="374"/>
      <c r="E185" s="374"/>
      <c r="F185" s="320"/>
      <c r="G185" s="374">
        <f>$G$5</f>
        <v>2019</v>
      </c>
      <c r="H185" s="374"/>
      <c r="I185" s="374"/>
      <c r="J185" s="374"/>
      <c r="K185" s="320"/>
      <c r="L185" s="374">
        <f>$L$5</f>
        <v>2020</v>
      </c>
      <c r="M185" s="374"/>
      <c r="N185" s="374"/>
      <c r="O185" s="374"/>
      <c r="P185" s="318"/>
      <c r="Q185" s="374">
        <f>$Q$5</f>
        <v>2025</v>
      </c>
      <c r="R185" s="374"/>
      <c r="S185" s="374"/>
      <c r="T185" s="374"/>
      <c r="U185" s="320"/>
      <c r="V185" s="374">
        <f>$V$5</f>
        <v>2035</v>
      </c>
      <c r="W185" s="374"/>
      <c r="X185" s="374"/>
      <c r="Y185" s="374"/>
    </row>
    <row r="186" spans="1:25" x14ac:dyDescent="0.2">
      <c r="A186" s="264"/>
      <c r="B186" s="268" t="str">
        <f>$B$6</f>
        <v>FT</v>
      </c>
      <c r="C186" s="268" t="str">
        <f>$C$6</f>
        <v>PT</v>
      </c>
      <c r="D186" s="268" t="str">
        <f>$D$6</f>
        <v>SE</v>
      </c>
      <c r="E186" s="268" t="str">
        <f>$E$6</f>
        <v>Total</v>
      </c>
      <c r="F186" s="268"/>
      <c r="G186" s="268" t="str">
        <f>$B$6</f>
        <v>FT</v>
      </c>
      <c r="H186" s="268" t="str">
        <f>$C$6</f>
        <v>PT</v>
      </c>
      <c r="I186" s="268" t="str">
        <f>$D$6</f>
        <v>SE</v>
      </c>
      <c r="J186" s="268" t="str">
        <f>$E$6</f>
        <v>Total</v>
      </c>
      <c r="K186" s="268"/>
      <c r="L186" s="268" t="str">
        <f>$L$6</f>
        <v>FT</v>
      </c>
      <c r="M186" s="268" t="str">
        <f>$M$6</f>
        <v>PT</v>
      </c>
      <c r="N186" s="268" t="str">
        <f>$N$6</f>
        <v>SE</v>
      </c>
      <c r="O186" s="268" t="str">
        <f>$O$6</f>
        <v>Total</v>
      </c>
      <c r="P186" s="268"/>
      <c r="Q186" s="268" t="str">
        <f>$L$6</f>
        <v>FT</v>
      </c>
      <c r="R186" s="268" t="str">
        <f>$M$6</f>
        <v>PT</v>
      </c>
      <c r="S186" s="268" t="str">
        <f>$N$6</f>
        <v>SE</v>
      </c>
      <c r="T186" s="268" t="str">
        <f>$O$6</f>
        <v>Total</v>
      </c>
      <c r="U186" s="268"/>
      <c r="V186" s="268" t="str">
        <f>$V$6</f>
        <v>FT</v>
      </c>
      <c r="W186" s="268" t="str">
        <f>$W$6</f>
        <v>PT</v>
      </c>
      <c r="X186" s="268" t="str">
        <f>$X$6</f>
        <v>SE</v>
      </c>
      <c r="Y186" s="268" t="str">
        <f>$Y$6</f>
        <v>Total</v>
      </c>
    </row>
    <row r="187" spans="1:25" x14ac:dyDescent="0.2">
      <c r="A187" s="262"/>
      <c r="C187" s="319"/>
      <c r="D187" s="319"/>
      <c r="E187" s="319"/>
      <c r="F187" s="319"/>
      <c r="G187" s="319"/>
      <c r="H187" s="319"/>
      <c r="I187" s="319"/>
      <c r="J187" s="319"/>
      <c r="K187" s="319"/>
      <c r="L187" s="319"/>
      <c r="M187" s="319"/>
      <c r="N187" s="319"/>
      <c r="O187" s="319"/>
      <c r="P187" s="319"/>
      <c r="Q187" s="319"/>
      <c r="R187" s="319"/>
      <c r="S187" s="319"/>
      <c r="T187" s="319"/>
      <c r="U187" s="319"/>
      <c r="V187" s="319"/>
      <c r="W187" s="319"/>
      <c r="X187" s="319"/>
      <c r="Y187" s="319"/>
    </row>
    <row r="188" spans="1:25" x14ac:dyDescent="0.2">
      <c r="A188" s="260" t="s">
        <v>365</v>
      </c>
      <c r="B188" s="300">
        <v>3.860149721304297</v>
      </c>
      <c r="C188" s="300">
        <v>6.4678602963361254</v>
      </c>
      <c r="D188" s="300">
        <v>4.2847475316298631</v>
      </c>
      <c r="E188" s="300">
        <f>SUM(B188:D188)</f>
        <v>14.612757549270286</v>
      </c>
      <c r="F188" s="300"/>
      <c r="G188" s="300">
        <v>3.2153342983357249</v>
      </c>
      <c r="H188" s="300">
        <v>6.4079707500743304</v>
      </c>
      <c r="I188" s="300">
        <v>3.817894231418911</v>
      </c>
      <c r="J188" s="300">
        <f>SUM(G188:I188)</f>
        <v>13.441199279828966</v>
      </c>
      <c r="K188" s="300"/>
      <c r="L188" s="300">
        <v>3.5618423868763012</v>
      </c>
      <c r="M188" s="300">
        <v>5.9974700166885233</v>
      </c>
      <c r="N188" s="300">
        <v>4.4701112301793975</v>
      </c>
      <c r="O188" s="300">
        <f>SUM(L188:N188)</f>
        <v>14.029423633744223</v>
      </c>
      <c r="P188" s="300"/>
      <c r="Q188" s="300">
        <v>3.7852276709518353</v>
      </c>
      <c r="R188" s="300">
        <v>6.6485387917760717</v>
      </c>
      <c r="S188" s="300">
        <v>4.6259085617452778</v>
      </c>
      <c r="T188" s="300">
        <f>SUM(Q188:S188)</f>
        <v>15.059675024473183</v>
      </c>
      <c r="U188" s="300"/>
      <c r="V188" s="300">
        <v>3.9104106310483622</v>
      </c>
      <c r="W188" s="300">
        <v>7.2653277810956585</v>
      </c>
      <c r="X188" s="300">
        <v>5.1315781181902391</v>
      </c>
      <c r="Y188" s="300">
        <f>SUM(V188:X188)</f>
        <v>16.307316530334262</v>
      </c>
    </row>
    <row r="189" spans="1:25" x14ac:dyDescent="0.2">
      <c r="A189" s="260" t="s">
        <v>364</v>
      </c>
      <c r="B189" s="300">
        <v>6.306977532222505</v>
      </c>
      <c r="C189" s="300">
        <v>4.4477035271757401</v>
      </c>
      <c r="D189" s="300">
        <v>6.2555613913315344</v>
      </c>
      <c r="E189" s="300">
        <f t="shared" ref="E189:E190" si="299">SUM(B189:D189)</f>
        <v>17.010242450729777</v>
      </c>
      <c r="F189" s="300"/>
      <c r="G189" s="300">
        <v>4.8208674619782999</v>
      </c>
      <c r="H189" s="300">
        <v>4.1544819597305063</v>
      </c>
      <c r="I189" s="300">
        <v>4.2524512984622209</v>
      </c>
      <c r="J189" s="300">
        <f t="shared" ref="J189:J190" si="300">SUM(G189:I189)</f>
        <v>13.227800720171027</v>
      </c>
      <c r="K189" s="300"/>
      <c r="L189" s="300">
        <v>4.8090953087989243</v>
      </c>
      <c r="M189" s="300">
        <v>3.8527586774894567</v>
      </c>
      <c r="N189" s="300">
        <v>3.5707223799674108</v>
      </c>
      <c r="O189" s="300">
        <f t="shared" ref="O189:O190" si="301">SUM(L189:N189)</f>
        <v>12.232576366255792</v>
      </c>
      <c r="P189" s="300"/>
      <c r="Q189" s="300">
        <v>5.3528988691131394</v>
      </c>
      <c r="R189" s="300">
        <v>4.3983306979210495</v>
      </c>
      <c r="S189" s="300">
        <v>3.9240954084926063</v>
      </c>
      <c r="T189" s="300">
        <f t="shared" ref="T189:T190" si="302">SUM(Q189:S189)</f>
        <v>13.675324975526795</v>
      </c>
      <c r="U189" s="300"/>
      <c r="V189" s="300">
        <v>5.9349777807638846</v>
      </c>
      <c r="W189" s="300">
        <v>5.0485435196002237</v>
      </c>
      <c r="X189" s="300">
        <v>4.5371621693016069</v>
      </c>
      <c r="Y189" s="300">
        <f t="shared" ref="Y189:Y190" si="303">SUM(V189:X189)</f>
        <v>15.520683469665716</v>
      </c>
    </row>
    <row r="190" spans="1:25" x14ac:dyDescent="0.2">
      <c r="A190" s="264" t="s">
        <v>363</v>
      </c>
      <c r="B190" s="301">
        <f>SUM(B188:B189)</f>
        <v>10.167127253526802</v>
      </c>
      <c r="C190" s="301">
        <f t="shared" ref="C190" si="304">SUM(C188:C189)</f>
        <v>10.915563823511865</v>
      </c>
      <c r="D190" s="301">
        <f t="shared" ref="D190" si="305">SUM(D188:D189)</f>
        <v>10.540308922961398</v>
      </c>
      <c r="E190" s="301">
        <f t="shared" si="299"/>
        <v>31.623000000000065</v>
      </c>
      <c r="F190" s="301"/>
      <c r="G190" s="301">
        <f>SUM(G188:G189)</f>
        <v>8.0362017603140252</v>
      </c>
      <c r="H190" s="301">
        <f t="shared" ref="H190" si="306">SUM(H188:H189)</f>
        <v>10.562452709804838</v>
      </c>
      <c r="I190" s="301">
        <f t="shared" ref="I190" si="307">SUM(I188:I189)</f>
        <v>8.0703455298811324</v>
      </c>
      <c r="J190" s="301">
        <f t="shared" si="300"/>
        <v>26.668999999999997</v>
      </c>
      <c r="K190" s="301"/>
      <c r="L190" s="301">
        <f>SUM(L188:L189)</f>
        <v>8.3709376956752255</v>
      </c>
      <c r="M190" s="301">
        <f t="shared" ref="M190" si="308">SUM(M188:M189)</f>
        <v>9.8502286941779804</v>
      </c>
      <c r="N190" s="301">
        <f t="shared" ref="N190" si="309">SUM(N188:N189)</f>
        <v>8.0408336101468088</v>
      </c>
      <c r="O190" s="301">
        <f t="shared" si="301"/>
        <v>26.262000000000015</v>
      </c>
      <c r="P190" s="301"/>
      <c r="Q190" s="301">
        <f>SUM(Q188:Q189)</f>
        <v>9.1381265400649738</v>
      </c>
      <c r="R190" s="301">
        <f t="shared" ref="R190" si="310">SUM(R188:R189)</f>
        <v>11.046869489697121</v>
      </c>
      <c r="S190" s="301">
        <f t="shared" ref="S190" si="311">SUM(S188:S189)</f>
        <v>8.5500039702378849</v>
      </c>
      <c r="T190" s="301">
        <f t="shared" si="302"/>
        <v>28.734999999999982</v>
      </c>
      <c r="U190" s="301"/>
      <c r="V190" s="301">
        <f>SUM(V188:V189)</f>
        <v>9.8453884118122463</v>
      </c>
      <c r="W190" s="301">
        <f t="shared" ref="W190" si="312">SUM(W188:W189)</f>
        <v>12.313871300695883</v>
      </c>
      <c r="X190" s="301">
        <f t="shared" ref="X190" si="313">SUM(X188:X189)</f>
        <v>9.6687402874918469</v>
      </c>
      <c r="Y190" s="301">
        <f t="shared" si="303"/>
        <v>31.827999999999978</v>
      </c>
    </row>
    <row r="194" spans="1:25" ht="15" x14ac:dyDescent="0.25">
      <c r="A194" s="265" t="str">
        <f>"Industry 22 : "&amp; name!B25</f>
        <v>Industry 22 : Other services</v>
      </c>
      <c r="B194" s="374">
        <f>$B$5</f>
        <v>2015</v>
      </c>
      <c r="C194" s="374"/>
      <c r="D194" s="374"/>
      <c r="E194" s="374"/>
      <c r="F194" s="320"/>
      <c r="G194" s="374">
        <f>$G$5</f>
        <v>2019</v>
      </c>
      <c r="H194" s="374"/>
      <c r="I194" s="374"/>
      <c r="J194" s="374"/>
      <c r="K194" s="320"/>
      <c r="L194" s="374">
        <f>$L$5</f>
        <v>2020</v>
      </c>
      <c r="M194" s="374"/>
      <c r="N194" s="374"/>
      <c r="O194" s="374"/>
      <c r="P194" s="318"/>
      <c r="Q194" s="374">
        <f>$Q$5</f>
        <v>2025</v>
      </c>
      <c r="R194" s="374"/>
      <c r="S194" s="374"/>
      <c r="T194" s="374"/>
      <c r="U194" s="320"/>
      <c r="V194" s="374">
        <f>$V$5</f>
        <v>2035</v>
      </c>
      <c r="W194" s="374"/>
      <c r="X194" s="374"/>
      <c r="Y194" s="374"/>
    </row>
    <row r="195" spans="1:25" x14ac:dyDescent="0.2">
      <c r="A195" s="264"/>
      <c r="B195" s="268" t="str">
        <f>$B$6</f>
        <v>FT</v>
      </c>
      <c r="C195" s="268" t="str">
        <f>$C$6</f>
        <v>PT</v>
      </c>
      <c r="D195" s="268" t="str">
        <f>$D$6</f>
        <v>SE</v>
      </c>
      <c r="E195" s="268" t="str">
        <f>$E$6</f>
        <v>Total</v>
      </c>
      <c r="F195" s="268"/>
      <c r="G195" s="268" t="str">
        <f>$B$6</f>
        <v>FT</v>
      </c>
      <c r="H195" s="268" t="str">
        <f>$C$6</f>
        <v>PT</v>
      </c>
      <c r="I195" s="268" t="str">
        <f>$D$6</f>
        <v>SE</v>
      </c>
      <c r="J195" s="268" t="str">
        <f>$E$6</f>
        <v>Total</v>
      </c>
      <c r="K195" s="268"/>
      <c r="L195" s="268" t="str">
        <f>$L$6</f>
        <v>FT</v>
      </c>
      <c r="M195" s="268" t="str">
        <f>$M$6</f>
        <v>PT</v>
      </c>
      <c r="N195" s="268" t="str">
        <f>$N$6</f>
        <v>SE</v>
      </c>
      <c r="O195" s="268" t="str">
        <f>$O$6</f>
        <v>Total</v>
      </c>
      <c r="P195" s="268"/>
      <c r="Q195" s="268" t="str">
        <f>$L$6</f>
        <v>FT</v>
      </c>
      <c r="R195" s="268" t="str">
        <f>$M$6</f>
        <v>PT</v>
      </c>
      <c r="S195" s="268" t="str">
        <f>$N$6</f>
        <v>SE</v>
      </c>
      <c r="T195" s="268" t="str">
        <f>$O$6</f>
        <v>Total</v>
      </c>
      <c r="U195" s="268"/>
      <c r="V195" s="268" t="str">
        <f>$V$6</f>
        <v>FT</v>
      </c>
      <c r="W195" s="268" t="str">
        <f>$W$6</f>
        <v>PT</v>
      </c>
      <c r="X195" s="268" t="str">
        <f>$X$6</f>
        <v>SE</v>
      </c>
      <c r="Y195" s="268" t="str">
        <f>$Y$6</f>
        <v>Total</v>
      </c>
    </row>
    <row r="196" spans="1:25" x14ac:dyDescent="0.2">
      <c r="C196" s="319"/>
      <c r="D196" s="319"/>
      <c r="E196" s="319"/>
      <c r="F196" s="319"/>
      <c r="G196" s="319"/>
      <c r="H196" s="319"/>
      <c r="I196" s="319"/>
      <c r="J196" s="319"/>
      <c r="K196" s="319"/>
      <c r="L196" s="319"/>
      <c r="M196" s="319"/>
      <c r="N196" s="319"/>
      <c r="O196" s="319"/>
      <c r="P196" s="319"/>
      <c r="Q196" s="319"/>
      <c r="R196" s="319"/>
      <c r="S196" s="319"/>
      <c r="T196" s="319"/>
      <c r="U196" s="319"/>
      <c r="V196" s="319"/>
      <c r="W196" s="319"/>
      <c r="X196" s="319"/>
      <c r="Y196" s="319"/>
    </row>
    <row r="197" spans="1:25" x14ac:dyDescent="0.2">
      <c r="A197" s="260" t="s">
        <v>365</v>
      </c>
      <c r="B197" s="300">
        <v>5.0947930055599473</v>
      </c>
      <c r="C197" s="300">
        <v>6.3784463237060747</v>
      </c>
      <c r="D197" s="300">
        <v>7.6252809028336417</v>
      </c>
      <c r="E197" s="300">
        <f>SUM(B197:D197)</f>
        <v>19.098520232099663</v>
      </c>
      <c r="F197" s="300"/>
      <c r="G197" s="300">
        <v>6.3681702207001205</v>
      </c>
      <c r="H197" s="300">
        <v>6.1986806573849629</v>
      </c>
      <c r="I197" s="300">
        <v>7.4343539639424527</v>
      </c>
      <c r="J197" s="300">
        <f>SUM(G197:I197)</f>
        <v>20.001204842027537</v>
      </c>
      <c r="K197" s="300"/>
      <c r="L197" s="300">
        <v>6.1811795879047366</v>
      </c>
      <c r="M197" s="300">
        <v>7.9003201609414138</v>
      </c>
      <c r="N197" s="300">
        <v>8.0977973409634956</v>
      </c>
      <c r="O197" s="300">
        <f>SUM(L197:N197)</f>
        <v>22.179297089809644</v>
      </c>
      <c r="P197" s="300"/>
      <c r="Q197" s="300">
        <v>5.7053341392446564</v>
      </c>
      <c r="R197" s="300">
        <v>7.4204333233700588</v>
      </c>
      <c r="S197" s="300">
        <v>7.7398661724785436</v>
      </c>
      <c r="T197" s="300">
        <f>SUM(Q197:S197)</f>
        <v>20.865633635093257</v>
      </c>
      <c r="U197" s="300"/>
      <c r="V197" s="300">
        <v>5.4337740655114386</v>
      </c>
      <c r="W197" s="300">
        <v>7.1658101438695105</v>
      </c>
      <c r="X197" s="300">
        <v>7.6009816343387824</v>
      </c>
      <c r="Y197" s="300">
        <f>SUM(V197:X197)</f>
        <v>20.200565843719733</v>
      </c>
    </row>
    <row r="198" spans="1:25" x14ac:dyDescent="0.2">
      <c r="A198" s="260" t="s">
        <v>364</v>
      </c>
      <c r="B198" s="300">
        <v>7.8125762270038512</v>
      </c>
      <c r="C198" s="300">
        <v>1.7805061923699883</v>
      </c>
      <c r="D198" s="300">
        <v>4.3173973485264909</v>
      </c>
      <c r="E198" s="300">
        <f t="shared" ref="E198:E199" si="314">SUM(B198:D198)</f>
        <v>13.91047976790033</v>
      </c>
      <c r="F198" s="300"/>
      <c r="G198" s="300">
        <v>7.4064476918468651</v>
      </c>
      <c r="H198" s="300">
        <v>1.9427689914696635</v>
      </c>
      <c r="I198" s="300">
        <v>3.365578474656008</v>
      </c>
      <c r="J198" s="300">
        <f t="shared" ref="J198:J199" si="315">SUM(G198:I198)</f>
        <v>12.714795157972537</v>
      </c>
      <c r="K198" s="300"/>
      <c r="L198" s="300">
        <v>5.2624277947722788</v>
      </c>
      <c r="M198" s="300">
        <v>1.5586518342659998</v>
      </c>
      <c r="N198" s="300">
        <v>2.4856232811520922</v>
      </c>
      <c r="O198" s="300">
        <f t="shared" ref="O198:O199" si="316">SUM(L198:N198)</f>
        <v>9.3067029101903707</v>
      </c>
      <c r="P198" s="300"/>
      <c r="Q198" s="300">
        <v>5.1786404139361757</v>
      </c>
      <c r="R198" s="300">
        <v>1.4798467698629409</v>
      </c>
      <c r="S198" s="300">
        <v>2.4428791811076551</v>
      </c>
      <c r="T198" s="300">
        <f t="shared" ref="T198:T199" si="317">SUM(Q198:S198)</f>
        <v>9.101366364906772</v>
      </c>
      <c r="U198" s="300"/>
      <c r="V198" s="300">
        <v>5.4133850557531833</v>
      </c>
      <c r="W198" s="300">
        <v>1.4811894739047982</v>
      </c>
      <c r="X198" s="300">
        <v>2.5428596266222678</v>
      </c>
      <c r="Y198" s="300">
        <f t="shared" ref="Y198:Y199" si="318">SUM(V198:X198)</f>
        <v>9.4374341562802506</v>
      </c>
    </row>
    <row r="199" spans="1:25" x14ac:dyDescent="0.2">
      <c r="A199" s="264" t="s">
        <v>363</v>
      </c>
      <c r="B199" s="301">
        <f>SUM(B197:B198)</f>
        <v>12.907369232563799</v>
      </c>
      <c r="C199" s="301">
        <f t="shared" ref="C199" si="319">SUM(C197:C198)</f>
        <v>8.158952516076063</v>
      </c>
      <c r="D199" s="301">
        <f t="shared" ref="D199" si="320">SUM(D197:D198)</f>
        <v>11.942678251360132</v>
      </c>
      <c r="E199" s="301">
        <f t="shared" si="314"/>
        <v>33.008999999999993</v>
      </c>
      <c r="F199" s="301"/>
      <c r="G199" s="301">
        <f>SUM(G197:G198)</f>
        <v>13.774617912546987</v>
      </c>
      <c r="H199" s="301">
        <f t="shared" ref="H199" si="321">SUM(H197:H198)</f>
        <v>8.1414496488546266</v>
      </c>
      <c r="I199" s="301">
        <f t="shared" ref="I199" si="322">SUM(I197:I198)</f>
        <v>10.799932438598461</v>
      </c>
      <c r="J199" s="301">
        <f t="shared" si="315"/>
        <v>32.716000000000072</v>
      </c>
      <c r="K199" s="301"/>
      <c r="L199" s="301">
        <f>SUM(L197:L198)</f>
        <v>11.443607382677015</v>
      </c>
      <c r="M199" s="301">
        <f t="shared" ref="M199" si="323">SUM(M197:M198)</f>
        <v>9.4589719952074134</v>
      </c>
      <c r="N199" s="301">
        <f t="shared" ref="N199" si="324">SUM(N197:N198)</f>
        <v>10.583420622115588</v>
      </c>
      <c r="O199" s="301">
        <f t="shared" si="316"/>
        <v>31.486000000000018</v>
      </c>
      <c r="P199" s="301"/>
      <c r="Q199" s="301">
        <f>SUM(Q197:Q198)</f>
        <v>10.883974553180831</v>
      </c>
      <c r="R199" s="301">
        <f t="shared" ref="R199" si="325">SUM(R197:R198)</f>
        <v>8.9002800932330004</v>
      </c>
      <c r="S199" s="301">
        <f t="shared" ref="S199" si="326">SUM(S197:S198)</f>
        <v>10.182745353586199</v>
      </c>
      <c r="T199" s="301">
        <f t="shared" si="317"/>
        <v>29.967000000000031</v>
      </c>
      <c r="U199" s="301"/>
      <c r="V199" s="301">
        <f>SUM(V197:V198)</f>
        <v>10.847159121264621</v>
      </c>
      <c r="W199" s="301">
        <f t="shared" ref="W199" si="327">SUM(W197:W198)</f>
        <v>8.6469996177743091</v>
      </c>
      <c r="X199" s="301">
        <f t="shared" ref="X199" si="328">SUM(X197:X198)</f>
        <v>10.14384126096105</v>
      </c>
      <c r="Y199" s="301">
        <f t="shared" si="318"/>
        <v>29.63799999999998</v>
      </c>
    </row>
    <row r="211" spans="1:3" x14ac:dyDescent="0.2">
      <c r="A211" s="261"/>
    </row>
    <row r="212" spans="1:3" x14ac:dyDescent="0.2">
      <c r="C212" s="263"/>
    </row>
    <row r="213" spans="1:3" x14ac:dyDescent="0.2">
      <c r="C213" s="263"/>
    </row>
    <row r="214" spans="1:3" x14ac:dyDescent="0.2">
      <c r="C214" s="263"/>
    </row>
    <row r="215" spans="1:3" x14ac:dyDescent="0.2">
      <c r="C215" s="263"/>
    </row>
    <row r="220" spans="1:3" x14ac:dyDescent="0.2">
      <c r="C220" s="263"/>
    </row>
    <row r="221" spans="1:3" x14ac:dyDescent="0.2">
      <c r="A221" s="262"/>
    </row>
    <row r="222" spans="1:3" x14ac:dyDescent="0.2">
      <c r="A222" s="261"/>
    </row>
    <row r="225" spans="1:3" x14ac:dyDescent="0.2">
      <c r="C225" s="263"/>
    </row>
    <row r="226" spans="1:3" x14ac:dyDescent="0.2">
      <c r="A226" s="261"/>
    </row>
    <row r="227" spans="1:3" x14ac:dyDescent="0.2">
      <c r="C227" s="263"/>
    </row>
    <row r="228" spans="1:3" x14ac:dyDescent="0.2">
      <c r="C228" s="263"/>
    </row>
    <row r="229" spans="1:3" x14ac:dyDescent="0.2">
      <c r="C229" s="263"/>
    </row>
    <row r="231" spans="1:3" x14ac:dyDescent="0.2">
      <c r="A231" s="261"/>
    </row>
    <row r="232" spans="1:3" x14ac:dyDescent="0.2">
      <c r="C232" s="263"/>
    </row>
    <row r="233" spans="1:3" x14ac:dyDescent="0.2">
      <c r="C233" s="263"/>
    </row>
    <row r="234" spans="1:3" x14ac:dyDescent="0.2">
      <c r="C234" s="263"/>
    </row>
    <row r="235" spans="1:3" x14ac:dyDescent="0.2">
      <c r="C235" s="263"/>
    </row>
    <row r="236" spans="1:3" x14ac:dyDescent="0.2">
      <c r="C236" s="263"/>
    </row>
    <row r="237" spans="1:3" x14ac:dyDescent="0.2">
      <c r="C237" s="263"/>
    </row>
    <row r="238" spans="1:3" x14ac:dyDescent="0.2">
      <c r="C238" s="263"/>
    </row>
    <row r="239" spans="1:3" x14ac:dyDescent="0.2">
      <c r="C239" s="263"/>
    </row>
    <row r="240" spans="1:3" x14ac:dyDescent="0.2">
      <c r="A240" s="261"/>
    </row>
    <row r="241" spans="1:3" x14ac:dyDescent="0.2">
      <c r="C241" s="263"/>
    </row>
    <row r="242" spans="1:3" x14ac:dyDescent="0.2">
      <c r="C242" s="263"/>
    </row>
    <row r="243" spans="1:3" x14ac:dyDescent="0.2">
      <c r="A243" s="261"/>
    </row>
    <row r="244" spans="1:3" x14ac:dyDescent="0.2">
      <c r="C244" s="263"/>
    </row>
    <row r="245" spans="1:3" x14ac:dyDescent="0.2">
      <c r="C245" s="263"/>
    </row>
    <row r="246" spans="1:3" x14ac:dyDescent="0.2">
      <c r="C246" s="263"/>
    </row>
    <row r="271" spans="1:3" x14ac:dyDescent="0.2">
      <c r="A271" s="261"/>
    </row>
    <row r="272" spans="1:3" x14ac:dyDescent="0.2">
      <c r="C272" s="263"/>
    </row>
    <row r="273" spans="1:3" x14ac:dyDescent="0.2">
      <c r="C273" s="263"/>
    </row>
    <row r="274" spans="1:3" x14ac:dyDescent="0.2">
      <c r="C274" s="263"/>
    </row>
    <row r="276" spans="1:3" x14ac:dyDescent="0.2">
      <c r="A276" s="261"/>
    </row>
    <row r="277" spans="1:3" x14ac:dyDescent="0.2">
      <c r="C277" s="263"/>
    </row>
    <row r="278" spans="1:3" x14ac:dyDescent="0.2">
      <c r="C278" s="263"/>
    </row>
    <row r="279" spans="1:3" x14ac:dyDescent="0.2">
      <c r="C279" s="263"/>
    </row>
    <row r="280" spans="1:3" x14ac:dyDescent="0.2">
      <c r="C280" s="263"/>
    </row>
    <row r="281" spans="1:3" x14ac:dyDescent="0.2">
      <c r="A281" s="261"/>
    </row>
    <row r="282" spans="1:3" x14ac:dyDescent="0.2">
      <c r="C282" s="263"/>
    </row>
    <row r="283" spans="1:3" x14ac:dyDescent="0.2">
      <c r="C283" s="263"/>
    </row>
    <row r="284" spans="1:3" x14ac:dyDescent="0.2">
      <c r="C284" s="263"/>
    </row>
    <row r="285" spans="1:3" x14ac:dyDescent="0.2">
      <c r="A285" s="262"/>
    </row>
    <row r="286" spans="1:3" x14ac:dyDescent="0.2">
      <c r="A286" s="261"/>
    </row>
    <row r="287" spans="1:3" x14ac:dyDescent="0.2">
      <c r="C287" s="263"/>
    </row>
    <row r="288" spans="1:3" x14ac:dyDescent="0.2">
      <c r="C288" s="263"/>
    </row>
    <row r="289" spans="1:3" x14ac:dyDescent="0.2">
      <c r="C289" s="263"/>
    </row>
    <row r="291" spans="1:3" x14ac:dyDescent="0.2">
      <c r="A291" s="261"/>
    </row>
    <row r="292" spans="1:3" x14ac:dyDescent="0.2">
      <c r="C292" s="263"/>
    </row>
    <row r="293" spans="1:3" x14ac:dyDescent="0.2">
      <c r="C293" s="263"/>
    </row>
    <row r="294" spans="1:3" x14ac:dyDescent="0.2">
      <c r="C294" s="263"/>
    </row>
    <row r="295" spans="1:3" x14ac:dyDescent="0.2">
      <c r="C295" s="263"/>
    </row>
    <row r="296" spans="1:3" x14ac:dyDescent="0.2">
      <c r="A296" s="261"/>
    </row>
    <row r="297" spans="1:3" x14ac:dyDescent="0.2">
      <c r="C297" s="263"/>
    </row>
    <row r="298" spans="1:3" x14ac:dyDescent="0.2">
      <c r="C298" s="263"/>
    </row>
    <row r="299" spans="1:3" x14ac:dyDescent="0.2">
      <c r="A299" s="261"/>
    </row>
    <row r="300" spans="1:3" x14ac:dyDescent="0.2">
      <c r="C300" s="263"/>
    </row>
    <row r="301" spans="1:3" x14ac:dyDescent="0.2">
      <c r="C301" s="263"/>
    </row>
    <row r="302" spans="1:3" x14ac:dyDescent="0.2">
      <c r="C302" s="263"/>
    </row>
    <row r="303" spans="1:3" x14ac:dyDescent="0.2">
      <c r="C303" s="263"/>
    </row>
    <row r="304" spans="1:3" x14ac:dyDescent="0.2">
      <c r="C304" s="263"/>
    </row>
    <row r="305" spans="1:3" x14ac:dyDescent="0.2">
      <c r="C305" s="263"/>
    </row>
    <row r="306" spans="1:3" x14ac:dyDescent="0.2">
      <c r="A306" s="261"/>
      <c r="C306" s="263"/>
    </row>
    <row r="307" spans="1:3" x14ac:dyDescent="0.2">
      <c r="C307" s="263"/>
    </row>
    <row r="308" spans="1:3" x14ac:dyDescent="0.2">
      <c r="C308" s="263"/>
    </row>
    <row r="309" spans="1:3" x14ac:dyDescent="0.2">
      <c r="C309" s="263"/>
    </row>
    <row r="310" spans="1:3" x14ac:dyDescent="0.2">
      <c r="A310" s="262"/>
    </row>
    <row r="311" spans="1:3" x14ac:dyDescent="0.2">
      <c r="A311" s="261"/>
    </row>
    <row r="312" spans="1:3" x14ac:dyDescent="0.2">
      <c r="C312" s="263"/>
    </row>
    <row r="313" spans="1:3" x14ac:dyDescent="0.2">
      <c r="C313" s="263"/>
    </row>
    <row r="314" spans="1:3" x14ac:dyDescent="0.2">
      <c r="C314" s="263"/>
    </row>
    <row r="316" spans="1:3" x14ac:dyDescent="0.2">
      <c r="A316" s="261"/>
    </row>
    <row r="317" spans="1:3" x14ac:dyDescent="0.2">
      <c r="C317" s="263"/>
    </row>
    <row r="318" spans="1:3" x14ac:dyDescent="0.2">
      <c r="C318" s="263"/>
    </row>
    <row r="319" spans="1:3" x14ac:dyDescent="0.2">
      <c r="C319" s="263"/>
    </row>
    <row r="320" spans="1:3" x14ac:dyDescent="0.2">
      <c r="A320" s="262"/>
    </row>
    <row r="321" spans="1:3" x14ac:dyDescent="0.2">
      <c r="A321" s="261"/>
    </row>
    <row r="322" spans="1:3" x14ac:dyDescent="0.2">
      <c r="C322" s="263"/>
    </row>
    <row r="323" spans="1:3" x14ac:dyDescent="0.2">
      <c r="C323" s="263"/>
    </row>
    <row r="324" spans="1:3" x14ac:dyDescent="0.2">
      <c r="C324" s="263"/>
    </row>
    <row r="326" spans="1:3" x14ac:dyDescent="0.2">
      <c r="A326" s="261"/>
    </row>
    <row r="327" spans="1:3" x14ac:dyDescent="0.2">
      <c r="A327" s="261"/>
    </row>
    <row r="328" spans="1:3" x14ac:dyDescent="0.2">
      <c r="C328" s="263"/>
    </row>
    <row r="329" spans="1:3" x14ac:dyDescent="0.2">
      <c r="C329" s="263"/>
    </row>
    <row r="330" spans="1:3" x14ac:dyDescent="0.2">
      <c r="C330" s="263"/>
    </row>
    <row r="332" spans="1:3" x14ac:dyDescent="0.2">
      <c r="A332" s="261"/>
    </row>
    <row r="333" spans="1:3" x14ac:dyDescent="0.2">
      <c r="C333" s="263"/>
    </row>
    <row r="334" spans="1:3" x14ac:dyDescent="0.2">
      <c r="C334" s="263"/>
    </row>
    <row r="335" spans="1:3" x14ac:dyDescent="0.2">
      <c r="C335" s="263"/>
    </row>
    <row r="336" spans="1:3" x14ac:dyDescent="0.2">
      <c r="C336" s="263"/>
    </row>
    <row r="337" spans="1:3" x14ac:dyDescent="0.2">
      <c r="A337" s="261"/>
    </row>
    <row r="338" spans="1:3" x14ac:dyDescent="0.2">
      <c r="C338" s="263"/>
    </row>
    <row r="339" spans="1:3" x14ac:dyDescent="0.2">
      <c r="C339" s="263"/>
    </row>
    <row r="340" spans="1:3" x14ac:dyDescent="0.2">
      <c r="C340" s="263"/>
    </row>
    <row r="341" spans="1:3" x14ac:dyDescent="0.2">
      <c r="A341" s="262"/>
    </row>
    <row r="342" spans="1:3" x14ac:dyDescent="0.2">
      <c r="A342" s="261"/>
    </row>
    <row r="343" spans="1:3" x14ac:dyDescent="0.2">
      <c r="C343" s="263"/>
    </row>
    <row r="344" spans="1:3" x14ac:dyDescent="0.2">
      <c r="C344" s="263"/>
    </row>
    <row r="345" spans="1:3" x14ac:dyDescent="0.2">
      <c r="C345" s="263"/>
    </row>
    <row r="347" spans="1:3" x14ac:dyDescent="0.2">
      <c r="A347" s="261"/>
    </row>
    <row r="348" spans="1:3" x14ac:dyDescent="0.2">
      <c r="C348" s="263"/>
    </row>
    <row r="349" spans="1:3" x14ac:dyDescent="0.2">
      <c r="C349" s="263"/>
    </row>
    <row r="350" spans="1:3" x14ac:dyDescent="0.2">
      <c r="C350" s="263"/>
    </row>
    <row r="351" spans="1:3" x14ac:dyDescent="0.2">
      <c r="C351" s="263"/>
    </row>
    <row r="352" spans="1:3" x14ac:dyDescent="0.2">
      <c r="A352" s="261"/>
    </row>
    <row r="353" spans="1:3" x14ac:dyDescent="0.2">
      <c r="C353" s="263"/>
    </row>
    <row r="354" spans="1:3" x14ac:dyDescent="0.2">
      <c r="C354" s="263"/>
    </row>
    <row r="355" spans="1:3" x14ac:dyDescent="0.2">
      <c r="A355" s="261"/>
    </row>
    <row r="356" spans="1:3" x14ac:dyDescent="0.2">
      <c r="C356" s="263"/>
    </row>
    <row r="357" spans="1:3" x14ac:dyDescent="0.2">
      <c r="C357" s="263"/>
    </row>
    <row r="358" spans="1:3" x14ac:dyDescent="0.2">
      <c r="C358" s="263"/>
    </row>
    <row r="359" spans="1:3" x14ac:dyDescent="0.2">
      <c r="C359" s="263"/>
    </row>
    <row r="361" spans="1:3" x14ac:dyDescent="0.2">
      <c r="A361" s="261"/>
    </row>
    <row r="362" spans="1:3" x14ac:dyDescent="0.2">
      <c r="C362" s="263"/>
    </row>
    <row r="363" spans="1:3" x14ac:dyDescent="0.2">
      <c r="C363" s="263"/>
    </row>
    <row r="364" spans="1:3" x14ac:dyDescent="0.2">
      <c r="C364" s="263"/>
    </row>
    <row r="365" spans="1:3" x14ac:dyDescent="0.2">
      <c r="A365" s="262"/>
    </row>
    <row r="366" spans="1:3" x14ac:dyDescent="0.2">
      <c r="A366" s="261"/>
    </row>
    <row r="367" spans="1:3" x14ac:dyDescent="0.2">
      <c r="C367" s="263"/>
    </row>
    <row r="368" spans="1:3" x14ac:dyDescent="0.2">
      <c r="C368" s="263"/>
    </row>
    <row r="369" spans="1:3" x14ac:dyDescent="0.2">
      <c r="C369" s="263"/>
    </row>
    <row r="371" spans="1:3" x14ac:dyDescent="0.2">
      <c r="A371" s="261"/>
    </row>
    <row r="372" spans="1:3" x14ac:dyDescent="0.2">
      <c r="C372" s="263"/>
    </row>
    <row r="373" spans="1:3" x14ac:dyDescent="0.2">
      <c r="C373" s="263"/>
    </row>
    <row r="374" spans="1:3" x14ac:dyDescent="0.2">
      <c r="C374" s="263"/>
    </row>
    <row r="376" spans="1:3" x14ac:dyDescent="0.2">
      <c r="A376" s="261"/>
    </row>
    <row r="377" spans="1:3" x14ac:dyDescent="0.2">
      <c r="C377" s="263"/>
    </row>
    <row r="378" spans="1:3" x14ac:dyDescent="0.2">
      <c r="C378" s="263"/>
    </row>
    <row r="379" spans="1:3" x14ac:dyDescent="0.2">
      <c r="C379" s="263"/>
    </row>
    <row r="380" spans="1:3" x14ac:dyDescent="0.2">
      <c r="C380" s="263"/>
    </row>
    <row r="381" spans="1:3" x14ac:dyDescent="0.2">
      <c r="A381" s="261"/>
    </row>
    <row r="382" spans="1:3" x14ac:dyDescent="0.2">
      <c r="C382" s="263"/>
    </row>
    <row r="383" spans="1:3" x14ac:dyDescent="0.2">
      <c r="A383" s="261"/>
    </row>
    <row r="384" spans="1:3" x14ac:dyDescent="0.2">
      <c r="C384" s="263"/>
    </row>
    <row r="385" spans="1:3" x14ac:dyDescent="0.2">
      <c r="C385" s="263"/>
    </row>
    <row r="386" spans="1:3" x14ac:dyDescent="0.2">
      <c r="C386" s="263"/>
    </row>
    <row r="388" spans="1:3" x14ac:dyDescent="0.2">
      <c r="A388" s="261"/>
    </row>
    <row r="389" spans="1:3" x14ac:dyDescent="0.2">
      <c r="C389" s="263"/>
    </row>
    <row r="390" spans="1:3" x14ac:dyDescent="0.2">
      <c r="C390" s="263"/>
    </row>
    <row r="391" spans="1:3" x14ac:dyDescent="0.2">
      <c r="C391" s="263"/>
    </row>
    <row r="392" spans="1:3" x14ac:dyDescent="0.2">
      <c r="C392" s="263"/>
    </row>
    <row r="393" spans="1:3" x14ac:dyDescent="0.2">
      <c r="A393" s="261"/>
    </row>
    <row r="394" spans="1:3" x14ac:dyDescent="0.2">
      <c r="C394" s="263"/>
    </row>
    <row r="395" spans="1:3" x14ac:dyDescent="0.2">
      <c r="C395" s="263"/>
    </row>
    <row r="396" spans="1:3" x14ac:dyDescent="0.2">
      <c r="C396" s="263"/>
    </row>
    <row r="397" spans="1:3" x14ac:dyDescent="0.2">
      <c r="A397" s="262"/>
    </row>
    <row r="398" spans="1:3" x14ac:dyDescent="0.2">
      <c r="A398" s="261"/>
    </row>
    <row r="399" spans="1:3" x14ac:dyDescent="0.2">
      <c r="C399" s="263"/>
    </row>
    <row r="400" spans="1:3" x14ac:dyDescent="0.2">
      <c r="C400" s="263"/>
    </row>
    <row r="401" spans="1:3" x14ac:dyDescent="0.2">
      <c r="C401" s="263"/>
    </row>
    <row r="403" spans="1:3" x14ac:dyDescent="0.2">
      <c r="A403" s="261"/>
    </row>
    <row r="404" spans="1:3" x14ac:dyDescent="0.2">
      <c r="C404" s="263"/>
    </row>
    <row r="405" spans="1:3" x14ac:dyDescent="0.2">
      <c r="C405" s="263"/>
    </row>
    <row r="406" spans="1:3" x14ac:dyDescent="0.2">
      <c r="C406" s="263"/>
    </row>
    <row r="407" spans="1:3" x14ac:dyDescent="0.2">
      <c r="C407" s="263"/>
    </row>
    <row r="408" spans="1:3" x14ac:dyDescent="0.2">
      <c r="A408" s="261"/>
    </row>
    <row r="409" spans="1:3" x14ac:dyDescent="0.2">
      <c r="C409" s="263"/>
    </row>
    <row r="410" spans="1:3" x14ac:dyDescent="0.2">
      <c r="C410" s="263"/>
    </row>
    <row r="411" spans="1:3" x14ac:dyDescent="0.2">
      <c r="A411" s="261"/>
    </row>
    <row r="412" spans="1:3" x14ac:dyDescent="0.2">
      <c r="C412" s="263"/>
    </row>
    <row r="413" spans="1:3" x14ac:dyDescent="0.2">
      <c r="C413" s="263"/>
    </row>
    <row r="414" spans="1:3" x14ac:dyDescent="0.2">
      <c r="C414" s="263"/>
    </row>
    <row r="415" spans="1:3" x14ac:dyDescent="0.2">
      <c r="C415" s="263"/>
    </row>
    <row r="416" spans="1:3" x14ac:dyDescent="0.2">
      <c r="C416" s="263"/>
    </row>
    <row r="417" spans="1:3" x14ac:dyDescent="0.2">
      <c r="C417" s="263"/>
    </row>
    <row r="418" spans="1:3" x14ac:dyDescent="0.2">
      <c r="A418" s="261"/>
      <c r="C418" s="263"/>
    </row>
    <row r="419" spans="1:3" x14ac:dyDescent="0.2">
      <c r="C419" s="263"/>
    </row>
    <row r="420" spans="1:3" x14ac:dyDescent="0.2">
      <c r="C420" s="263"/>
    </row>
    <row r="421" spans="1:3" x14ac:dyDescent="0.2">
      <c r="C421" s="263"/>
    </row>
    <row r="422" spans="1:3" x14ac:dyDescent="0.2">
      <c r="A422" s="262"/>
    </row>
    <row r="423" spans="1:3" x14ac:dyDescent="0.2">
      <c r="A423" s="261"/>
    </row>
    <row r="424" spans="1:3" x14ac:dyDescent="0.2">
      <c r="C424" s="263"/>
    </row>
    <row r="425" spans="1:3" x14ac:dyDescent="0.2">
      <c r="C425" s="263"/>
    </row>
    <row r="426" spans="1:3" x14ac:dyDescent="0.2">
      <c r="C426" s="263"/>
    </row>
    <row r="428" spans="1:3" x14ac:dyDescent="0.2">
      <c r="A428" s="261"/>
    </row>
    <row r="429" spans="1:3" x14ac:dyDescent="0.2">
      <c r="C429" s="263"/>
    </row>
    <row r="430" spans="1:3" x14ac:dyDescent="0.2">
      <c r="C430" s="263"/>
    </row>
    <row r="431" spans="1:3" x14ac:dyDescent="0.2">
      <c r="C431" s="263"/>
    </row>
    <row r="432" spans="1:3" x14ac:dyDescent="0.2">
      <c r="A432" s="262"/>
    </row>
    <row r="433" spans="1:3" x14ac:dyDescent="0.2">
      <c r="A433" s="261"/>
    </row>
    <row r="434" spans="1:3" x14ac:dyDescent="0.2">
      <c r="C434" s="263"/>
    </row>
    <row r="435" spans="1:3" x14ac:dyDescent="0.2">
      <c r="C435" s="263"/>
    </row>
    <row r="436" spans="1:3" x14ac:dyDescent="0.2">
      <c r="C436" s="263"/>
    </row>
    <row r="438" spans="1:3" x14ac:dyDescent="0.2">
      <c r="A438" s="261"/>
    </row>
    <row r="439" spans="1:3" x14ac:dyDescent="0.2">
      <c r="A439" s="261"/>
    </row>
    <row r="440" spans="1:3" x14ac:dyDescent="0.2">
      <c r="C440" s="263"/>
    </row>
    <row r="441" spans="1:3" x14ac:dyDescent="0.2">
      <c r="C441" s="263"/>
    </row>
    <row r="442" spans="1:3" x14ac:dyDescent="0.2">
      <c r="C442" s="263"/>
    </row>
    <row r="444" spans="1:3" x14ac:dyDescent="0.2">
      <c r="A444" s="261"/>
    </row>
    <row r="445" spans="1:3" x14ac:dyDescent="0.2">
      <c r="C445" s="263"/>
    </row>
    <row r="446" spans="1:3" x14ac:dyDescent="0.2">
      <c r="C446" s="263"/>
    </row>
    <row r="447" spans="1:3" x14ac:dyDescent="0.2">
      <c r="C447" s="263"/>
    </row>
    <row r="448" spans="1:3" x14ac:dyDescent="0.2">
      <c r="C448" s="263"/>
    </row>
    <row r="449" spans="1:3" x14ac:dyDescent="0.2">
      <c r="A449" s="261"/>
    </row>
    <row r="450" spans="1:3" x14ac:dyDescent="0.2">
      <c r="C450" s="263"/>
    </row>
    <row r="451" spans="1:3" x14ac:dyDescent="0.2">
      <c r="C451" s="263"/>
    </row>
    <row r="452" spans="1:3" x14ac:dyDescent="0.2">
      <c r="C452" s="263"/>
    </row>
    <row r="453" spans="1:3" x14ac:dyDescent="0.2">
      <c r="A453" s="262"/>
    </row>
    <row r="454" spans="1:3" x14ac:dyDescent="0.2">
      <c r="A454" s="261"/>
    </row>
    <row r="455" spans="1:3" x14ac:dyDescent="0.2">
      <c r="C455" s="263"/>
    </row>
    <row r="456" spans="1:3" x14ac:dyDescent="0.2">
      <c r="C456" s="263"/>
    </row>
    <row r="457" spans="1:3" x14ac:dyDescent="0.2">
      <c r="C457" s="263"/>
    </row>
    <row r="459" spans="1:3" x14ac:dyDescent="0.2">
      <c r="A459" s="261"/>
    </row>
    <row r="460" spans="1:3" x14ac:dyDescent="0.2">
      <c r="C460" s="263"/>
    </row>
    <row r="461" spans="1:3" x14ac:dyDescent="0.2">
      <c r="C461" s="263"/>
    </row>
    <row r="462" spans="1:3" x14ac:dyDescent="0.2">
      <c r="C462" s="263"/>
    </row>
    <row r="463" spans="1:3" x14ac:dyDescent="0.2">
      <c r="C463" s="263"/>
    </row>
    <row r="464" spans="1:3" x14ac:dyDescent="0.2">
      <c r="A464" s="261"/>
    </row>
    <row r="465" spans="1:25" x14ac:dyDescent="0.2">
      <c r="C465" s="263"/>
    </row>
    <row r="466" spans="1:25" x14ac:dyDescent="0.2">
      <c r="C466" s="263"/>
    </row>
    <row r="467" spans="1:25" x14ac:dyDescent="0.2">
      <c r="A467" s="261"/>
    </row>
    <row r="468" spans="1:25" x14ac:dyDescent="0.2">
      <c r="C468" s="263"/>
    </row>
    <row r="469" spans="1:25" x14ac:dyDescent="0.2">
      <c r="C469" s="263"/>
    </row>
    <row r="470" spans="1:25" x14ac:dyDescent="0.2">
      <c r="C470" s="263"/>
    </row>
    <row r="471" spans="1:25" x14ac:dyDescent="0.2">
      <c r="A471" s="261"/>
    </row>
    <row r="472" spans="1:25" x14ac:dyDescent="0.2">
      <c r="C472" s="263"/>
    </row>
    <row r="473" spans="1:25" x14ac:dyDescent="0.2">
      <c r="C473" s="263"/>
    </row>
    <row r="474" spans="1:25" x14ac:dyDescent="0.2">
      <c r="A474" s="264"/>
      <c r="B474" s="315"/>
      <c r="C474" s="315"/>
      <c r="D474" s="315"/>
      <c r="E474" s="315"/>
      <c r="F474" s="315"/>
      <c r="G474" s="315"/>
      <c r="H474" s="315"/>
      <c r="I474" s="315"/>
      <c r="J474" s="315"/>
      <c r="K474" s="315"/>
      <c r="L474" s="315"/>
      <c r="M474" s="315"/>
      <c r="N474" s="315"/>
      <c r="O474" s="315"/>
      <c r="P474" s="315"/>
      <c r="Q474" s="315"/>
      <c r="R474" s="315"/>
      <c r="S474" s="315"/>
      <c r="T474" s="315"/>
      <c r="U474" s="315"/>
      <c r="V474" s="315"/>
      <c r="W474" s="315"/>
      <c r="X474" s="315"/>
      <c r="Y474" s="315"/>
    </row>
    <row r="475" spans="1:25" x14ac:dyDescent="0.2">
      <c r="A475" s="262"/>
    </row>
    <row r="476" spans="1:25" x14ac:dyDescent="0.2">
      <c r="A476" s="261"/>
    </row>
    <row r="477" spans="1:25" x14ac:dyDescent="0.2">
      <c r="C477" s="263"/>
    </row>
    <row r="478" spans="1:25" x14ac:dyDescent="0.2">
      <c r="C478" s="263"/>
    </row>
    <row r="479" spans="1:25" x14ac:dyDescent="0.2">
      <c r="A479" s="264"/>
      <c r="B479" s="315"/>
      <c r="C479" s="315"/>
      <c r="D479" s="315"/>
      <c r="E479" s="315"/>
      <c r="F479" s="315"/>
      <c r="G479" s="315"/>
      <c r="H479" s="315"/>
      <c r="I479" s="315"/>
      <c r="J479" s="315"/>
      <c r="K479" s="315"/>
      <c r="L479" s="315"/>
      <c r="M479" s="315"/>
      <c r="N479" s="315"/>
      <c r="O479" s="315"/>
      <c r="P479" s="315"/>
      <c r="Q479" s="315"/>
      <c r="R479" s="315"/>
      <c r="S479" s="315"/>
      <c r="T479" s="315"/>
      <c r="U479" s="315"/>
      <c r="V479" s="315"/>
      <c r="W479" s="315"/>
      <c r="X479" s="315"/>
      <c r="Y479" s="315"/>
    </row>
    <row r="480" spans="1:25" x14ac:dyDescent="0.2">
      <c r="A480" s="262"/>
    </row>
    <row r="481" spans="1:3" x14ac:dyDescent="0.2">
      <c r="A481" s="261"/>
    </row>
    <row r="482" spans="1:3" x14ac:dyDescent="0.2">
      <c r="C482" s="263"/>
    </row>
    <row r="483" spans="1:3" x14ac:dyDescent="0.2">
      <c r="C483" s="263"/>
    </row>
    <row r="484" spans="1:3" x14ac:dyDescent="0.2">
      <c r="C484" s="263"/>
    </row>
    <row r="486" spans="1:3" x14ac:dyDescent="0.2">
      <c r="A486" s="261"/>
    </row>
    <row r="487" spans="1:3" x14ac:dyDescent="0.2">
      <c r="C487" s="263"/>
    </row>
    <row r="488" spans="1:3" x14ac:dyDescent="0.2">
      <c r="C488" s="263"/>
    </row>
    <row r="489" spans="1:3" x14ac:dyDescent="0.2">
      <c r="C489" s="263"/>
    </row>
    <row r="490" spans="1:3" x14ac:dyDescent="0.2">
      <c r="C490" s="263"/>
    </row>
    <row r="491" spans="1:3" x14ac:dyDescent="0.2">
      <c r="A491" s="261"/>
    </row>
    <row r="492" spans="1:3" x14ac:dyDescent="0.2">
      <c r="C492" s="263"/>
    </row>
    <row r="493" spans="1:3" x14ac:dyDescent="0.2">
      <c r="C493" s="263"/>
    </row>
    <row r="494" spans="1:3" x14ac:dyDescent="0.2">
      <c r="C494" s="263"/>
    </row>
    <row r="495" spans="1:3" x14ac:dyDescent="0.2">
      <c r="A495" s="261"/>
    </row>
    <row r="496" spans="1:3" x14ac:dyDescent="0.2">
      <c r="C496" s="263"/>
    </row>
    <row r="497" spans="1:3" x14ac:dyDescent="0.2">
      <c r="C497" s="263"/>
    </row>
    <row r="498" spans="1:3" x14ac:dyDescent="0.2">
      <c r="C498" s="263"/>
    </row>
    <row r="500" spans="1:3" x14ac:dyDescent="0.2">
      <c r="A500" s="261"/>
    </row>
    <row r="501" spans="1:3" x14ac:dyDescent="0.2">
      <c r="C501" s="263"/>
    </row>
    <row r="502" spans="1:3" x14ac:dyDescent="0.2">
      <c r="C502" s="263"/>
    </row>
    <row r="503" spans="1:3" x14ac:dyDescent="0.2">
      <c r="C503" s="263"/>
    </row>
    <row r="504" spans="1:3" x14ac:dyDescent="0.2">
      <c r="C504" s="263"/>
    </row>
    <row r="505" spans="1:3" x14ac:dyDescent="0.2">
      <c r="A505" s="261"/>
    </row>
    <row r="506" spans="1:3" x14ac:dyDescent="0.2">
      <c r="C506" s="263"/>
    </row>
    <row r="507" spans="1:3" x14ac:dyDescent="0.2">
      <c r="C507" s="263"/>
    </row>
    <row r="508" spans="1:3" x14ac:dyDescent="0.2">
      <c r="C508" s="263"/>
    </row>
    <row r="509" spans="1:3" x14ac:dyDescent="0.2">
      <c r="A509" s="262"/>
    </row>
    <row r="510" spans="1:3" x14ac:dyDescent="0.2">
      <c r="A510" s="261"/>
    </row>
    <row r="511" spans="1:3" x14ac:dyDescent="0.2">
      <c r="C511" s="263"/>
    </row>
    <row r="512" spans="1:3" x14ac:dyDescent="0.2">
      <c r="C512" s="263"/>
    </row>
    <row r="513" spans="1:3" x14ac:dyDescent="0.2">
      <c r="C513" s="263"/>
    </row>
    <row r="515" spans="1:3" x14ac:dyDescent="0.2">
      <c r="A515" s="261"/>
    </row>
    <row r="516" spans="1:3" x14ac:dyDescent="0.2">
      <c r="C516" s="263"/>
    </row>
    <row r="517" spans="1:3" x14ac:dyDescent="0.2">
      <c r="C517" s="263"/>
    </row>
    <row r="518" spans="1:3" x14ac:dyDescent="0.2">
      <c r="C518" s="263"/>
    </row>
    <row r="519" spans="1:3" x14ac:dyDescent="0.2">
      <c r="C519" s="263"/>
    </row>
    <row r="520" spans="1:3" x14ac:dyDescent="0.2">
      <c r="A520" s="261"/>
    </row>
    <row r="521" spans="1:3" x14ac:dyDescent="0.2">
      <c r="C521" s="263"/>
    </row>
    <row r="522" spans="1:3" x14ac:dyDescent="0.2">
      <c r="C522" s="263"/>
    </row>
    <row r="523" spans="1:3" x14ac:dyDescent="0.2">
      <c r="A523" s="261"/>
    </row>
    <row r="524" spans="1:3" x14ac:dyDescent="0.2">
      <c r="C524" s="263"/>
    </row>
    <row r="525" spans="1:3" x14ac:dyDescent="0.2">
      <c r="C525" s="263"/>
    </row>
    <row r="526" spans="1:3" x14ac:dyDescent="0.2">
      <c r="C526" s="263"/>
    </row>
    <row r="527" spans="1:3" x14ac:dyDescent="0.2">
      <c r="C527" s="263"/>
    </row>
    <row r="528" spans="1:3" x14ac:dyDescent="0.2">
      <c r="C528" s="263"/>
    </row>
    <row r="529" spans="1:3" x14ac:dyDescent="0.2">
      <c r="C529" s="263"/>
    </row>
    <row r="530" spans="1:3" x14ac:dyDescent="0.2">
      <c r="A530" s="261"/>
      <c r="C530" s="263"/>
    </row>
    <row r="531" spans="1:3" x14ac:dyDescent="0.2">
      <c r="C531" s="263"/>
    </row>
    <row r="532" spans="1:3" x14ac:dyDescent="0.2">
      <c r="C532" s="263"/>
    </row>
    <row r="533" spans="1:3" x14ac:dyDescent="0.2">
      <c r="C533" s="263"/>
    </row>
    <row r="534" spans="1:3" x14ac:dyDescent="0.2">
      <c r="A534" s="262"/>
    </row>
    <row r="535" spans="1:3" x14ac:dyDescent="0.2">
      <c r="A535" s="261"/>
    </row>
    <row r="536" spans="1:3" x14ac:dyDescent="0.2">
      <c r="C536" s="263"/>
    </row>
    <row r="537" spans="1:3" x14ac:dyDescent="0.2">
      <c r="C537" s="263"/>
    </row>
    <row r="538" spans="1:3" x14ac:dyDescent="0.2">
      <c r="C538" s="263"/>
    </row>
    <row r="540" spans="1:3" x14ac:dyDescent="0.2">
      <c r="A540" s="261"/>
    </row>
    <row r="541" spans="1:3" x14ac:dyDescent="0.2">
      <c r="C541" s="263"/>
    </row>
    <row r="542" spans="1:3" x14ac:dyDescent="0.2">
      <c r="C542" s="263"/>
    </row>
    <row r="543" spans="1:3" x14ac:dyDescent="0.2">
      <c r="C543" s="263"/>
    </row>
    <row r="544" spans="1:3" x14ac:dyDescent="0.2">
      <c r="A544" s="262"/>
    </row>
    <row r="545" spans="1:3" x14ac:dyDescent="0.2">
      <c r="A545" s="261"/>
    </row>
    <row r="546" spans="1:3" x14ac:dyDescent="0.2">
      <c r="C546" s="263"/>
    </row>
    <row r="547" spans="1:3" x14ac:dyDescent="0.2">
      <c r="C547" s="263"/>
    </row>
    <row r="548" spans="1:3" x14ac:dyDescent="0.2">
      <c r="C548" s="263"/>
    </row>
    <row r="550" spans="1:3" x14ac:dyDescent="0.2">
      <c r="A550" s="261"/>
    </row>
    <row r="551" spans="1:3" x14ac:dyDescent="0.2">
      <c r="A551" s="261"/>
    </row>
    <row r="552" spans="1:3" x14ac:dyDescent="0.2">
      <c r="C552" s="263"/>
    </row>
    <row r="553" spans="1:3" x14ac:dyDescent="0.2">
      <c r="C553" s="263"/>
    </row>
    <row r="554" spans="1:3" x14ac:dyDescent="0.2">
      <c r="C554" s="263"/>
    </row>
    <row r="556" spans="1:3" x14ac:dyDescent="0.2">
      <c r="A556" s="261"/>
    </row>
    <row r="557" spans="1:3" x14ac:dyDescent="0.2">
      <c r="C557" s="263"/>
    </row>
    <row r="558" spans="1:3" x14ac:dyDescent="0.2">
      <c r="C558" s="263"/>
    </row>
    <row r="559" spans="1:3" x14ac:dyDescent="0.2">
      <c r="C559" s="263"/>
    </row>
    <row r="560" spans="1:3" x14ac:dyDescent="0.2">
      <c r="C560" s="263"/>
    </row>
    <row r="561" spans="1:3" x14ac:dyDescent="0.2">
      <c r="A561" s="261"/>
    </row>
    <row r="562" spans="1:3" x14ac:dyDescent="0.2">
      <c r="C562" s="263"/>
    </row>
    <row r="563" spans="1:3" x14ac:dyDescent="0.2">
      <c r="C563" s="263"/>
    </row>
    <row r="564" spans="1:3" x14ac:dyDescent="0.2">
      <c r="C564" s="263"/>
    </row>
    <row r="565" spans="1:3" x14ac:dyDescent="0.2">
      <c r="A565" s="262"/>
    </row>
    <row r="566" spans="1:3" x14ac:dyDescent="0.2">
      <c r="A566" s="261"/>
    </row>
    <row r="567" spans="1:3" x14ac:dyDescent="0.2">
      <c r="C567" s="263"/>
    </row>
    <row r="568" spans="1:3" x14ac:dyDescent="0.2">
      <c r="C568" s="263"/>
    </row>
    <row r="569" spans="1:3" x14ac:dyDescent="0.2">
      <c r="C569" s="263"/>
    </row>
    <row r="571" spans="1:3" x14ac:dyDescent="0.2">
      <c r="A571" s="261"/>
    </row>
    <row r="572" spans="1:3" x14ac:dyDescent="0.2">
      <c r="C572" s="263"/>
    </row>
    <row r="573" spans="1:3" x14ac:dyDescent="0.2">
      <c r="C573" s="263"/>
    </row>
    <row r="574" spans="1:3" x14ac:dyDescent="0.2">
      <c r="C574" s="263"/>
    </row>
    <row r="575" spans="1:3" x14ac:dyDescent="0.2">
      <c r="C575" s="263"/>
    </row>
    <row r="576" spans="1:3" x14ac:dyDescent="0.2">
      <c r="A576" s="261"/>
    </row>
    <row r="577" spans="1:3" x14ac:dyDescent="0.2">
      <c r="C577" s="263"/>
    </row>
    <row r="578" spans="1:3" x14ac:dyDescent="0.2">
      <c r="C578" s="263"/>
    </row>
    <row r="579" spans="1:3" x14ac:dyDescent="0.2">
      <c r="A579" s="261"/>
    </row>
    <row r="580" spans="1:3" x14ac:dyDescent="0.2">
      <c r="C580" s="263"/>
    </row>
    <row r="581" spans="1:3" x14ac:dyDescent="0.2">
      <c r="C581" s="263"/>
    </row>
    <row r="582" spans="1:3" x14ac:dyDescent="0.2">
      <c r="C582" s="263"/>
    </row>
    <row r="583" spans="1:3" x14ac:dyDescent="0.2">
      <c r="C583" s="263"/>
    </row>
    <row r="585" spans="1:3" x14ac:dyDescent="0.2">
      <c r="A585" s="261"/>
    </row>
    <row r="586" spans="1:3" x14ac:dyDescent="0.2">
      <c r="C586" s="263"/>
    </row>
    <row r="587" spans="1:3" x14ac:dyDescent="0.2">
      <c r="C587" s="263"/>
    </row>
    <row r="588" spans="1:3" x14ac:dyDescent="0.2">
      <c r="C588" s="263"/>
    </row>
    <row r="589" spans="1:3" x14ac:dyDescent="0.2">
      <c r="A589" s="262"/>
    </row>
    <row r="590" spans="1:3" x14ac:dyDescent="0.2">
      <c r="A590" s="261"/>
    </row>
    <row r="591" spans="1:3" x14ac:dyDescent="0.2">
      <c r="C591" s="263"/>
    </row>
    <row r="592" spans="1:3" x14ac:dyDescent="0.2">
      <c r="C592" s="263"/>
    </row>
    <row r="593" spans="1:3" x14ac:dyDescent="0.2">
      <c r="C593" s="263"/>
    </row>
    <row r="595" spans="1:3" x14ac:dyDescent="0.2">
      <c r="A595" s="261"/>
    </row>
    <row r="596" spans="1:3" x14ac:dyDescent="0.2">
      <c r="C596" s="263"/>
    </row>
    <row r="597" spans="1:3" x14ac:dyDescent="0.2">
      <c r="C597" s="263"/>
    </row>
    <row r="598" spans="1:3" x14ac:dyDescent="0.2">
      <c r="C598" s="263"/>
    </row>
    <row r="600" spans="1:3" x14ac:dyDescent="0.2">
      <c r="A600" s="261"/>
    </row>
    <row r="601" spans="1:3" x14ac:dyDescent="0.2">
      <c r="C601" s="263"/>
    </row>
    <row r="602" spans="1:3" x14ac:dyDescent="0.2">
      <c r="C602" s="263"/>
    </row>
    <row r="603" spans="1:3" x14ac:dyDescent="0.2">
      <c r="C603" s="263"/>
    </row>
    <row r="604" spans="1:3" x14ac:dyDescent="0.2">
      <c r="C604" s="263"/>
    </row>
    <row r="605" spans="1:3" x14ac:dyDescent="0.2">
      <c r="A605" s="261"/>
    </row>
    <row r="606" spans="1:3" x14ac:dyDescent="0.2">
      <c r="C606" s="263"/>
    </row>
    <row r="607" spans="1:3" x14ac:dyDescent="0.2">
      <c r="A607" s="261"/>
    </row>
    <row r="608" spans="1:3" x14ac:dyDescent="0.2">
      <c r="C608" s="263"/>
    </row>
    <row r="609" spans="1:3" x14ac:dyDescent="0.2">
      <c r="C609" s="263"/>
    </row>
    <row r="610" spans="1:3" x14ac:dyDescent="0.2">
      <c r="C610" s="263"/>
    </row>
    <row r="612" spans="1:3" x14ac:dyDescent="0.2">
      <c r="A612" s="261"/>
    </row>
    <row r="613" spans="1:3" x14ac:dyDescent="0.2">
      <c r="C613" s="263"/>
    </row>
    <row r="614" spans="1:3" x14ac:dyDescent="0.2">
      <c r="C614" s="263"/>
    </row>
    <row r="615" spans="1:3" x14ac:dyDescent="0.2">
      <c r="C615" s="263"/>
    </row>
    <row r="616" spans="1:3" x14ac:dyDescent="0.2">
      <c r="C616" s="263"/>
    </row>
    <row r="617" spans="1:3" x14ac:dyDescent="0.2">
      <c r="A617" s="261"/>
    </row>
    <row r="618" spans="1:3" x14ac:dyDescent="0.2">
      <c r="C618" s="263"/>
    </row>
    <row r="619" spans="1:3" x14ac:dyDescent="0.2">
      <c r="C619" s="263"/>
    </row>
    <row r="620" spans="1:3" x14ac:dyDescent="0.2">
      <c r="C620" s="263"/>
    </row>
    <row r="621" spans="1:3" x14ac:dyDescent="0.2">
      <c r="A621" s="262"/>
    </row>
    <row r="622" spans="1:3" x14ac:dyDescent="0.2">
      <c r="A622" s="261"/>
    </row>
    <row r="623" spans="1:3" x14ac:dyDescent="0.2">
      <c r="C623" s="263"/>
    </row>
    <row r="624" spans="1:3" x14ac:dyDescent="0.2">
      <c r="C624" s="263"/>
    </row>
    <row r="625" spans="1:3" x14ac:dyDescent="0.2">
      <c r="C625" s="263"/>
    </row>
    <row r="627" spans="1:3" x14ac:dyDescent="0.2">
      <c r="A627" s="261"/>
    </row>
    <row r="628" spans="1:3" x14ac:dyDescent="0.2">
      <c r="C628" s="263"/>
    </row>
    <row r="629" spans="1:3" x14ac:dyDescent="0.2">
      <c r="C629" s="263"/>
    </row>
    <row r="630" spans="1:3" x14ac:dyDescent="0.2">
      <c r="C630" s="263"/>
    </row>
    <row r="631" spans="1:3" x14ac:dyDescent="0.2">
      <c r="C631" s="263"/>
    </row>
    <row r="632" spans="1:3" x14ac:dyDescent="0.2">
      <c r="A632" s="261"/>
    </row>
    <row r="633" spans="1:3" x14ac:dyDescent="0.2">
      <c r="C633" s="263"/>
    </row>
    <row r="634" spans="1:3" x14ac:dyDescent="0.2">
      <c r="C634" s="263"/>
    </row>
    <row r="635" spans="1:3" x14ac:dyDescent="0.2">
      <c r="A635" s="261"/>
    </row>
    <row r="636" spans="1:3" x14ac:dyDescent="0.2">
      <c r="C636" s="263"/>
    </row>
    <row r="637" spans="1:3" x14ac:dyDescent="0.2">
      <c r="C637" s="263"/>
    </row>
    <row r="638" spans="1:3" x14ac:dyDescent="0.2">
      <c r="C638" s="263"/>
    </row>
    <row r="639" spans="1:3" x14ac:dyDescent="0.2">
      <c r="C639" s="263"/>
    </row>
    <row r="640" spans="1:3" x14ac:dyDescent="0.2">
      <c r="C640" s="263"/>
    </row>
    <row r="641" spans="1:3" x14ac:dyDescent="0.2">
      <c r="C641" s="263"/>
    </row>
    <row r="642" spans="1:3" x14ac:dyDescent="0.2">
      <c r="A642" s="261"/>
      <c r="C642" s="263"/>
    </row>
    <row r="643" spans="1:3" x14ac:dyDescent="0.2">
      <c r="C643" s="263"/>
    </row>
    <row r="644" spans="1:3" x14ac:dyDescent="0.2">
      <c r="C644" s="263"/>
    </row>
    <row r="645" spans="1:3" x14ac:dyDescent="0.2">
      <c r="C645" s="263"/>
    </row>
    <row r="646" spans="1:3" x14ac:dyDescent="0.2">
      <c r="A646" s="262"/>
    </row>
    <row r="647" spans="1:3" x14ac:dyDescent="0.2">
      <c r="A647" s="261"/>
    </row>
    <row r="648" spans="1:3" x14ac:dyDescent="0.2">
      <c r="C648" s="263"/>
    </row>
    <row r="649" spans="1:3" x14ac:dyDescent="0.2">
      <c r="C649" s="263"/>
    </row>
    <row r="650" spans="1:3" x14ac:dyDescent="0.2">
      <c r="C650" s="263"/>
    </row>
    <row r="652" spans="1:3" x14ac:dyDescent="0.2">
      <c r="A652" s="261"/>
    </row>
    <row r="653" spans="1:3" x14ac:dyDescent="0.2">
      <c r="C653" s="263"/>
    </row>
    <row r="654" spans="1:3" x14ac:dyDescent="0.2">
      <c r="C654" s="263"/>
    </row>
    <row r="655" spans="1:3" x14ac:dyDescent="0.2">
      <c r="C655" s="263"/>
    </row>
    <row r="656" spans="1:3" x14ac:dyDescent="0.2">
      <c r="A656" s="262"/>
    </row>
    <row r="657" spans="1:3" x14ac:dyDescent="0.2">
      <c r="A657" s="261"/>
    </row>
    <row r="658" spans="1:3" x14ac:dyDescent="0.2">
      <c r="C658" s="263"/>
    </row>
    <row r="659" spans="1:3" x14ac:dyDescent="0.2">
      <c r="C659" s="263"/>
    </row>
    <row r="660" spans="1:3" x14ac:dyDescent="0.2">
      <c r="C660" s="263"/>
    </row>
    <row r="662" spans="1:3" x14ac:dyDescent="0.2">
      <c r="A662" s="261"/>
    </row>
    <row r="663" spans="1:3" x14ac:dyDescent="0.2">
      <c r="A663" s="261"/>
    </row>
    <row r="664" spans="1:3" x14ac:dyDescent="0.2">
      <c r="C664" s="263"/>
    </row>
    <row r="665" spans="1:3" x14ac:dyDescent="0.2">
      <c r="C665" s="263"/>
    </row>
    <row r="666" spans="1:3" x14ac:dyDescent="0.2">
      <c r="C666" s="263"/>
    </row>
    <row r="668" spans="1:3" x14ac:dyDescent="0.2">
      <c r="A668" s="261"/>
    </row>
    <row r="669" spans="1:3" x14ac:dyDescent="0.2">
      <c r="C669" s="263"/>
    </row>
    <row r="670" spans="1:3" x14ac:dyDescent="0.2">
      <c r="C670" s="263"/>
    </row>
    <row r="671" spans="1:3" x14ac:dyDescent="0.2">
      <c r="C671" s="263"/>
    </row>
    <row r="672" spans="1:3" x14ac:dyDescent="0.2">
      <c r="C672" s="263"/>
    </row>
    <row r="673" spans="1:3" x14ac:dyDescent="0.2">
      <c r="A673" s="261"/>
    </row>
    <row r="674" spans="1:3" x14ac:dyDescent="0.2">
      <c r="C674" s="263"/>
    </row>
    <row r="675" spans="1:3" x14ac:dyDescent="0.2">
      <c r="C675" s="263"/>
    </row>
    <row r="676" spans="1:3" x14ac:dyDescent="0.2">
      <c r="C676" s="263"/>
    </row>
    <row r="677" spans="1:3" x14ac:dyDescent="0.2">
      <c r="A677" s="262"/>
    </row>
    <row r="678" spans="1:3" x14ac:dyDescent="0.2">
      <c r="A678" s="261"/>
    </row>
    <row r="679" spans="1:3" x14ac:dyDescent="0.2">
      <c r="C679" s="263"/>
    </row>
    <row r="680" spans="1:3" x14ac:dyDescent="0.2">
      <c r="C680" s="263"/>
    </row>
    <row r="681" spans="1:3" x14ac:dyDescent="0.2">
      <c r="C681" s="263"/>
    </row>
    <row r="683" spans="1:3" x14ac:dyDescent="0.2">
      <c r="A683" s="261"/>
    </row>
    <row r="684" spans="1:3" x14ac:dyDescent="0.2">
      <c r="C684" s="263"/>
    </row>
    <row r="685" spans="1:3" x14ac:dyDescent="0.2">
      <c r="C685" s="263"/>
    </row>
    <row r="686" spans="1:3" x14ac:dyDescent="0.2">
      <c r="C686" s="263"/>
    </row>
    <row r="687" spans="1:3" x14ac:dyDescent="0.2">
      <c r="C687" s="263"/>
    </row>
    <row r="688" spans="1:3" x14ac:dyDescent="0.2">
      <c r="A688" s="261"/>
    </row>
    <row r="689" spans="1:3" x14ac:dyDescent="0.2">
      <c r="C689" s="263"/>
    </row>
    <row r="690" spans="1:3" x14ac:dyDescent="0.2">
      <c r="C690" s="263"/>
    </row>
    <row r="691" spans="1:3" x14ac:dyDescent="0.2">
      <c r="A691" s="261"/>
    </row>
    <row r="692" spans="1:3" x14ac:dyDescent="0.2">
      <c r="C692" s="263"/>
    </row>
    <row r="693" spans="1:3" x14ac:dyDescent="0.2">
      <c r="C693" s="263"/>
    </row>
    <row r="694" spans="1:3" x14ac:dyDescent="0.2">
      <c r="C694" s="263"/>
    </row>
  </sheetData>
  <mergeCells count="110">
    <mergeCell ref="L194:O194"/>
    <mergeCell ref="V194:Y194"/>
    <mergeCell ref="B158:E158"/>
    <mergeCell ref="L158:O158"/>
    <mergeCell ref="V158:Y158"/>
    <mergeCell ref="B185:E185"/>
    <mergeCell ref="L185:O185"/>
    <mergeCell ref="V185:Y185"/>
    <mergeCell ref="B167:E167"/>
    <mergeCell ref="L167:O167"/>
    <mergeCell ref="V167:Y167"/>
    <mergeCell ref="B176:E176"/>
    <mergeCell ref="L176:O176"/>
    <mergeCell ref="V176:Y176"/>
    <mergeCell ref="G158:J158"/>
    <mergeCell ref="G185:J185"/>
    <mergeCell ref="Q185:T185"/>
    <mergeCell ref="Q176:T176"/>
    <mergeCell ref="G194:J194"/>
    <mergeCell ref="Q194:T194"/>
    <mergeCell ref="Q158:T158"/>
    <mergeCell ref="G167:J167"/>
    <mergeCell ref="Q167:T167"/>
    <mergeCell ref="G176:J176"/>
    <mergeCell ref="B194:E194"/>
    <mergeCell ref="B122:E122"/>
    <mergeCell ref="L122:O122"/>
    <mergeCell ref="V122:Y122"/>
    <mergeCell ref="L104:O104"/>
    <mergeCell ref="V104:Y104"/>
    <mergeCell ref="B113:E113"/>
    <mergeCell ref="L113:O113"/>
    <mergeCell ref="V113:Y113"/>
    <mergeCell ref="G104:J104"/>
    <mergeCell ref="Q104:T104"/>
    <mergeCell ref="G113:J113"/>
    <mergeCell ref="Q113:T113"/>
    <mergeCell ref="G122:J122"/>
    <mergeCell ref="Q122:T122"/>
    <mergeCell ref="V140:Y140"/>
    <mergeCell ref="B131:E131"/>
    <mergeCell ref="L131:O131"/>
    <mergeCell ref="V131:Y131"/>
    <mergeCell ref="B149:E149"/>
    <mergeCell ref="L149:O149"/>
    <mergeCell ref="V149:Y149"/>
    <mergeCell ref="B140:E140"/>
    <mergeCell ref="L140:O140"/>
    <mergeCell ref="G131:J131"/>
    <mergeCell ref="Q131:T131"/>
    <mergeCell ref="G140:J140"/>
    <mergeCell ref="Q140:T140"/>
    <mergeCell ref="G149:J149"/>
    <mergeCell ref="Q149:T149"/>
    <mergeCell ref="V95:Y95"/>
    <mergeCell ref="B104:E104"/>
    <mergeCell ref="B77:E77"/>
    <mergeCell ref="L77:O77"/>
    <mergeCell ref="V77:Y77"/>
    <mergeCell ref="B86:E86"/>
    <mergeCell ref="L86:O86"/>
    <mergeCell ref="V86:Y86"/>
    <mergeCell ref="B95:E95"/>
    <mergeCell ref="L95:O95"/>
    <mergeCell ref="G95:J95"/>
    <mergeCell ref="Q95:T95"/>
    <mergeCell ref="G77:J77"/>
    <mergeCell ref="Q77:T77"/>
    <mergeCell ref="G86:J86"/>
    <mergeCell ref="Q86:T86"/>
    <mergeCell ref="B68:E68"/>
    <mergeCell ref="L68:O68"/>
    <mergeCell ref="V68:Y68"/>
    <mergeCell ref="L14:O14"/>
    <mergeCell ref="V14:Y14"/>
    <mergeCell ref="B23:E23"/>
    <mergeCell ref="L23:O23"/>
    <mergeCell ref="V23:Y23"/>
    <mergeCell ref="B41:E41"/>
    <mergeCell ref="L41:O41"/>
    <mergeCell ref="V41:Y41"/>
    <mergeCell ref="B50:E50"/>
    <mergeCell ref="L50:O50"/>
    <mergeCell ref="V50:Y50"/>
    <mergeCell ref="G14:J14"/>
    <mergeCell ref="Q14:T14"/>
    <mergeCell ref="G68:J68"/>
    <mergeCell ref="Q68:T68"/>
    <mergeCell ref="G41:J41"/>
    <mergeCell ref="Q41:T41"/>
    <mergeCell ref="G50:J50"/>
    <mergeCell ref="Q50:T50"/>
    <mergeCell ref="G59:J59"/>
    <mergeCell ref="Q59:T59"/>
    <mergeCell ref="B5:E5"/>
    <mergeCell ref="L5:O5"/>
    <mergeCell ref="V5:Y5"/>
    <mergeCell ref="B59:E59"/>
    <mergeCell ref="L59:O59"/>
    <mergeCell ref="V59:Y59"/>
    <mergeCell ref="B32:E32"/>
    <mergeCell ref="L32:O32"/>
    <mergeCell ref="V32:Y32"/>
    <mergeCell ref="B14:E14"/>
    <mergeCell ref="G5:J5"/>
    <mergeCell ref="Q5:T5"/>
    <mergeCell ref="G23:J23"/>
    <mergeCell ref="Q23:T23"/>
    <mergeCell ref="G32:J32"/>
    <mergeCell ref="Q32:T32"/>
  </mergeCells>
  <pageMargins left="0.7" right="0.7" top="0.75" bottom="0.75" header="0.3" footer="0.3"/>
  <pageSetup paperSize="9" scale="68" fitToHeight="0" orientation="landscape" r:id="rId1"/>
  <rowBreaks count="7" manualBreakCount="7">
    <brk id="40" max="24" man="1"/>
    <brk id="82" max="24" man="1"/>
    <brk id="112" max="24" man="1"/>
    <brk id="139" max="24" man="1"/>
    <brk id="166" max="24" man="1"/>
    <brk id="199" max="24" man="1"/>
    <brk id="304" max="24" man="1"/>
  </rowBreaks>
  <colBreaks count="1" manualBreakCount="1">
    <brk id="25" max="1048575" man="1"/>
  </colBreaks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/>
  <dimension ref="A1:P43"/>
  <sheetViews>
    <sheetView zoomScale="75" zoomScaleNormal="75" workbookViewId="0"/>
  </sheetViews>
  <sheetFormatPr defaultRowHeight="12.75" x14ac:dyDescent="0.2"/>
  <cols>
    <col min="1" max="1" width="11" style="81" bestFit="1" customWidth="1"/>
    <col min="2" max="9" width="9.140625" style="81"/>
    <col min="10" max="10" width="17.5703125" style="81" customWidth="1"/>
    <col min="11" max="11" width="8.28515625" style="81" customWidth="1"/>
    <col min="12" max="12" width="28.140625" customWidth="1"/>
    <col min="13" max="14" width="10.140625" customWidth="1"/>
  </cols>
  <sheetData>
    <row r="1" spans="1:16" ht="15.75" x14ac:dyDescent="0.25">
      <c r="A1" s="80" t="str">
        <f>CONCATENATE("Industry Figure 1  Growth in Employment by Industry Group (SIC 2007), ",M6," and ",N6,", ",Info!B5)</f>
        <v>Industry Figure 1  Growth in Employment by Industry Group (SIC 2007), 2015-2020 and 2020-2035, Enterprise M3</v>
      </c>
    </row>
    <row r="2" spans="1:16" x14ac:dyDescent="0.2">
      <c r="A2" s="182" t="s">
        <v>517</v>
      </c>
    </row>
    <row r="3" spans="1:16" x14ac:dyDescent="0.2">
      <c r="L3" s="46" t="s">
        <v>442</v>
      </c>
    </row>
    <row r="5" spans="1:16" x14ac:dyDescent="0.2">
      <c r="L5" s="30" t="s">
        <v>406</v>
      </c>
    </row>
    <row r="6" spans="1:16" x14ac:dyDescent="0.2">
      <c r="L6" s="13"/>
      <c r="M6" s="16" t="str">
        <f>'Ind T4'!B87</f>
        <v>2015-2020</v>
      </c>
      <c r="N6" s="16" t="str">
        <f>'Ind T4'!C87</f>
        <v>2020-2035</v>
      </c>
      <c r="O6" s="16"/>
      <c r="P6" s="16"/>
    </row>
    <row r="7" spans="1:16" x14ac:dyDescent="0.2">
      <c r="L7" s="1" t="str">
        <f>'Ind T4'!A83</f>
        <v>All industries</v>
      </c>
      <c r="M7">
        <f>'Ind T4'!B122</f>
        <v>-8.4406823586569146E-3</v>
      </c>
      <c r="N7">
        <f>'Ind T4'!C122</f>
        <v>0.45434319276140833</v>
      </c>
    </row>
    <row r="8" spans="1:16" x14ac:dyDescent="0.2">
      <c r="L8" s="13"/>
    </row>
    <row r="9" spans="1:16" x14ac:dyDescent="0.2">
      <c r="L9" s="13" t="str">
        <f>'Ind T4'!A81</f>
        <v>Health and social work</v>
      </c>
      <c r="M9">
        <f>'Ind T4'!B120</f>
        <v>0.89984833546488119</v>
      </c>
      <c r="N9">
        <f>'Ind T4'!C120</f>
        <v>0.39142833116343478</v>
      </c>
    </row>
    <row r="10" spans="1:16" x14ac:dyDescent="0.2">
      <c r="L10" s="13" t="str">
        <f>'Ind T4'!A80</f>
        <v>Education</v>
      </c>
      <c r="M10">
        <f>'Ind T4'!B119</f>
        <v>-1.279584211937479</v>
      </c>
      <c r="N10">
        <f>'Ind T4'!C119</f>
        <v>0.12780633443161271</v>
      </c>
    </row>
    <row r="11" spans="1:16" x14ac:dyDescent="0.2">
      <c r="L11" s="13" t="str">
        <f>'Ind T4'!A79</f>
        <v>Public admin. and defence</v>
      </c>
      <c r="M11">
        <f>'Ind T4'!B118</f>
        <v>-0.85033067811851604</v>
      </c>
      <c r="N11">
        <f>'Ind T4'!C118</f>
        <v>0.14036514937836309</v>
      </c>
    </row>
    <row r="12" spans="1:16" x14ac:dyDescent="0.2">
      <c r="L12" s="1" t="str">
        <f>CONCATENATE("[",'Ind T4'!A78,"]")</f>
        <v>[Non-marketed services]</v>
      </c>
      <c r="M12">
        <f>'Ind T4'!B117</f>
        <v>-0.19260694440755843</v>
      </c>
      <c r="N12">
        <f>'Ind T4'!C117</f>
        <v>0.25916459981827344</v>
      </c>
    </row>
    <row r="13" spans="1:16" x14ac:dyDescent="0.2">
      <c r="L13" s="13"/>
    </row>
    <row r="14" spans="1:16" x14ac:dyDescent="0.2">
      <c r="L14" s="13" t="str">
        <f>'Ind T4'!A76</f>
        <v>Other services</v>
      </c>
      <c r="M14" s="13">
        <f>'Ind T4'!B115</f>
        <v>-0.94029628451903768</v>
      </c>
      <c r="N14" s="13">
        <f>'Ind T4'!C115</f>
        <v>-0.40242595993443819</v>
      </c>
    </row>
    <row r="15" spans="1:16" x14ac:dyDescent="0.2">
      <c r="L15" s="13" t="str">
        <f>'Ind T4'!A75</f>
        <v>Arts and entertainment</v>
      </c>
      <c r="M15" s="13">
        <f>'Ind T4'!B114</f>
        <v>-3.6470655363978755</v>
      </c>
      <c r="N15" s="13">
        <f>'Ind T4'!C114</f>
        <v>1.2897354472019229</v>
      </c>
    </row>
    <row r="16" spans="1:16" x14ac:dyDescent="0.2">
      <c r="L16" s="13" t="str">
        <f>'Ind T4'!A74</f>
        <v>Support services</v>
      </c>
      <c r="M16" s="13">
        <f>'Ind T4'!B113</f>
        <v>-1.4602986839019949</v>
      </c>
      <c r="N16" s="13">
        <f>'Ind T4'!C113</f>
        <v>0.75801705285813981</v>
      </c>
    </row>
    <row r="17" spans="12:14" x14ac:dyDescent="0.2">
      <c r="L17" s="13" t="str">
        <f>'Ind T4'!A73</f>
        <v>Professional services</v>
      </c>
      <c r="M17" s="13">
        <f>'Ind T4'!B112</f>
        <v>-0.50101174906972412</v>
      </c>
      <c r="N17" s="13">
        <f>'Ind T4'!C112</f>
        <v>0.7345086596098227</v>
      </c>
    </row>
    <row r="18" spans="12:14" x14ac:dyDescent="0.2">
      <c r="L18" s="13" t="str">
        <f>'Ind T4'!A72</f>
        <v>Real estate</v>
      </c>
      <c r="M18" s="13">
        <f>'Ind T4'!B111</f>
        <v>0.28876182879089551</v>
      </c>
      <c r="N18" s="13">
        <f>'Ind T4'!C111</f>
        <v>0.7174724368534946</v>
      </c>
    </row>
    <row r="19" spans="12:14" x14ac:dyDescent="0.2">
      <c r="L19" t="str">
        <f>'Ind T4'!A71</f>
        <v>Finance and insurance</v>
      </c>
      <c r="M19">
        <f>'Ind T4'!B110</f>
        <v>-0.13686992115355956</v>
      </c>
      <c r="N19">
        <f>'Ind T4'!C110</f>
        <v>-0.60371967860198827</v>
      </c>
    </row>
    <row r="20" spans="12:14" x14ac:dyDescent="0.2">
      <c r="L20" t="str">
        <f>'Ind T4'!A70</f>
        <v>Information technology</v>
      </c>
      <c r="M20">
        <f>'Ind T4'!B109</f>
        <v>8.6352552787527515E-2</v>
      </c>
      <c r="N20">
        <f>'Ind T4'!C109</f>
        <v>1.0181628242748042</v>
      </c>
    </row>
    <row r="21" spans="12:14" x14ac:dyDescent="0.2">
      <c r="L21" t="str">
        <f>'Ind T4'!A69</f>
        <v>Media</v>
      </c>
      <c r="M21">
        <f>'Ind T4'!B108</f>
        <v>-6.2509627873561957</v>
      </c>
      <c r="N21">
        <f>'Ind T4'!C108</f>
        <v>-0.39548816181389501</v>
      </c>
    </row>
    <row r="22" spans="12:14" x14ac:dyDescent="0.2">
      <c r="L22" s="1" t="str">
        <f>CONCATENATE("[",'Ind T4'!A68,"]")</f>
        <v>[Business and other services]</v>
      </c>
      <c r="M22">
        <f>'Ind T4'!B107</f>
        <v>-0.98801985929528602</v>
      </c>
      <c r="N22">
        <f>'Ind T4'!C107</f>
        <v>0.62275854492910288</v>
      </c>
    </row>
    <row r="23" spans="12:14" x14ac:dyDescent="0.2">
      <c r="L23" s="13"/>
    </row>
    <row r="24" spans="12:14" x14ac:dyDescent="0.2">
      <c r="L24" s="13" t="str">
        <f>'Ind T4'!A66</f>
        <v>Accommodation and food</v>
      </c>
      <c r="M24">
        <f>'Ind T4'!B105</f>
        <v>-0.10542389252277129</v>
      </c>
      <c r="N24">
        <f>'Ind T4'!C105</f>
        <v>1.325147887156608</v>
      </c>
    </row>
    <row r="25" spans="12:14" x14ac:dyDescent="0.2">
      <c r="L25" s="13" t="str">
        <f>'Ind T4'!A65</f>
        <v>Transport and storage</v>
      </c>
      <c r="M25">
        <f>'Ind T4'!B104</f>
        <v>-0.50548322355367103</v>
      </c>
      <c r="N25">
        <f>'Ind T4'!C104</f>
        <v>0.42985733679654636</v>
      </c>
    </row>
    <row r="26" spans="12:14" x14ac:dyDescent="0.2">
      <c r="L26" s="13" t="str">
        <f>'Ind T4'!A64</f>
        <v>Wholesale and retail trade</v>
      </c>
      <c r="M26">
        <f>'Ind T4'!B103</f>
        <v>1.5601505259608572</v>
      </c>
      <c r="N26">
        <f>'Ind T4'!C103</f>
        <v>0.17354236659408162</v>
      </c>
    </row>
    <row r="27" spans="12:14" x14ac:dyDescent="0.2">
      <c r="L27" s="1" t="str">
        <f>CONCATENATE("[",'Ind T4'!A63,"]")</f>
        <v>[Trade, accomod. and transport]</v>
      </c>
      <c r="M27">
        <f>'Ind T4'!B102</f>
        <v>0.8454691347876242</v>
      </c>
      <c r="N27">
        <f>'Ind T4'!C102</f>
        <v>0.51450979158045307</v>
      </c>
    </row>
    <row r="28" spans="12:14" x14ac:dyDescent="0.2">
      <c r="L28" s="13"/>
    </row>
    <row r="29" spans="12:14" x14ac:dyDescent="0.2">
      <c r="L29" s="1" t="str">
        <f>CONCATENATE("[",'Ind T4'!A61,"]")</f>
        <v>[Construction]</v>
      </c>
      <c r="M29">
        <f>'Ind T4'!B100</f>
        <v>2.5722103402766816</v>
      </c>
      <c r="N29">
        <f>'Ind T4'!C100</f>
        <v>1.0248719185084632</v>
      </c>
    </row>
    <row r="30" spans="12:14" x14ac:dyDescent="0.2">
      <c r="L30" s="13"/>
    </row>
    <row r="31" spans="12:14" x14ac:dyDescent="0.2">
      <c r="L31" s="13" t="str">
        <f>'Ind T4'!A59</f>
        <v>Rest of manufacturing</v>
      </c>
      <c r="M31">
        <f>'Ind T4'!B98</f>
        <v>0.65147777713090438</v>
      </c>
      <c r="N31">
        <f>'Ind T4'!C98</f>
        <v>-1.2000179867624916</v>
      </c>
    </row>
    <row r="32" spans="12:14" x14ac:dyDescent="0.2">
      <c r="L32" s="13" t="str">
        <f>'Ind T4'!A58</f>
        <v>Engineering</v>
      </c>
      <c r="M32">
        <f>'Ind T4'!B97</f>
        <v>1.5107709538380476</v>
      </c>
      <c r="N32">
        <f>'Ind T4'!C97</f>
        <v>-1.6724673113846067</v>
      </c>
    </row>
    <row r="33" spans="12:14" x14ac:dyDescent="0.2">
      <c r="L33" s="13" t="str">
        <f>'Ind T4'!A57</f>
        <v>Food drink and tobacco</v>
      </c>
      <c r="M33">
        <f>'Ind T4'!B96</f>
        <v>3.9524553351452552</v>
      </c>
      <c r="N33">
        <f>'Ind T4'!C96</f>
        <v>1.3295684553941367</v>
      </c>
    </row>
    <row r="34" spans="12:14" x14ac:dyDescent="0.2">
      <c r="L34" s="1" t="str">
        <f>CONCATENATE("[",'Ind T4'!A56,"]")</f>
        <v>[Manufacturing]</v>
      </c>
      <c r="M34">
        <f>'Ind T4'!B95</f>
        <v>1.1402503460726354</v>
      </c>
      <c r="N34">
        <f>'Ind T4'!C95</f>
        <v>-1.0440757310475779</v>
      </c>
    </row>
    <row r="35" spans="12:14" x14ac:dyDescent="0.2">
      <c r="L35" s="13"/>
    </row>
    <row r="36" spans="12:14" x14ac:dyDescent="0.2">
      <c r="L36" s="13" t="str">
        <f>'Ind T4'!A54</f>
        <v>Water and sewerage</v>
      </c>
      <c r="M36">
        <f>'Ind T4'!B93</f>
        <v>4.7123301175184151</v>
      </c>
      <c r="N36">
        <f>'Ind T4'!C93</f>
        <v>1.2199554452501093</v>
      </c>
    </row>
    <row r="37" spans="12:14" x14ac:dyDescent="0.2">
      <c r="L37" s="13" t="str">
        <f>'Ind T4'!A53</f>
        <v>Electricity and gas</v>
      </c>
      <c r="M37">
        <f>'Ind T4'!B92</f>
        <v>-7.6394147789523359</v>
      </c>
      <c r="N37">
        <f>'Ind T4'!C92</f>
        <v>-0.15632930257701849</v>
      </c>
    </row>
    <row r="38" spans="12:14" x14ac:dyDescent="0.2">
      <c r="L38" s="13" t="str">
        <f>'Ind T4'!A52</f>
        <v>Mining and quarrying</v>
      </c>
      <c r="M38">
        <f>'Ind T4'!B91</f>
        <v>11.879118368723773</v>
      </c>
      <c r="N38">
        <f>'Ind T4'!C91</f>
        <v>-1.5266579940480751</v>
      </c>
    </row>
    <row r="39" spans="12:14" x14ac:dyDescent="0.2">
      <c r="L39" s="45" t="str">
        <f>'Ind T4'!A51</f>
        <v>Agriculture</v>
      </c>
      <c r="M39">
        <f>'Ind T4'!B90</f>
        <v>-2.6546509503433624</v>
      </c>
      <c r="N39">
        <f>'Ind T4'!C90</f>
        <v>0.41784403826530259</v>
      </c>
    </row>
    <row r="40" spans="12:14" x14ac:dyDescent="0.2">
      <c r="L40" s="1" t="str">
        <f>CONCATENATE("[",'Ind T4'!A50,"]")</f>
        <v>[Primary sector and utilities]</v>
      </c>
      <c r="M40">
        <f>'Ind T4'!B89</f>
        <v>-2.1346966871180095</v>
      </c>
      <c r="N40">
        <f>'Ind T4'!C89</f>
        <v>0.46607505577145325</v>
      </c>
    </row>
    <row r="43" spans="12:14" x14ac:dyDescent="0.2">
      <c r="L43" t="str">
        <f>REPT(" ",11)</f>
        <v xml:space="preserve">           </v>
      </c>
    </row>
  </sheetData>
  <phoneticPr fontId="4" type="noConversion"/>
  <conditionalFormatting sqref="O18:P18 O25:P25 L6:P6 L8:P8 L13:P13 L23:P23 L28:N28 L30:N30">
    <cfRule type="cellIs" dxfId="12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A1:CR268"/>
  <sheetViews>
    <sheetView zoomScale="75" zoomScaleNormal="75" workbookViewId="0"/>
  </sheetViews>
  <sheetFormatPr defaultRowHeight="12.75" x14ac:dyDescent="0.2"/>
  <cols>
    <col min="1" max="1" width="17" style="81" customWidth="1"/>
    <col min="2" max="10" width="9.140625" style="81"/>
    <col min="11" max="11" width="24.5703125" style="81" customWidth="1"/>
    <col min="12" max="12" width="25.5703125" customWidth="1"/>
    <col min="13" max="13" width="5.42578125" bestFit="1" customWidth="1"/>
    <col min="14" max="14" width="5.140625" bestFit="1" customWidth="1"/>
    <col min="15" max="22" width="5.42578125" bestFit="1" customWidth="1"/>
    <col min="23" max="23" width="5.85546875" bestFit="1" customWidth="1"/>
    <col min="24" max="24" width="5.42578125" bestFit="1" customWidth="1"/>
    <col min="25" max="33" width="5.85546875" bestFit="1" customWidth="1"/>
    <col min="34" max="34" width="5.42578125" bestFit="1" customWidth="1"/>
    <col min="35" max="38" width="5.85546875" bestFit="1" customWidth="1"/>
    <col min="39" max="40" width="7.5703125" customWidth="1"/>
    <col min="41" max="41" width="6.85546875" customWidth="1"/>
    <col min="42" max="42" width="7.140625" customWidth="1"/>
    <col min="43" max="43" width="7.5703125" customWidth="1"/>
    <col min="44" max="44" width="7.140625" customWidth="1"/>
    <col min="45" max="47" width="7.5703125" customWidth="1"/>
    <col min="48" max="48" width="7.140625" customWidth="1"/>
    <col min="49" max="52" width="7.5703125" customWidth="1"/>
    <col min="53" max="53" width="6.85546875" customWidth="1"/>
    <col min="54" max="57" width="7.5703125" customWidth="1"/>
    <col min="58" max="58" width="7.140625" customWidth="1"/>
    <col min="59" max="59" width="7.5703125" customWidth="1"/>
    <col min="60" max="60" width="6.5703125" customWidth="1"/>
    <col min="61" max="63" width="7.5703125" customWidth="1"/>
    <col min="64" max="64" width="2.42578125" customWidth="1"/>
    <col min="65" max="65" width="6.28515625" customWidth="1"/>
    <col min="66" max="66" width="19.42578125" customWidth="1"/>
  </cols>
  <sheetData>
    <row r="1" spans="1:96" ht="15.75" x14ac:dyDescent="0.25">
      <c r="A1" s="80" t="str">
        <f>CONCATENATE("Industry Figure 2  Employment by Industry (SIC 2007), ",$M$2,"-",$O$2,", ",Info!B5)</f>
        <v>Industry Figure 2  Employment by Industry (SIC 2007), 2010-2035, Enterprise M3</v>
      </c>
      <c r="L1" s="46"/>
    </row>
    <row r="2" spans="1:96" x14ac:dyDescent="0.2">
      <c r="A2" s="182" t="s">
        <v>517</v>
      </c>
      <c r="L2" s="16" t="s">
        <v>29</v>
      </c>
      <c r="M2" s="48">
        <f>M4</f>
        <v>2010</v>
      </c>
      <c r="N2" s="47" t="s">
        <v>28</v>
      </c>
      <c r="O2" s="48">
        <f>MAX(Q4:BQ4)</f>
        <v>2035</v>
      </c>
    </row>
    <row r="3" spans="1:96" x14ac:dyDescent="0.2">
      <c r="L3" s="16"/>
      <c r="M3" s="16"/>
      <c r="N3" s="47"/>
      <c r="O3" s="16"/>
    </row>
    <row r="4" spans="1:96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>
        <f t="shared" ref="AM4" si="0">BP4</f>
        <v>0</v>
      </c>
      <c r="AN4" s="10"/>
      <c r="AO4" s="10"/>
      <c r="AP4" s="10"/>
      <c r="AQ4" s="48"/>
      <c r="AR4" s="48"/>
      <c r="AS4" s="48"/>
      <c r="AT4" s="48"/>
      <c r="AU4" s="48"/>
      <c r="AV4" s="48"/>
      <c r="AW4" s="48"/>
      <c r="AX4" s="48"/>
      <c r="AY4" s="48"/>
      <c r="AZ4" s="48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8"/>
      <c r="BO4" s="48"/>
      <c r="BP4" s="48"/>
      <c r="BQ4" s="10"/>
      <c r="BS4" s="48"/>
      <c r="BT4" s="48"/>
      <c r="BU4" s="48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8"/>
      <c r="CJ4" s="48"/>
      <c r="CK4" s="48"/>
      <c r="CL4" s="48"/>
      <c r="CM4" s="48"/>
      <c r="CN4" s="48"/>
      <c r="CO4" s="48"/>
      <c r="CP4" s="48"/>
      <c r="CQ4" s="48"/>
      <c r="CR4" s="48"/>
    </row>
    <row r="5" spans="1:96" x14ac:dyDescent="0.2">
      <c r="L5" s="1" t="str">
        <f>'Ind T4'!A7</f>
        <v>Primary sector and utilities</v>
      </c>
      <c r="M5" s="11">
        <f>SUM(M6:M9)</f>
        <v>13.235000000000021</v>
      </c>
      <c r="N5" s="11">
        <f t="shared" ref="N5:AL5" si="1">SUM(N6:N9)</f>
        <v>14.173999999999991</v>
      </c>
      <c r="O5" s="11">
        <f t="shared" si="1"/>
        <v>15.751000000000001</v>
      </c>
      <c r="P5" s="11">
        <f t="shared" si="1"/>
        <v>12.259</v>
      </c>
      <c r="Q5" s="11">
        <f t="shared" si="1"/>
        <v>18.946000000000002</v>
      </c>
      <c r="R5" s="11">
        <f t="shared" si="1"/>
        <v>16.005999999999986</v>
      </c>
      <c r="S5" s="11">
        <f t="shared" si="1"/>
        <v>17.765999999999984</v>
      </c>
      <c r="T5" s="11">
        <f t="shared" si="1"/>
        <v>19.604000000000017</v>
      </c>
      <c r="U5" s="11">
        <f t="shared" si="1"/>
        <v>14.053999999999995</v>
      </c>
      <c r="V5" s="11">
        <f t="shared" si="1"/>
        <v>15.752000000000006</v>
      </c>
      <c r="W5" s="11">
        <f t="shared" si="1"/>
        <v>14.369000000000012</v>
      </c>
      <c r="X5" s="11">
        <f t="shared" si="1"/>
        <v>14.303999999999995</v>
      </c>
      <c r="Y5" s="11">
        <f t="shared" si="1"/>
        <v>14.251999999999994</v>
      </c>
      <c r="Z5" s="11">
        <f t="shared" si="1"/>
        <v>14.376000000000008</v>
      </c>
      <c r="AA5" s="11">
        <f t="shared" si="1"/>
        <v>14.61</v>
      </c>
      <c r="AB5" s="11">
        <f t="shared" si="1"/>
        <v>14.727000000000004</v>
      </c>
      <c r="AC5" s="11">
        <f t="shared" si="1"/>
        <v>14.822000000000006</v>
      </c>
      <c r="AD5" s="11">
        <f t="shared" si="1"/>
        <v>14.901000000000014</v>
      </c>
      <c r="AE5" s="11">
        <f t="shared" si="1"/>
        <v>14.965000000000002</v>
      </c>
      <c r="AF5" s="11">
        <f t="shared" si="1"/>
        <v>15.025999999999989</v>
      </c>
      <c r="AG5" s="11">
        <f t="shared" si="1"/>
        <v>15.094000000000005</v>
      </c>
      <c r="AH5" s="11">
        <f t="shared" si="1"/>
        <v>15.156999999999986</v>
      </c>
      <c r="AI5" s="11">
        <f t="shared" si="1"/>
        <v>15.221000000000011</v>
      </c>
      <c r="AJ5" s="11">
        <f t="shared" si="1"/>
        <v>15.283000000000014</v>
      </c>
      <c r="AK5" s="11">
        <f t="shared" si="1"/>
        <v>15.345000000000006</v>
      </c>
      <c r="AL5" s="11">
        <f t="shared" si="1"/>
        <v>15.406999999999982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</row>
    <row r="6" spans="1:96" x14ac:dyDescent="0.2">
      <c r="L6" s="83" t="str">
        <f>'Ind T4'!A8</f>
        <v>Agriculture</v>
      </c>
      <c r="M6" s="11">
        <v>5.2050000000000116</v>
      </c>
      <c r="N6" s="11">
        <v>6.0140000000000002</v>
      </c>
      <c r="O6" s="11">
        <v>7.0780000000000136</v>
      </c>
      <c r="P6" s="11">
        <v>4.6930000000000058</v>
      </c>
      <c r="Q6" s="11">
        <v>9.1450000000000102</v>
      </c>
      <c r="R6" s="11">
        <v>6.7529999999999895</v>
      </c>
      <c r="S6" s="11">
        <v>6.0350000000000001</v>
      </c>
      <c r="T6" s="11">
        <v>6.9400000000000031</v>
      </c>
      <c r="U6" s="11">
        <v>6.4289999999999887</v>
      </c>
      <c r="V6" s="11">
        <v>7.5080000000000124</v>
      </c>
      <c r="W6" s="11">
        <v>5.9030000000000209</v>
      </c>
      <c r="X6" s="11">
        <v>5.9500000000000055</v>
      </c>
      <c r="Y6" s="11">
        <v>5.9930000000000021</v>
      </c>
      <c r="Z6" s="11">
        <v>6.0610000000000124</v>
      </c>
      <c r="AA6" s="11">
        <v>6.1040000000000028</v>
      </c>
      <c r="AB6" s="11">
        <v>6.1159999999999926</v>
      </c>
      <c r="AC6" s="11">
        <v>6.1320000000000121</v>
      </c>
      <c r="AD6" s="11">
        <v>6.1480000000000175</v>
      </c>
      <c r="AE6" s="11">
        <v>6.1610000000000058</v>
      </c>
      <c r="AF6" s="11">
        <v>6.1730000000000018</v>
      </c>
      <c r="AG6" s="11">
        <v>6.1940000000000071</v>
      </c>
      <c r="AH6" s="11">
        <v>6.2129999999999903</v>
      </c>
      <c r="AI6" s="11">
        <v>6.2320000000000091</v>
      </c>
      <c r="AJ6" s="11">
        <v>6.2500000000000018</v>
      </c>
      <c r="AK6" s="172">
        <v>6.2669999999999915</v>
      </c>
      <c r="AL6" s="11">
        <v>6.2839999999999883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/>
      <c r="CL6" s="11"/>
      <c r="CM6" s="11"/>
      <c r="CN6" s="11"/>
      <c r="CO6" s="11"/>
      <c r="CP6" s="11"/>
      <c r="CQ6" s="11"/>
      <c r="CR6" s="11"/>
    </row>
    <row r="7" spans="1:96" x14ac:dyDescent="0.2">
      <c r="L7" s="83" t="str">
        <f>'Ind T4'!A9</f>
        <v>Mining and quarrying</v>
      </c>
      <c r="M7" s="11">
        <v>0.30100000000000016</v>
      </c>
      <c r="N7" s="11">
        <v>0.22200000000000034</v>
      </c>
      <c r="O7" s="11">
        <v>0.67699999999999838</v>
      </c>
      <c r="P7" s="11">
        <v>0.72699999999999987</v>
      </c>
      <c r="Q7" s="11">
        <v>0.27100000000000052</v>
      </c>
      <c r="R7" s="11">
        <v>0.2629999999999999</v>
      </c>
      <c r="S7" s="11">
        <v>0.35399999999999987</v>
      </c>
      <c r="T7" s="11">
        <v>0.38599999999999984</v>
      </c>
      <c r="U7" s="11">
        <v>0.2009999999999999</v>
      </c>
      <c r="V7" s="11">
        <v>0.6469999999999988</v>
      </c>
      <c r="W7" s="11">
        <v>0.4609999999999998</v>
      </c>
      <c r="X7" s="11">
        <v>0.45000000000000118</v>
      </c>
      <c r="Y7" s="11">
        <v>0.44699999999999884</v>
      </c>
      <c r="Z7" s="11">
        <v>0.43399999999999966</v>
      </c>
      <c r="AA7" s="11">
        <v>0.42000000000000015</v>
      </c>
      <c r="AB7" s="11">
        <v>0.41099999999999881</v>
      </c>
      <c r="AC7" s="11">
        <v>0.40499999999999953</v>
      </c>
      <c r="AD7" s="11">
        <v>0.39899999999999991</v>
      </c>
      <c r="AE7" s="11">
        <v>0.39300000000000135</v>
      </c>
      <c r="AF7" s="11">
        <v>0.38900000000000007</v>
      </c>
      <c r="AG7" s="11">
        <v>0.38499999999999934</v>
      </c>
      <c r="AH7" s="11">
        <v>0.37999999999999945</v>
      </c>
      <c r="AI7" s="11">
        <v>0.37599999999999906</v>
      </c>
      <c r="AJ7" s="11">
        <v>0.37199999999999994</v>
      </c>
      <c r="AK7" s="172">
        <v>0.36900000000000044</v>
      </c>
      <c r="AL7" s="11">
        <v>0.36599999999999983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S7" s="11"/>
      <c r="BT7" s="11"/>
      <c r="BU7" s="11"/>
      <c r="BV7" s="11"/>
      <c r="BW7" s="11"/>
      <c r="BX7" s="11"/>
      <c r="BY7" s="11"/>
      <c r="BZ7" s="11"/>
      <c r="CA7" s="11"/>
      <c r="CB7" s="11"/>
      <c r="CC7" s="11"/>
      <c r="CD7" s="11"/>
      <c r="CE7" s="11"/>
      <c r="CF7" s="11"/>
      <c r="CG7" s="11"/>
      <c r="CH7" s="11"/>
      <c r="CI7" s="11"/>
      <c r="CJ7" s="11"/>
      <c r="CK7" s="11"/>
      <c r="CL7" s="11"/>
      <c r="CM7" s="11"/>
      <c r="CN7" s="11"/>
      <c r="CO7" s="11"/>
      <c r="CP7" s="11"/>
      <c r="CQ7" s="11"/>
      <c r="CR7" s="11"/>
    </row>
    <row r="8" spans="1:96" x14ac:dyDescent="0.2">
      <c r="L8" s="83" t="str">
        <f>'Ind T4'!A10</f>
        <v>Electricity and gas</v>
      </c>
      <c r="M8" s="11">
        <v>3.4670000000000036</v>
      </c>
      <c r="N8" s="11">
        <v>3.4069999999999885</v>
      </c>
      <c r="O8" s="11">
        <v>3.546000000000002</v>
      </c>
      <c r="P8" s="11">
        <v>3.2699999999999907</v>
      </c>
      <c r="Q8" s="11">
        <v>5.4099999999999921</v>
      </c>
      <c r="R8" s="11">
        <v>5.6449999999999934</v>
      </c>
      <c r="S8" s="11">
        <v>7.7529999999999895</v>
      </c>
      <c r="T8" s="11">
        <v>7.5640000000000116</v>
      </c>
      <c r="U8" s="11">
        <v>3.1650000000000049</v>
      </c>
      <c r="V8" s="11">
        <v>3.0239999999999925</v>
      </c>
      <c r="W8" s="11">
        <v>3.7940000000000009</v>
      </c>
      <c r="X8" s="11">
        <v>3.7679999999999927</v>
      </c>
      <c r="Y8" s="11">
        <v>3.6970000000000032</v>
      </c>
      <c r="Z8" s="11">
        <v>3.6799999999999993</v>
      </c>
      <c r="AA8" s="11">
        <v>3.6799999999999988</v>
      </c>
      <c r="AB8" s="11">
        <v>3.6770000000000018</v>
      </c>
      <c r="AC8" s="11">
        <v>3.6729999999999969</v>
      </c>
      <c r="AD8" s="11">
        <v>3.6730000000000018</v>
      </c>
      <c r="AE8" s="11">
        <v>3.6719999999999975</v>
      </c>
      <c r="AF8" s="11">
        <v>3.6730000000000067</v>
      </c>
      <c r="AG8" s="11">
        <v>3.677</v>
      </c>
      <c r="AH8" s="11">
        <v>3.6809999999999965</v>
      </c>
      <c r="AI8" s="11">
        <v>3.6869999999999927</v>
      </c>
      <c r="AJ8" s="11">
        <v>3.6929999999999956</v>
      </c>
      <c r="AK8" s="172">
        <v>3.6990000000000109</v>
      </c>
      <c r="AL8" s="11">
        <v>3.7060000000000053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Q8" s="11"/>
      <c r="BS8" s="11"/>
      <c r="BT8" s="11"/>
      <c r="BU8" s="11"/>
      <c r="BV8" s="11"/>
      <c r="BW8" s="11"/>
      <c r="BX8" s="11"/>
      <c r="BY8" s="11"/>
      <c r="BZ8" s="11"/>
      <c r="CA8" s="11"/>
      <c r="CB8" s="11"/>
      <c r="CC8" s="11"/>
      <c r="CD8" s="11"/>
      <c r="CE8" s="11"/>
      <c r="CF8" s="11"/>
      <c r="CG8" s="11"/>
      <c r="CH8" s="11"/>
      <c r="CI8" s="11"/>
      <c r="CJ8" s="11"/>
      <c r="CK8" s="11"/>
      <c r="CL8" s="11"/>
      <c r="CM8" s="11"/>
      <c r="CN8" s="11"/>
      <c r="CO8" s="11"/>
      <c r="CP8" s="11"/>
      <c r="CQ8" s="11"/>
      <c r="CR8" s="11"/>
    </row>
    <row r="9" spans="1:96" x14ac:dyDescent="0.2">
      <c r="L9" s="83" t="str">
        <f>'Ind T4'!A11</f>
        <v>Water and sewerage</v>
      </c>
      <c r="M9" s="11">
        <v>4.2620000000000058</v>
      </c>
      <c r="N9" s="11">
        <v>4.5310000000000006</v>
      </c>
      <c r="O9" s="11">
        <v>4.4499999999999869</v>
      </c>
      <c r="P9" s="11">
        <v>3.5690000000000048</v>
      </c>
      <c r="Q9" s="11">
        <v>4.1199999999999966</v>
      </c>
      <c r="R9" s="11">
        <v>3.345000000000002</v>
      </c>
      <c r="S9" s="11">
        <v>3.623999999999997</v>
      </c>
      <c r="T9" s="11">
        <v>4.7140000000000013</v>
      </c>
      <c r="U9" s="11">
        <v>4.2590000000000021</v>
      </c>
      <c r="V9" s="11">
        <v>4.5730000000000022</v>
      </c>
      <c r="W9" s="11">
        <v>4.2109999999999914</v>
      </c>
      <c r="X9" s="11">
        <v>4.1359999999999948</v>
      </c>
      <c r="Y9" s="11">
        <v>4.1149999999999896</v>
      </c>
      <c r="Z9" s="11">
        <v>4.200999999999997</v>
      </c>
      <c r="AA9" s="11">
        <v>4.4059999999999997</v>
      </c>
      <c r="AB9" s="11">
        <v>4.5230000000000103</v>
      </c>
      <c r="AC9" s="11">
        <v>4.6119999999999983</v>
      </c>
      <c r="AD9" s="11">
        <v>4.6809999999999947</v>
      </c>
      <c r="AE9" s="11">
        <v>4.7389999999999972</v>
      </c>
      <c r="AF9" s="11">
        <v>4.7909999999999808</v>
      </c>
      <c r="AG9" s="11">
        <v>4.8379999999999983</v>
      </c>
      <c r="AH9" s="11">
        <v>4.883</v>
      </c>
      <c r="AI9" s="11">
        <v>4.9260000000000081</v>
      </c>
      <c r="AJ9" s="11">
        <v>4.968000000000016</v>
      </c>
      <c r="AK9" s="172">
        <v>5.0100000000000025</v>
      </c>
      <c r="AL9" s="11">
        <v>5.0509999999999904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  <c r="BQ9" s="11"/>
      <c r="BS9" s="11"/>
      <c r="BT9" s="11"/>
      <c r="BU9" s="11"/>
      <c r="BV9" s="11"/>
      <c r="BW9" s="11"/>
      <c r="BX9" s="11"/>
      <c r="BY9" s="11"/>
      <c r="BZ9" s="11"/>
      <c r="CA9" s="11"/>
      <c r="CB9" s="11"/>
      <c r="CC9" s="11"/>
      <c r="CD9" s="11"/>
      <c r="CE9" s="11"/>
      <c r="CF9" s="11"/>
      <c r="CG9" s="11"/>
      <c r="CH9" s="11"/>
      <c r="CI9" s="11"/>
      <c r="CJ9" s="11"/>
      <c r="CK9" s="11"/>
      <c r="CL9" s="11"/>
      <c r="CM9" s="11"/>
      <c r="CN9" s="11"/>
      <c r="CO9" s="11"/>
      <c r="CP9" s="11"/>
      <c r="CQ9" s="11"/>
      <c r="CR9" s="11"/>
    </row>
    <row r="10" spans="1:96" x14ac:dyDescent="0.2">
      <c r="L10" s="13"/>
      <c r="AK10" s="172"/>
      <c r="AP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/>
    </row>
    <row r="11" spans="1:96" x14ac:dyDescent="0.2">
      <c r="L11" s="1" t="str">
        <f>'Ind T4'!A13</f>
        <v>Manufacturing</v>
      </c>
      <c r="M11" s="11">
        <f t="shared" ref="M11:Q11" si="2">SUM(M12:M14)</f>
        <v>54.046000000000021</v>
      </c>
      <c r="N11" s="11">
        <f t="shared" si="2"/>
        <v>51.743000000000045</v>
      </c>
      <c r="O11" s="11">
        <f t="shared" si="2"/>
        <v>51.402999999999913</v>
      </c>
      <c r="P11" s="11">
        <f t="shared" si="2"/>
        <v>45.371999999999943</v>
      </c>
      <c r="Q11" s="11">
        <f t="shared" si="2"/>
        <v>47.716000000000008</v>
      </c>
      <c r="R11" s="11">
        <f t="shared" ref="R11" si="3">SUM(R12:R14)</f>
        <v>46.496000000000038</v>
      </c>
      <c r="S11" s="11">
        <f t="shared" ref="S11" si="4">SUM(S12:S14)</f>
        <v>48.153999999999996</v>
      </c>
      <c r="T11" s="11">
        <f t="shared" ref="T11" si="5">SUM(T12:T14)</f>
        <v>48.171999999999883</v>
      </c>
      <c r="U11" s="11">
        <f t="shared" ref="U11" si="6">SUM(U12:U14)</f>
        <v>48.47099999999989</v>
      </c>
      <c r="V11" s="11">
        <f t="shared" ref="V11" si="7">SUM(V12:V14)</f>
        <v>49.746000000000002</v>
      </c>
      <c r="W11" s="11">
        <f t="shared" ref="W11" si="8">SUM(W12:W14)</f>
        <v>49.208000000000013</v>
      </c>
      <c r="X11" s="11">
        <f t="shared" ref="X11" si="9">SUM(X12:X14)</f>
        <v>49.030000000000101</v>
      </c>
      <c r="Y11" s="11">
        <f t="shared" ref="Y11" si="10">SUM(Y12:Y14)</f>
        <v>48.467999999999975</v>
      </c>
      <c r="Z11" s="11">
        <f t="shared" ref="Z11" si="11">SUM(Z12:Z14)</f>
        <v>47.899000000000115</v>
      </c>
      <c r="AA11" s="11">
        <f t="shared" ref="AA11" si="12">SUM(AA12:AA14)</f>
        <v>47.489999999999988</v>
      </c>
      <c r="AB11" s="11">
        <f t="shared" ref="AB11" si="13">SUM(AB12:AB14)</f>
        <v>46.91599999999994</v>
      </c>
      <c r="AC11" s="11">
        <f t="shared" ref="AC11" si="14">SUM(AC12:AC14)</f>
        <v>46.353999999999942</v>
      </c>
      <c r="AD11" s="11">
        <f>SUM(AD12:AD14)</f>
        <v>45.798000000000002</v>
      </c>
      <c r="AE11" s="11">
        <f t="shared" ref="AE11" si="15">SUM(AE12:AE14)</f>
        <v>45.262999999999991</v>
      </c>
      <c r="AF11" s="11">
        <f t="shared" ref="AF11" si="16">SUM(AF12:AF14)</f>
        <v>44.752000000000066</v>
      </c>
      <c r="AG11" s="11">
        <f t="shared" ref="AG11:AL11" si="17">SUM(AG12:AG14)</f>
        <v>44.290999999999919</v>
      </c>
      <c r="AH11" s="11">
        <f t="shared" si="17"/>
        <v>43.818000000000033</v>
      </c>
      <c r="AI11" s="11">
        <f t="shared" si="17"/>
        <v>43.355000000000111</v>
      </c>
      <c r="AJ11" s="11">
        <f t="shared" si="17"/>
        <v>42.903000000000027</v>
      </c>
      <c r="AK11" s="11">
        <f t="shared" si="17"/>
        <v>42.460999999999927</v>
      </c>
      <c r="AL11" s="11">
        <f t="shared" si="17"/>
        <v>42.040000000000084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</row>
    <row r="12" spans="1:96" x14ac:dyDescent="0.2">
      <c r="L12" s="83" t="str">
        <f>'Ind T4'!A14</f>
        <v>Food drink and tobacco</v>
      </c>
      <c r="M12" s="11">
        <v>3.8020000000000018</v>
      </c>
      <c r="N12" s="11">
        <v>5.6259999999999994</v>
      </c>
      <c r="O12" s="11">
        <v>3.8430000000000017</v>
      </c>
      <c r="P12" s="11">
        <v>3.1680000000000126</v>
      </c>
      <c r="Q12" s="11">
        <v>3.7140000000000066</v>
      </c>
      <c r="R12" s="11">
        <v>3.6470000000000011</v>
      </c>
      <c r="S12" s="11">
        <v>3.3690000000000073</v>
      </c>
      <c r="T12" s="11">
        <v>4.1230000000000038</v>
      </c>
      <c r="U12" s="11">
        <v>3.6880000000000015</v>
      </c>
      <c r="V12" s="11">
        <v>4.4449999999999941</v>
      </c>
      <c r="W12" s="11">
        <v>4.4270000000000014</v>
      </c>
      <c r="X12" s="11">
        <v>4.5360000000000031</v>
      </c>
      <c r="Y12" s="11">
        <v>4.6609999999999978</v>
      </c>
      <c r="Z12" s="11">
        <v>4.7369999999999868</v>
      </c>
      <c r="AA12" s="11">
        <v>4.8050000000000042</v>
      </c>
      <c r="AB12" s="11">
        <v>4.8669999999999938</v>
      </c>
      <c r="AC12" s="11">
        <v>4.917999999999993</v>
      </c>
      <c r="AD12" s="11">
        <v>4.969000000000003</v>
      </c>
      <c r="AE12" s="11">
        <v>5.0209999999999972</v>
      </c>
      <c r="AF12" s="11">
        <v>5.0729999999999889</v>
      </c>
      <c r="AG12" s="11">
        <v>5.1279999999999868</v>
      </c>
      <c r="AH12" s="11">
        <v>5.1839999999999922</v>
      </c>
      <c r="AI12" s="11">
        <v>5.2389999999999866</v>
      </c>
      <c r="AJ12" s="11">
        <v>5.2929999999999922</v>
      </c>
      <c r="AK12" s="172">
        <v>5.3449999999999864</v>
      </c>
      <c r="AL12" s="11">
        <v>5.397000000000002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</row>
    <row r="13" spans="1:96" x14ac:dyDescent="0.2">
      <c r="L13" s="83" t="str">
        <f>'Ind T4'!A15</f>
        <v>Engineering</v>
      </c>
      <c r="M13" s="11">
        <v>17.431999999999992</v>
      </c>
      <c r="N13" s="11">
        <v>15.451999999999988</v>
      </c>
      <c r="O13" s="11">
        <v>13.577000000000021</v>
      </c>
      <c r="P13" s="11">
        <v>13.453999999999965</v>
      </c>
      <c r="Q13" s="11">
        <v>13.278999999999982</v>
      </c>
      <c r="R13" s="11">
        <v>11.546999999999993</v>
      </c>
      <c r="S13" s="11">
        <v>12.238000000000026</v>
      </c>
      <c r="T13" s="11">
        <v>11.672999999999998</v>
      </c>
      <c r="U13" s="11">
        <v>10.950000000000006</v>
      </c>
      <c r="V13" s="11">
        <v>12.817000000000007</v>
      </c>
      <c r="W13" s="11">
        <v>12.446</v>
      </c>
      <c r="X13" s="11">
        <v>12.588000000000015</v>
      </c>
      <c r="Y13" s="11">
        <v>12.39499999999996</v>
      </c>
      <c r="Z13" s="11">
        <v>12.319000000000013</v>
      </c>
      <c r="AA13" s="11">
        <v>12.187999999999978</v>
      </c>
      <c r="AB13" s="11">
        <v>12.002999999999998</v>
      </c>
      <c r="AC13" s="11">
        <v>11.741999999999996</v>
      </c>
      <c r="AD13" s="11">
        <v>11.486000000000008</v>
      </c>
      <c r="AE13" s="11">
        <v>11.23500000000001</v>
      </c>
      <c r="AF13" s="11">
        <v>10.99200000000002</v>
      </c>
      <c r="AG13" s="11">
        <v>10.762999999999966</v>
      </c>
      <c r="AH13" s="11">
        <v>10.535000000000025</v>
      </c>
      <c r="AI13" s="11">
        <v>10.311000000000014</v>
      </c>
      <c r="AJ13" s="11">
        <v>10.091000000000001</v>
      </c>
      <c r="AK13" s="172">
        <v>9.8749999999999982</v>
      </c>
      <c r="AL13" s="11">
        <v>9.664000000000021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</row>
    <row r="14" spans="1:96" x14ac:dyDescent="0.2">
      <c r="L14" s="83" t="str">
        <f>'Ind T4'!A16</f>
        <v>Rest of manufacturing</v>
      </c>
      <c r="M14" s="11">
        <v>32.812000000000026</v>
      </c>
      <c r="N14" s="11">
        <v>30.665000000000056</v>
      </c>
      <c r="O14" s="11">
        <v>33.98299999999989</v>
      </c>
      <c r="P14" s="11">
        <v>28.749999999999968</v>
      </c>
      <c r="Q14" s="11">
        <v>30.723000000000024</v>
      </c>
      <c r="R14" s="11">
        <v>31.302000000000042</v>
      </c>
      <c r="S14" s="11">
        <v>32.546999999999962</v>
      </c>
      <c r="T14" s="11">
        <v>32.375999999999884</v>
      </c>
      <c r="U14" s="11">
        <v>33.832999999999885</v>
      </c>
      <c r="V14" s="11">
        <v>32.484000000000002</v>
      </c>
      <c r="W14" s="11">
        <v>32.335000000000015</v>
      </c>
      <c r="X14" s="11">
        <v>31.906000000000081</v>
      </c>
      <c r="Y14" s="11">
        <v>31.412000000000013</v>
      </c>
      <c r="Z14" s="11">
        <v>30.843000000000117</v>
      </c>
      <c r="AA14" s="11">
        <v>30.497000000000007</v>
      </c>
      <c r="AB14" s="11">
        <v>30.045999999999946</v>
      </c>
      <c r="AC14" s="11">
        <v>29.693999999999953</v>
      </c>
      <c r="AD14" s="11">
        <v>29.342999999999989</v>
      </c>
      <c r="AE14" s="11">
        <v>29.00699999999998</v>
      </c>
      <c r="AF14" s="11">
        <v>28.687000000000062</v>
      </c>
      <c r="AG14" s="11">
        <v>28.399999999999967</v>
      </c>
      <c r="AH14" s="11">
        <v>28.099000000000018</v>
      </c>
      <c r="AI14" s="11">
        <v>27.80500000000011</v>
      </c>
      <c r="AJ14" s="11">
        <v>27.519000000000034</v>
      </c>
      <c r="AK14" s="172">
        <v>27.240999999999943</v>
      </c>
      <c r="AL14" s="11">
        <v>26.97900000000006</v>
      </c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/>
      <c r="CO14" s="11"/>
      <c r="CP14" s="11"/>
      <c r="CQ14" s="11"/>
      <c r="CR14" s="11"/>
    </row>
    <row r="15" spans="1:96" x14ac:dyDescent="0.2">
      <c r="L15" s="13"/>
      <c r="AK15" s="172"/>
      <c r="AP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</row>
    <row r="16" spans="1:96" x14ac:dyDescent="0.2">
      <c r="L16" s="1" t="str">
        <f>'Ind T4'!A18</f>
        <v>Construction</v>
      </c>
      <c r="M16" s="11">
        <v>61.794999999999916</v>
      </c>
      <c r="N16" s="11">
        <v>54.108000000000004</v>
      </c>
      <c r="O16" s="11">
        <v>53.94400000000018</v>
      </c>
      <c r="P16" s="11">
        <v>54.164000000000129</v>
      </c>
      <c r="Q16" s="11">
        <v>55.680999999999941</v>
      </c>
      <c r="R16" s="11">
        <v>54.764000000000159</v>
      </c>
      <c r="S16" s="11">
        <v>61.422999999999966</v>
      </c>
      <c r="T16" s="11">
        <v>67.383000000000067</v>
      </c>
      <c r="U16" s="11">
        <v>61.839999999999989</v>
      </c>
      <c r="V16" s="11">
        <v>60.325000000000038</v>
      </c>
      <c r="W16" s="11">
        <v>62.178999999999839</v>
      </c>
      <c r="X16" s="11">
        <v>61.492000000000026</v>
      </c>
      <c r="Y16" s="11">
        <v>62.38299999999991</v>
      </c>
      <c r="Z16" s="11">
        <v>64.423999999999936</v>
      </c>
      <c r="AA16" s="11">
        <v>65.992000000000061</v>
      </c>
      <c r="AB16" s="11">
        <v>66.668000000000376</v>
      </c>
      <c r="AC16" s="11">
        <v>67.268999999999878</v>
      </c>
      <c r="AD16" s="11">
        <v>67.710000000000065</v>
      </c>
      <c r="AE16" s="11">
        <v>68.236000000000089</v>
      </c>
      <c r="AF16" s="11">
        <v>68.725999999999871</v>
      </c>
      <c r="AG16" s="11">
        <v>69.306999999999931</v>
      </c>
      <c r="AH16" s="11">
        <v>69.905000000000044</v>
      </c>
      <c r="AI16" s="11">
        <v>70.522999999999954</v>
      </c>
      <c r="AJ16" s="11">
        <v>71.157000000000011</v>
      </c>
      <c r="AK16" s="172">
        <v>71.800999999999888</v>
      </c>
      <c r="AL16" s="11">
        <v>72.454999999999885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</row>
    <row r="17" spans="12:96" x14ac:dyDescent="0.2">
      <c r="L17" s="13"/>
      <c r="AK17" s="172"/>
      <c r="AP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</row>
    <row r="18" spans="12:96" x14ac:dyDescent="0.2">
      <c r="L18" s="1" t="str">
        <f>'Ind T4'!A20</f>
        <v>Trade, accomod. and transport</v>
      </c>
      <c r="M18" s="11">
        <f>SUM(M19:M21)</f>
        <v>196.35899999999964</v>
      </c>
      <c r="N18" s="11">
        <f t="shared" ref="N18:AL18" si="18">SUM(N19:N21)</f>
        <v>205.54600000000008</v>
      </c>
      <c r="O18" s="11">
        <f t="shared" si="18"/>
        <v>211.67400000000001</v>
      </c>
      <c r="P18" s="11">
        <f t="shared" si="18"/>
        <v>203.95099999999954</v>
      </c>
      <c r="Q18" s="11">
        <f t="shared" si="18"/>
        <v>210.63199999999998</v>
      </c>
      <c r="R18" s="11">
        <f t="shared" si="18"/>
        <v>214.28399999999982</v>
      </c>
      <c r="S18" s="11">
        <f t="shared" si="18"/>
        <v>224.55400000000006</v>
      </c>
      <c r="T18" s="11">
        <f t="shared" si="18"/>
        <v>214.10800000000035</v>
      </c>
      <c r="U18" s="11">
        <f t="shared" si="18"/>
        <v>220.82900000000001</v>
      </c>
      <c r="V18" s="11">
        <f t="shared" si="18"/>
        <v>227.62700000000007</v>
      </c>
      <c r="W18" s="11">
        <f t="shared" si="18"/>
        <v>223.49699999999999</v>
      </c>
      <c r="X18" s="11">
        <f t="shared" si="18"/>
        <v>222.50500000000022</v>
      </c>
      <c r="Y18" s="11">
        <f t="shared" si="18"/>
        <v>223.97299999999956</v>
      </c>
      <c r="Z18" s="11">
        <f t="shared" si="18"/>
        <v>225.86200000000008</v>
      </c>
      <c r="AA18" s="11">
        <f t="shared" si="18"/>
        <v>227.97500000000002</v>
      </c>
      <c r="AB18" s="11">
        <f t="shared" si="18"/>
        <v>229.71599999999995</v>
      </c>
      <c r="AC18" s="11">
        <f t="shared" si="18"/>
        <v>231.12500000000011</v>
      </c>
      <c r="AD18" s="11">
        <f t="shared" si="18"/>
        <v>232.38999999999953</v>
      </c>
      <c r="AE18" s="11">
        <f t="shared" si="18"/>
        <v>233.57399999999984</v>
      </c>
      <c r="AF18" s="11">
        <f t="shared" si="18"/>
        <v>234.7150000000002</v>
      </c>
      <c r="AG18" s="11">
        <f t="shared" si="18"/>
        <v>235.8790000000001</v>
      </c>
      <c r="AH18" s="11">
        <f t="shared" si="18"/>
        <v>237.01199999999966</v>
      </c>
      <c r="AI18" s="11">
        <f t="shared" si="18"/>
        <v>238.11</v>
      </c>
      <c r="AJ18" s="11">
        <f t="shared" si="18"/>
        <v>239.23500000000001</v>
      </c>
      <c r="AK18" s="11">
        <f t="shared" si="18"/>
        <v>240.32099999999991</v>
      </c>
      <c r="AL18" s="11">
        <f t="shared" si="18"/>
        <v>241.38099999999969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</row>
    <row r="19" spans="12:96" x14ac:dyDescent="0.2">
      <c r="L19" s="83" t="str">
        <f>'Ind T4'!A21</f>
        <v>Wholesale and retail trade</v>
      </c>
      <c r="M19" s="11">
        <v>125.04799999999959</v>
      </c>
      <c r="N19" s="11">
        <v>127.27900000000011</v>
      </c>
      <c r="O19" s="11">
        <v>127.81200000000001</v>
      </c>
      <c r="P19" s="11">
        <v>126.64499999999981</v>
      </c>
      <c r="Q19" s="11">
        <v>128.76999999999987</v>
      </c>
      <c r="R19" s="11">
        <v>127.53499999999985</v>
      </c>
      <c r="S19" s="11">
        <v>134.05100000000004</v>
      </c>
      <c r="T19" s="11">
        <v>129.01100000000039</v>
      </c>
      <c r="U19" s="11">
        <v>132.07600000000014</v>
      </c>
      <c r="V19" s="11">
        <v>134.59400000000011</v>
      </c>
      <c r="W19" s="11">
        <v>137.79900000000006</v>
      </c>
      <c r="X19" s="11">
        <v>138.32600000000014</v>
      </c>
      <c r="Y19" s="11">
        <v>138.49599999999955</v>
      </c>
      <c r="Z19" s="11">
        <v>138.62800000000007</v>
      </c>
      <c r="AA19" s="11">
        <v>138.93</v>
      </c>
      <c r="AB19" s="11">
        <v>139.28799999999998</v>
      </c>
      <c r="AC19" s="11">
        <v>139.51800000000014</v>
      </c>
      <c r="AD19" s="11">
        <v>139.70699999999962</v>
      </c>
      <c r="AE19" s="11">
        <v>139.87700000000001</v>
      </c>
      <c r="AF19" s="11">
        <v>140.04300000000015</v>
      </c>
      <c r="AG19" s="11">
        <v>140.24100000000007</v>
      </c>
      <c r="AH19" s="11">
        <v>140.44799999999969</v>
      </c>
      <c r="AI19" s="11">
        <v>140.65199999999996</v>
      </c>
      <c r="AJ19" s="11">
        <v>140.91499999999996</v>
      </c>
      <c r="AK19" s="172">
        <v>141.1719999999998</v>
      </c>
      <c r="AL19" s="11">
        <v>141.42999999999981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</row>
    <row r="20" spans="12:96" x14ac:dyDescent="0.2">
      <c r="L20" s="83" t="str">
        <f>'Ind T4'!A22</f>
        <v>Transport and storage</v>
      </c>
      <c r="M20" s="11">
        <v>27.09400000000003</v>
      </c>
      <c r="N20" s="11">
        <v>27.897000000000059</v>
      </c>
      <c r="O20" s="11">
        <v>28.642000000000063</v>
      </c>
      <c r="P20" s="11">
        <v>25.364999999999913</v>
      </c>
      <c r="Q20" s="11">
        <v>29.740999999999982</v>
      </c>
      <c r="R20" s="11">
        <v>30.096000000000046</v>
      </c>
      <c r="S20" s="11">
        <v>33.761999999999922</v>
      </c>
      <c r="T20" s="11">
        <v>31.127999999999968</v>
      </c>
      <c r="U20" s="11">
        <v>31.314999999999966</v>
      </c>
      <c r="V20" s="11">
        <v>31.988999999999841</v>
      </c>
      <c r="W20" s="11">
        <v>29.342999999999986</v>
      </c>
      <c r="X20" s="11">
        <v>30.575999999999993</v>
      </c>
      <c r="Y20" s="11">
        <v>30.545999999999932</v>
      </c>
      <c r="Z20" s="11">
        <v>30.620999999999974</v>
      </c>
      <c r="AA20" s="11">
        <v>30.762999999999977</v>
      </c>
      <c r="AB20" s="11">
        <v>30.84999999999993</v>
      </c>
      <c r="AC20" s="11">
        <v>30.901000000000003</v>
      </c>
      <c r="AD20" s="11">
        <v>30.948999999999909</v>
      </c>
      <c r="AE20" s="11">
        <v>30.992000000000022</v>
      </c>
      <c r="AF20" s="11">
        <v>31.037000000000045</v>
      </c>
      <c r="AG20" s="11">
        <v>31.088999999999977</v>
      </c>
      <c r="AH20" s="11">
        <v>31.133000000000013</v>
      </c>
      <c r="AI20" s="11">
        <v>31.176000000000055</v>
      </c>
      <c r="AJ20" s="11">
        <v>31.215999999999958</v>
      </c>
      <c r="AK20" s="172">
        <v>31.255000000000049</v>
      </c>
      <c r="AL20" s="11">
        <v>31.292999999999928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11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</row>
    <row r="21" spans="12:96" x14ac:dyDescent="0.2">
      <c r="L21" s="83" t="str">
        <f>'Ind T4'!A23</f>
        <v>Accommodation and food</v>
      </c>
      <c r="M21" s="11">
        <v>44.217000000000006</v>
      </c>
      <c r="N21" s="11">
        <v>50.369999999999912</v>
      </c>
      <c r="O21" s="11">
        <v>55.219999999999935</v>
      </c>
      <c r="P21" s="11">
        <v>51.940999999999811</v>
      </c>
      <c r="Q21" s="11">
        <v>52.121000000000123</v>
      </c>
      <c r="R21" s="11">
        <v>56.652999999999892</v>
      </c>
      <c r="S21" s="11">
        <v>56.741000000000099</v>
      </c>
      <c r="T21" s="11">
        <v>53.968999999999987</v>
      </c>
      <c r="U21" s="11">
        <v>57.437999999999889</v>
      </c>
      <c r="V21" s="11">
        <v>61.044000000000139</v>
      </c>
      <c r="W21" s="11">
        <v>56.35499999999994</v>
      </c>
      <c r="X21" s="11">
        <v>53.603000000000087</v>
      </c>
      <c r="Y21" s="11">
        <v>54.931000000000068</v>
      </c>
      <c r="Z21" s="11">
        <v>56.613000000000028</v>
      </c>
      <c r="AA21" s="11">
        <v>58.282000000000025</v>
      </c>
      <c r="AB21" s="11">
        <v>59.578000000000024</v>
      </c>
      <c r="AC21" s="11">
        <v>60.705999999999968</v>
      </c>
      <c r="AD21" s="11">
        <v>61.733999999999995</v>
      </c>
      <c r="AE21" s="11">
        <v>62.704999999999799</v>
      </c>
      <c r="AF21" s="11">
        <v>63.635000000000026</v>
      </c>
      <c r="AG21" s="11">
        <v>64.549000000000063</v>
      </c>
      <c r="AH21" s="11">
        <v>65.430999999999955</v>
      </c>
      <c r="AI21" s="11">
        <v>66.282000000000011</v>
      </c>
      <c r="AJ21" s="11">
        <v>67.104000000000113</v>
      </c>
      <c r="AK21" s="172">
        <v>67.894000000000048</v>
      </c>
      <c r="AL21" s="11">
        <v>68.657999999999973</v>
      </c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</row>
    <row r="22" spans="12:96" x14ac:dyDescent="0.2">
      <c r="L22" s="13"/>
      <c r="AK22" s="172"/>
      <c r="AP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  <c r="BQ22" s="11"/>
      <c r="BR22" s="11"/>
      <c r="BS22" s="11"/>
      <c r="BT22" s="11"/>
    </row>
    <row r="23" spans="12:96" x14ac:dyDescent="0.2">
      <c r="L23" s="1" t="str">
        <f>'Ind T4'!A25</f>
        <v>Business and other services</v>
      </c>
      <c r="M23" s="11">
        <f>SUM(M24:M31)</f>
        <v>287.18799999999953</v>
      </c>
      <c r="N23" s="11">
        <f t="shared" ref="N23:AL23" si="19">SUM(N24:N31)</f>
        <v>300.74600000000015</v>
      </c>
      <c r="O23" s="11">
        <f t="shared" si="19"/>
        <v>314.76199999999989</v>
      </c>
      <c r="P23" s="11">
        <f t="shared" si="19"/>
        <v>314.41399999999976</v>
      </c>
      <c r="Q23" s="11">
        <f t="shared" si="19"/>
        <v>323.2770000000001</v>
      </c>
      <c r="R23" s="11">
        <f t="shared" si="19"/>
        <v>333.41999999999996</v>
      </c>
      <c r="S23" s="11">
        <f t="shared" si="19"/>
        <v>334.32599999999974</v>
      </c>
      <c r="T23" s="11">
        <f t="shared" si="19"/>
        <v>307.3979999999998</v>
      </c>
      <c r="U23" s="11">
        <f t="shared" si="19"/>
        <v>318.9410000000002</v>
      </c>
      <c r="V23" s="11">
        <f t="shared" si="19"/>
        <v>328.33300000000008</v>
      </c>
      <c r="W23" s="11">
        <f t="shared" si="19"/>
        <v>317.27099999999996</v>
      </c>
      <c r="X23" s="11">
        <f t="shared" si="19"/>
        <v>320.96699999999998</v>
      </c>
      <c r="Y23" s="11">
        <f t="shared" si="19"/>
        <v>322.37199999999967</v>
      </c>
      <c r="Z23" s="11">
        <f t="shared" si="19"/>
        <v>324.65500000000014</v>
      </c>
      <c r="AA23" s="11">
        <f t="shared" si="19"/>
        <v>327.0779999999998</v>
      </c>
      <c r="AB23" s="11">
        <f t="shared" si="19"/>
        <v>328.89399999999972</v>
      </c>
      <c r="AC23" s="11">
        <f t="shared" si="19"/>
        <v>330.82700000000006</v>
      </c>
      <c r="AD23" s="11">
        <f t="shared" si="19"/>
        <v>332.67899999999992</v>
      </c>
      <c r="AE23" s="11">
        <f t="shared" si="19"/>
        <v>334.54000000000008</v>
      </c>
      <c r="AF23" s="11">
        <f t="shared" si="19"/>
        <v>336.42299999999994</v>
      </c>
      <c r="AG23" s="11">
        <f t="shared" si="19"/>
        <v>338.42299999999977</v>
      </c>
      <c r="AH23" s="11">
        <f t="shared" si="19"/>
        <v>340.39400000000012</v>
      </c>
      <c r="AI23" s="11">
        <f t="shared" si="19"/>
        <v>342.37600000000043</v>
      </c>
      <c r="AJ23" s="11">
        <f t="shared" si="19"/>
        <v>344.34299999999979</v>
      </c>
      <c r="AK23" s="11">
        <f t="shared" si="19"/>
        <v>346.29500000000007</v>
      </c>
      <c r="AL23" s="11">
        <f t="shared" si="19"/>
        <v>348.23600000000027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  <c r="BQ23" s="11"/>
      <c r="BR23" s="11"/>
      <c r="BS23" s="11"/>
      <c r="BT23" s="11"/>
    </row>
    <row r="24" spans="12:96" x14ac:dyDescent="0.2">
      <c r="L24" s="83" t="str">
        <f>'Ind T4'!A26</f>
        <v>Media</v>
      </c>
      <c r="M24" s="11">
        <v>5.105999999999991</v>
      </c>
      <c r="N24" s="11">
        <v>5.6730000000000116</v>
      </c>
      <c r="O24" s="11">
        <v>8.6609999999999943</v>
      </c>
      <c r="P24" s="11">
        <v>6.6579999999999924</v>
      </c>
      <c r="Q24" s="11">
        <v>6.4080000000000066</v>
      </c>
      <c r="R24" s="11">
        <v>8.0879999999999921</v>
      </c>
      <c r="S24" s="11">
        <v>5.6869999999999967</v>
      </c>
      <c r="T24" s="11">
        <v>6.0869999999999846</v>
      </c>
      <c r="U24" s="11">
        <v>6.4520000000000035</v>
      </c>
      <c r="V24" s="11">
        <v>5.2880000000000056</v>
      </c>
      <c r="W24" s="11">
        <v>5.8570000000000055</v>
      </c>
      <c r="X24" s="11">
        <v>5.7590000000000039</v>
      </c>
      <c r="Y24" s="11">
        <v>5.7239999999999949</v>
      </c>
      <c r="Z24" s="11">
        <v>5.6839999999999931</v>
      </c>
      <c r="AA24" s="11">
        <v>5.6549999999999958</v>
      </c>
      <c r="AB24" s="11">
        <v>5.6490000000000027</v>
      </c>
      <c r="AC24" s="11">
        <v>5.63700000000002</v>
      </c>
      <c r="AD24" s="11">
        <v>5.6239999999999917</v>
      </c>
      <c r="AE24" s="11">
        <v>5.6120000000000001</v>
      </c>
      <c r="AF24" s="11">
        <v>5.5989999999999984</v>
      </c>
      <c r="AG24" s="11">
        <v>5.5859999999999967</v>
      </c>
      <c r="AH24" s="11">
        <v>5.571999999999993</v>
      </c>
      <c r="AI24" s="11">
        <v>5.5589999999999931</v>
      </c>
      <c r="AJ24" s="11">
        <v>5.5450000000000026</v>
      </c>
      <c r="AK24" s="172">
        <v>5.5320000000000054</v>
      </c>
      <c r="AL24" s="11">
        <v>5.5190000000000046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</row>
    <row r="25" spans="12:96" x14ac:dyDescent="0.2">
      <c r="L25" s="83" t="str">
        <f>'Ind T4'!A27</f>
        <v>Information technology</v>
      </c>
      <c r="M25" s="11">
        <v>46.171999999999876</v>
      </c>
      <c r="N25" s="11">
        <v>50.058999999999997</v>
      </c>
      <c r="O25" s="11">
        <v>44.913999999999945</v>
      </c>
      <c r="P25" s="11">
        <v>53.207999999999998</v>
      </c>
      <c r="Q25" s="11">
        <v>49.907000000000011</v>
      </c>
      <c r="R25" s="11">
        <v>56.414999999999921</v>
      </c>
      <c r="S25" s="11">
        <v>58.134000000000007</v>
      </c>
      <c r="T25" s="11">
        <v>50.957000000000029</v>
      </c>
      <c r="U25" s="11">
        <v>51.798000000000194</v>
      </c>
      <c r="V25" s="11">
        <v>55.774999999999906</v>
      </c>
      <c r="W25" s="11">
        <v>56.659000000000013</v>
      </c>
      <c r="X25" s="11">
        <v>57.980000000000011</v>
      </c>
      <c r="Y25" s="11">
        <v>58.47999999999989</v>
      </c>
      <c r="Z25" s="11">
        <v>59.48299999999999</v>
      </c>
      <c r="AA25" s="11">
        <v>60.266999999999946</v>
      </c>
      <c r="AB25" s="11">
        <v>60.912999999999911</v>
      </c>
      <c r="AC25" s="11">
        <v>61.51700000000006</v>
      </c>
      <c r="AD25" s="11">
        <v>62.044999999999852</v>
      </c>
      <c r="AE25" s="11">
        <v>62.547000000000047</v>
      </c>
      <c r="AF25" s="11">
        <v>63.045000000000044</v>
      </c>
      <c r="AG25" s="11">
        <v>63.568999999999932</v>
      </c>
      <c r="AH25" s="11">
        <v>64.081000000000031</v>
      </c>
      <c r="AI25" s="11">
        <v>64.583000000000112</v>
      </c>
      <c r="AJ25" s="11">
        <v>65.064999999999984</v>
      </c>
      <c r="AK25" s="172">
        <v>65.522000000000077</v>
      </c>
      <c r="AL25" s="11">
        <v>65.957000000000022</v>
      </c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  <c r="BQ25" s="11"/>
      <c r="BR25" s="11"/>
      <c r="BS25" s="11"/>
      <c r="BT25" s="11"/>
    </row>
    <row r="26" spans="12:96" x14ac:dyDescent="0.2">
      <c r="L26" s="83" t="str">
        <f>'Ind T4'!A28</f>
        <v>Finance and insurance</v>
      </c>
      <c r="M26" s="11">
        <v>25.41200000000001</v>
      </c>
      <c r="N26" s="11">
        <v>22.947999999999961</v>
      </c>
      <c r="O26" s="11">
        <v>22.828999999999976</v>
      </c>
      <c r="P26" s="11">
        <v>24.985999999999947</v>
      </c>
      <c r="Q26" s="11">
        <v>23.737999999999992</v>
      </c>
      <c r="R26" s="11">
        <v>23.736999999999977</v>
      </c>
      <c r="S26" s="11">
        <v>22.535000000000014</v>
      </c>
      <c r="T26" s="11">
        <v>21.128999999999994</v>
      </c>
      <c r="U26" s="11">
        <v>22.863999999999994</v>
      </c>
      <c r="V26" s="11">
        <v>23.366999999999976</v>
      </c>
      <c r="W26" s="11">
        <v>23.575000000000031</v>
      </c>
      <c r="X26" s="11">
        <v>23.864999999999974</v>
      </c>
      <c r="Y26" s="11">
        <v>23.691000000000003</v>
      </c>
      <c r="Z26" s="11">
        <v>23.481000000000023</v>
      </c>
      <c r="AA26" s="11">
        <v>23.247999999999998</v>
      </c>
      <c r="AB26" s="11">
        <v>23.076000000000001</v>
      </c>
      <c r="AC26" s="11">
        <v>22.926999999999975</v>
      </c>
      <c r="AD26" s="11">
        <v>22.77600000000001</v>
      </c>
      <c r="AE26" s="11">
        <v>22.625000000000043</v>
      </c>
      <c r="AF26" s="11">
        <v>22.472999999999956</v>
      </c>
      <c r="AG26" s="11">
        <v>22.322999999999954</v>
      </c>
      <c r="AH26" s="11">
        <v>22.163000000000082</v>
      </c>
      <c r="AI26" s="11">
        <v>22.002999999999989</v>
      </c>
      <c r="AJ26" s="11">
        <v>21.844000000000015</v>
      </c>
      <c r="AK26" s="172">
        <v>21.686000000000021</v>
      </c>
      <c r="AL26" s="11">
        <v>21.528000000000002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11"/>
    </row>
    <row r="27" spans="12:96" x14ac:dyDescent="0.2">
      <c r="L27" s="83" t="str">
        <f>'Ind T4'!A29</f>
        <v>Real estate</v>
      </c>
      <c r="M27" s="11">
        <v>12.818000000000033</v>
      </c>
      <c r="N27" s="11">
        <v>12.642000000000026</v>
      </c>
      <c r="O27" s="11">
        <v>14.017000000000003</v>
      </c>
      <c r="P27" s="11">
        <v>13.335999999999999</v>
      </c>
      <c r="Q27" s="11">
        <v>13.687000000000038</v>
      </c>
      <c r="R27" s="11">
        <v>15.012000000000006</v>
      </c>
      <c r="S27" s="11">
        <v>15.842999999999966</v>
      </c>
      <c r="T27" s="11">
        <v>13.253999999999968</v>
      </c>
      <c r="U27" s="11">
        <v>11.216999999999981</v>
      </c>
      <c r="V27" s="11">
        <v>12.711000000000009</v>
      </c>
      <c r="W27" s="11">
        <v>15.229999999999997</v>
      </c>
      <c r="X27" s="11">
        <v>15.142999999999985</v>
      </c>
      <c r="Y27" s="11">
        <v>15.032000000000011</v>
      </c>
      <c r="Z27" s="11">
        <v>15.014999999999985</v>
      </c>
      <c r="AA27" s="11">
        <v>15.110999999999981</v>
      </c>
      <c r="AB27" s="11">
        <v>15.21399999999999</v>
      </c>
      <c r="AC27" s="11">
        <v>15.356000000000005</v>
      </c>
      <c r="AD27" s="11">
        <v>15.519000000000021</v>
      </c>
      <c r="AE27" s="11">
        <v>15.69200000000002</v>
      </c>
      <c r="AF27" s="11">
        <v>15.869999999999987</v>
      </c>
      <c r="AG27" s="11">
        <v>16.050000000000008</v>
      </c>
      <c r="AH27" s="11">
        <v>16.231999999999978</v>
      </c>
      <c r="AI27" s="11">
        <v>16.415000000000006</v>
      </c>
      <c r="AJ27" s="11">
        <v>16.596</v>
      </c>
      <c r="AK27" s="172">
        <v>16.775999999999971</v>
      </c>
      <c r="AL27" s="11">
        <v>16.954000000000004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</row>
    <row r="28" spans="12:96" x14ac:dyDescent="0.2">
      <c r="L28" s="83" t="str">
        <f>'Ind T4'!A30</f>
        <v>Professional services</v>
      </c>
      <c r="M28" s="11">
        <v>84.993999999999588</v>
      </c>
      <c r="N28" s="11">
        <v>83.761999999999986</v>
      </c>
      <c r="O28" s="11">
        <v>89.817999999999969</v>
      </c>
      <c r="P28" s="11">
        <v>90.785999999999873</v>
      </c>
      <c r="Q28" s="11">
        <v>95.918999999999983</v>
      </c>
      <c r="R28" s="11">
        <v>95.521000000000072</v>
      </c>
      <c r="S28" s="11">
        <v>101.06199999999986</v>
      </c>
      <c r="T28" s="11">
        <v>86.414999999999949</v>
      </c>
      <c r="U28" s="11">
        <v>96.19999999999996</v>
      </c>
      <c r="V28" s="11">
        <v>100.13499999999985</v>
      </c>
      <c r="W28" s="11">
        <v>93.151999999999987</v>
      </c>
      <c r="X28" s="11">
        <v>94.763999999999925</v>
      </c>
      <c r="Y28" s="11">
        <v>95.336999999999875</v>
      </c>
      <c r="Z28" s="11">
        <v>96.096000000000174</v>
      </c>
      <c r="AA28" s="11">
        <v>96.879999999999853</v>
      </c>
      <c r="AB28" s="11">
        <v>97.504999999999754</v>
      </c>
      <c r="AC28" s="11">
        <v>98.077999999999903</v>
      </c>
      <c r="AD28" s="11">
        <v>98.676999999999992</v>
      </c>
      <c r="AE28" s="11">
        <v>99.29800000000003</v>
      </c>
      <c r="AF28" s="11">
        <v>99.944000000000116</v>
      </c>
      <c r="AG28" s="11">
        <v>100.62699999999998</v>
      </c>
      <c r="AH28" s="11">
        <v>101.29200000000012</v>
      </c>
      <c r="AI28" s="11">
        <v>101.96000000000008</v>
      </c>
      <c r="AJ28" s="11">
        <v>102.62699999999995</v>
      </c>
      <c r="AK28" s="172">
        <v>103.29300000000011</v>
      </c>
      <c r="AL28" s="11">
        <v>103.96000000000025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</row>
    <row r="29" spans="12:96" x14ac:dyDescent="0.2">
      <c r="L29" s="83" t="str">
        <f>'Ind T4'!A31</f>
        <v>Support services</v>
      </c>
      <c r="M29" s="11">
        <v>63.959999999999972</v>
      </c>
      <c r="N29" s="11">
        <v>69.534000000000134</v>
      </c>
      <c r="O29" s="11">
        <v>79.917000000000073</v>
      </c>
      <c r="P29" s="11">
        <v>70.480999999999995</v>
      </c>
      <c r="Q29" s="11">
        <v>77.415000000000006</v>
      </c>
      <c r="R29" s="11">
        <v>70.014999999999958</v>
      </c>
      <c r="S29" s="11">
        <v>75.472999999999857</v>
      </c>
      <c r="T29" s="11">
        <v>71.682999999999936</v>
      </c>
      <c r="U29" s="11">
        <v>72.317000000000093</v>
      </c>
      <c r="V29" s="11">
        <v>71.672000000000267</v>
      </c>
      <c r="W29" s="11">
        <v>65.049999999999855</v>
      </c>
      <c r="X29" s="11">
        <v>65.66400000000003</v>
      </c>
      <c r="Y29" s="11">
        <v>66.532999999999916</v>
      </c>
      <c r="Z29" s="11">
        <v>66.836999999999989</v>
      </c>
      <c r="AA29" s="11">
        <v>67.370999999999938</v>
      </c>
      <c r="AB29" s="11">
        <v>67.835000000000065</v>
      </c>
      <c r="AC29" s="11">
        <v>68.338000000000051</v>
      </c>
      <c r="AD29" s="11">
        <v>68.83799999999998</v>
      </c>
      <c r="AE29" s="11">
        <v>69.334999999999951</v>
      </c>
      <c r="AF29" s="11">
        <v>69.832999999999942</v>
      </c>
      <c r="AG29" s="11">
        <v>70.341999999999942</v>
      </c>
      <c r="AH29" s="11">
        <v>70.840999999999994</v>
      </c>
      <c r="AI29" s="11">
        <v>71.34100000000015</v>
      </c>
      <c r="AJ29" s="11">
        <v>71.842999999999762</v>
      </c>
      <c r="AK29" s="172">
        <v>72.345999999999933</v>
      </c>
      <c r="AL29" s="11">
        <v>72.852000000000018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</row>
    <row r="30" spans="12:96" x14ac:dyDescent="0.2">
      <c r="L30" s="83" t="str">
        <f>'Ind T4'!A32</f>
        <v>Arts and entertainment</v>
      </c>
      <c r="M30" s="11">
        <v>22.220999999999989</v>
      </c>
      <c r="N30" s="11">
        <v>28.772000000000013</v>
      </c>
      <c r="O30" s="11">
        <v>26.924999999999979</v>
      </c>
      <c r="P30" s="11">
        <v>25.920999999999953</v>
      </c>
      <c r="Q30" s="11">
        <v>27.897000000000016</v>
      </c>
      <c r="R30" s="11">
        <v>31.62300000000009</v>
      </c>
      <c r="S30" s="11">
        <v>26.986000000000097</v>
      </c>
      <c r="T30" s="11">
        <v>30.129999999999946</v>
      </c>
      <c r="U30" s="11">
        <v>28.801000000000009</v>
      </c>
      <c r="V30" s="11">
        <v>26.668999999999969</v>
      </c>
      <c r="W30" s="11">
        <v>26.262000000000008</v>
      </c>
      <c r="X30" s="11">
        <v>27.189999999999998</v>
      </c>
      <c r="Y30" s="11">
        <v>27.524000000000012</v>
      </c>
      <c r="Z30" s="11">
        <v>28.03899999999993</v>
      </c>
      <c r="AA30" s="11">
        <v>28.520000000000021</v>
      </c>
      <c r="AB30" s="11">
        <v>28.734999999999982</v>
      </c>
      <c r="AC30" s="11">
        <v>29.079000000000015</v>
      </c>
      <c r="AD30" s="11">
        <v>29.373000000000097</v>
      </c>
      <c r="AE30" s="11">
        <v>29.662999999999947</v>
      </c>
      <c r="AF30" s="11">
        <v>29.938999999999972</v>
      </c>
      <c r="AG30" s="11">
        <v>30.237999999999964</v>
      </c>
      <c r="AH30" s="11">
        <v>30.546999999999993</v>
      </c>
      <c r="AI30" s="11">
        <v>30.864000000000022</v>
      </c>
      <c r="AJ30" s="11">
        <v>31.183000000000035</v>
      </c>
      <c r="AK30" s="172">
        <v>31.503999999999987</v>
      </c>
      <c r="AL30" s="11">
        <v>31.827999999999964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</row>
    <row r="31" spans="12:96" x14ac:dyDescent="0.2">
      <c r="L31" s="83" t="str">
        <f>'Ind T4'!A33</f>
        <v>Other services</v>
      </c>
      <c r="M31" s="11">
        <v>26.505000000000027</v>
      </c>
      <c r="N31" s="11">
        <v>27.356000000000041</v>
      </c>
      <c r="O31" s="11">
        <v>27.680999999999973</v>
      </c>
      <c r="P31" s="11">
        <v>29.038000000000018</v>
      </c>
      <c r="Q31" s="11">
        <v>28.306000000000022</v>
      </c>
      <c r="R31" s="11">
        <v>33.008999999999943</v>
      </c>
      <c r="S31" s="11">
        <v>28.605999999999916</v>
      </c>
      <c r="T31" s="11">
        <v>27.742999999999984</v>
      </c>
      <c r="U31" s="11">
        <v>29.292000000000009</v>
      </c>
      <c r="V31" s="11">
        <v>32.716000000000093</v>
      </c>
      <c r="W31" s="11">
        <v>31.486000000000036</v>
      </c>
      <c r="X31" s="11">
        <v>30.602000000000025</v>
      </c>
      <c r="Y31" s="11">
        <v>30.050999999999966</v>
      </c>
      <c r="Z31" s="11">
        <v>30.020000000000021</v>
      </c>
      <c r="AA31" s="11">
        <v>30.026000000000042</v>
      </c>
      <c r="AB31" s="11">
        <v>29.967000000000031</v>
      </c>
      <c r="AC31" s="11">
        <v>29.895000000000007</v>
      </c>
      <c r="AD31" s="11">
        <v>29.827000000000023</v>
      </c>
      <c r="AE31" s="11">
        <v>29.768000000000058</v>
      </c>
      <c r="AF31" s="11">
        <v>29.719999999999946</v>
      </c>
      <c r="AG31" s="11">
        <v>29.688000000000017</v>
      </c>
      <c r="AH31" s="11">
        <v>29.665999999999954</v>
      </c>
      <c r="AI31" s="11">
        <v>29.65100000000005</v>
      </c>
      <c r="AJ31" s="11">
        <v>29.640000000000004</v>
      </c>
      <c r="AK31" s="172">
        <v>29.635999999999989</v>
      </c>
      <c r="AL31" s="11">
        <v>29.637999999999955</v>
      </c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</row>
    <row r="32" spans="12:96" x14ac:dyDescent="0.2">
      <c r="L32" s="13"/>
      <c r="AK32" s="172"/>
      <c r="AP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  <c r="BS32" s="11"/>
      <c r="BT32" s="11"/>
    </row>
    <row r="33" spans="1:72" x14ac:dyDescent="0.2">
      <c r="L33" s="1" t="str">
        <f>'Ind T4'!A35</f>
        <v>Non-marketed services</v>
      </c>
      <c r="M33" s="11">
        <f>SUM(M34:M36)</f>
        <v>189.17500000000024</v>
      </c>
      <c r="N33" s="11">
        <f t="shared" ref="N33:AK33" si="20">SUM(N34:N36)</f>
        <v>188.15100000000001</v>
      </c>
      <c r="O33" s="11">
        <f t="shared" si="20"/>
        <v>186.25600000000009</v>
      </c>
      <c r="P33" s="11">
        <f t="shared" si="20"/>
        <v>188.21800000000002</v>
      </c>
      <c r="Q33" s="11">
        <f t="shared" si="20"/>
        <v>187.26899999999975</v>
      </c>
      <c r="R33" s="11">
        <f t="shared" si="20"/>
        <v>200.03500000000005</v>
      </c>
      <c r="S33" s="11">
        <f t="shared" si="20"/>
        <v>197.61999999999995</v>
      </c>
      <c r="T33" s="11">
        <f t="shared" si="20"/>
        <v>198.44699999999995</v>
      </c>
      <c r="U33" s="11">
        <f t="shared" si="20"/>
        <v>198.09800000000013</v>
      </c>
      <c r="V33" s="11">
        <f t="shared" si="20"/>
        <v>200.666</v>
      </c>
      <c r="W33" s="11">
        <f t="shared" si="20"/>
        <v>198.11600000000001</v>
      </c>
      <c r="X33" s="11">
        <f t="shared" si="20"/>
        <v>199.29499999999979</v>
      </c>
      <c r="Y33" s="11">
        <f t="shared" si="20"/>
        <v>200.29500000000007</v>
      </c>
      <c r="Z33" s="11">
        <f t="shared" si="20"/>
        <v>201.11400000000003</v>
      </c>
      <c r="AA33" s="11">
        <f t="shared" si="20"/>
        <v>202.30700000000002</v>
      </c>
      <c r="AB33" s="11">
        <f t="shared" si="20"/>
        <v>203.05900000000003</v>
      </c>
      <c r="AC33" s="11">
        <f t="shared" si="20"/>
        <v>203.45200000000006</v>
      </c>
      <c r="AD33" s="11">
        <f t="shared" si="20"/>
        <v>203.76199999999983</v>
      </c>
      <c r="AE33" s="11">
        <f t="shared" si="20"/>
        <v>204.04100000000008</v>
      </c>
      <c r="AF33" s="11">
        <f t="shared" si="20"/>
        <v>204.32</v>
      </c>
      <c r="AG33" s="11">
        <f t="shared" si="20"/>
        <v>204.63000000000011</v>
      </c>
      <c r="AH33" s="11">
        <f t="shared" si="20"/>
        <v>204.90899999999993</v>
      </c>
      <c r="AI33" s="11">
        <f t="shared" si="20"/>
        <v>205.16600000000011</v>
      </c>
      <c r="AJ33" s="11">
        <f t="shared" si="20"/>
        <v>205.42600000000002</v>
      </c>
      <c r="AK33" s="11">
        <f t="shared" si="20"/>
        <v>205.68999999999991</v>
      </c>
      <c r="AL33" s="11">
        <f>SUM(AL34:AL36)</f>
        <v>205.95899999999992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  <c r="BS33" s="11"/>
      <c r="BT33" s="11"/>
    </row>
    <row r="34" spans="1:72" x14ac:dyDescent="0.2">
      <c r="L34" s="83" t="str">
        <f>'Ind T4'!A36</f>
        <v>Public admin. and defence</v>
      </c>
      <c r="M34" s="11">
        <v>30.800000000000029</v>
      </c>
      <c r="N34" s="11">
        <v>29.344000000000051</v>
      </c>
      <c r="O34" s="11">
        <v>27.908999999999995</v>
      </c>
      <c r="P34" s="11">
        <v>27.610999999999994</v>
      </c>
      <c r="Q34" s="11">
        <v>28.873000000000033</v>
      </c>
      <c r="R34" s="11">
        <v>27.583999999999975</v>
      </c>
      <c r="S34" s="11">
        <v>26.860000000000014</v>
      </c>
      <c r="T34" s="11">
        <v>26.259999999999998</v>
      </c>
      <c r="U34" s="11">
        <v>26.277000000000044</v>
      </c>
      <c r="V34" s="11">
        <v>25.923000000000066</v>
      </c>
      <c r="W34" s="11">
        <v>26.430999999999951</v>
      </c>
      <c r="X34" s="11">
        <v>26.740000000000023</v>
      </c>
      <c r="Y34" s="11">
        <v>27.096999999999987</v>
      </c>
      <c r="Z34" s="11">
        <v>27.208000000000066</v>
      </c>
      <c r="AA34" s="11">
        <v>27.38799999999998</v>
      </c>
      <c r="AB34" s="11">
        <v>27.373999999999942</v>
      </c>
      <c r="AC34" s="11">
        <v>27.344999999999953</v>
      </c>
      <c r="AD34" s="11">
        <v>27.314999999999941</v>
      </c>
      <c r="AE34" s="11">
        <v>27.285000000000064</v>
      </c>
      <c r="AF34" s="11">
        <v>27.25399999999993</v>
      </c>
      <c r="AG34" s="11">
        <v>27.222000000000072</v>
      </c>
      <c r="AH34" s="11">
        <v>27.176000000000027</v>
      </c>
      <c r="AI34" s="11">
        <v>27.129000000000005</v>
      </c>
      <c r="AJ34" s="11">
        <v>27.083000000000013</v>
      </c>
      <c r="AK34" s="172">
        <v>27.036999999999971</v>
      </c>
      <c r="AL34" s="11">
        <v>26.992999999999988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  <c r="BP34" s="11"/>
      <c r="BQ34" s="11"/>
      <c r="BR34" s="11"/>
      <c r="BS34" s="11"/>
      <c r="BT34" s="11"/>
    </row>
    <row r="35" spans="1:72" x14ac:dyDescent="0.2">
      <c r="L35" s="83" t="str">
        <f>'Ind T4'!A37</f>
        <v>Education</v>
      </c>
      <c r="M35" s="11">
        <v>67.421000000000149</v>
      </c>
      <c r="N35" s="11">
        <v>68.357999999999819</v>
      </c>
      <c r="O35" s="11">
        <v>70.515999999999963</v>
      </c>
      <c r="P35" s="11">
        <v>70.10799999999999</v>
      </c>
      <c r="Q35" s="11">
        <v>71.762999999999977</v>
      </c>
      <c r="R35" s="11">
        <v>80.112000000000052</v>
      </c>
      <c r="S35" s="11">
        <v>77.344999999999914</v>
      </c>
      <c r="T35" s="11">
        <v>77.150000000000034</v>
      </c>
      <c r="U35" s="11">
        <v>77.180000000000092</v>
      </c>
      <c r="V35" s="11">
        <v>77.031999999999826</v>
      </c>
      <c r="W35" s="11">
        <v>75.115999999999929</v>
      </c>
      <c r="X35" s="11">
        <v>74.761999999999915</v>
      </c>
      <c r="Y35" s="11">
        <v>74.479000000000084</v>
      </c>
      <c r="Z35" s="11">
        <v>74.516000000000076</v>
      </c>
      <c r="AA35" s="11">
        <v>74.65399999999984</v>
      </c>
      <c r="AB35" s="11">
        <v>74.879000000000048</v>
      </c>
      <c r="AC35" s="11">
        <v>75.004000000000019</v>
      </c>
      <c r="AD35" s="11">
        <v>75.131000000000014</v>
      </c>
      <c r="AE35" s="11">
        <v>75.263000000000048</v>
      </c>
      <c r="AF35" s="11">
        <v>75.40999999999994</v>
      </c>
      <c r="AG35" s="11">
        <v>75.607000000000099</v>
      </c>
      <c r="AH35" s="11">
        <v>75.802999999999827</v>
      </c>
      <c r="AI35" s="11">
        <v>75.993000000000066</v>
      </c>
      <c r="AJ35" s="11">
        <v>76.185000000000144</v>
      </c>
      <c r="AK35" s="172">
        <v>76.376999999999995</v>
      </c>
      <c r="AL35" s="11">
        <v>76.568999999999875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  <c r="BP35" s="11"/>
      <c r="BQ35" s="11"/>
      <c r="BR35" s="11"/>
      <c r="BS35" s="11"/>
      <c r="BT35" s="11"/>
    </row>
    <row r="36" spans="1:72" x14ac:dyDescent="0.2">
      <c r="L36" s="83" t="str">
        <f>'Ind T4'!A38</f>
        <v>Health and social work</v>
      </c>
      <c r="M36" s="11">
        <v>90.954000000000065</v>
      </c>
      <c r="N36" s="11">
        <v>90.449000000000154</v>
      </c>
      <c r="O36" s="11">
        <v>87.831000000000117</v>
      </c>
      <c r="P36" s="11">
        <v>90.499000000000038</v>
      </c>
      <c r="Q36" s="11">
        <v>86.63299999999974</v>
      </c>
      <c r="R36" s="11">
        <v>92.339000000000027</v>
      </c>
      <c r="S36" s="11">
        <v>93.415000000000006</v>
      </c>
      <c r="T36" s="11">
        <v>95.036999999999935</v>
      </c>
      <c r="U36" s="11">
        <v>94.640999999999977</v>
      </c>
      <c r="V36" s="11">
        <v>97.711000000000098</v>
      </c>
      <c r="W36" s="11">
        <v>96.569000000000131</v>
      </c>
      <c r="X36" s="11">
        <v>97.792999999999836</v>
      </c>
      <c r="Y36" s="11">
        <v>98.719000000000008</v>
      </c>
      <c r="Z36" s="11">
        <v>99.389999999999887</v>
      </c>
      <c r="AA36" s="11">
        <v>100.2650000000002</v>
      </c>
      <c r="AB36" s="11">
        <v>100.80600000000005</v>
      </c>
      <c r="AC36" s="11">
        <v>101.10300000000008</v>
      </c>
      <c r="AD36" s="11">
        <v>101.31599999999987</v>
      </c>
      <c r="AE36" s="11">
        <v>101.49299999999997</v>
      </c>
      <c r="AF36" s="11">
        <v>101.65600000000011</v>
      </c>
      <c r="AG36" s="11">
        <v>101.80099999999992</v>
      </c>
      <c r="AH36" s="11">
        <v>101.93000000000009</v>
      </c>
      <c r="AI36" s="11">
        <v>102.04400000000004</v>
      </c>
      <c r="AJ36" s="11">
        <v>102.15799999999986</v>
      </c>
      <c r="AK36" s="172">
        <v>102.27599999999995</v>
      </c>
      <c r="AL36" s="11">
        <v>102.39700000000005</v>
      </c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  <c r="BN36" s="11"/>
      <c r="BO36" s="11"/>
      <c r="BP36" s="11"/>
      <c r="BQ36" s="11"/>
      <c r="BR36" s="11"/>
      <c r="BS36" s="11"/>
      <c r="BT36" s="11"/>
    </row>
    <row r="37" spans="1:72" x14ac:dyDescent="0.2">
      <c r="L37" s="45"/>
      <c r="AH37" s="11"/>
      <c r="AI37" s="11"/>
      <c r="AJ37" s="11"/>
      <c r="AK37" s="172"/>
      <c r="AL37" s="11"/>
      <c r="AM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1"/>
      <c r="BO37" s="11"/>
      <c r="BP37" s="11"/>
      <c r="BQ37" s="11"/>
      <c r="BR37" s="11"/>
      <c r="BS37" s="11"/>
      <c r="BT37" s="11"/>
    </row>
    <row r="38" spans="1:72" x14ac:dyDescent="0.2">
      <c r="L38" s="1" t="str">
        <f>'Ind T4'!A40</f>
        <v>All industries</v>
      </c>
      <c r="M38" s="11">
        <f>SUM(M5,M11,M16,M18,M23,M33)</f>
        <v>801.79799999999932</v>
      </c>
      <c r="N38" s="11">
        <f t="shared" ref="N38:AL38" si="21">SUM(N5,N11,N16,N18,N23,N33)</f>
        <v>814.4680000000003</v>
      </c>
      <c r="O38" s="11">
        <f t="shared" si="21"/>
        <v>833.79000000000008</v>
      </c>
      <c r="P38" s="11">
        <f t="shared" si="21"/>
        <v>818.37799999999947</v>
      </c>
      <c r="Q38" s="11">
        <f t="shared" si="21"/>
        <v>843.52099999999973</v>
      </c>
      <c r="R38" s="11">
        <f t="shared" si="21"/>
        <v>865.00500000000011</v>
      </c>
      <c r="S38" s="11">
        <f t="shared" si="21"/>
        <v>883.84299999999962</v>
      </c>
      <c r="T38" s="11">
        <f t="shared" si="21"/>
        <v>855.11200000000008</v>
      </c>
      <c r="U38" s="11">
        <f t="shared" si="21"/>
        <v>862.23300000000017</v>
      </c>
      <c r="V38" s="11">
        <f t="shared" si="21"/>
        <v>882.44900000000007</v>
      </c>
      <c r="W38" s="11">
        <f t="shared" si="21"/>
        <v>864.63999999999976</v>
      </c>
      <c r="X38" s="11">
        <f t="shared" si="21"/>
        <v>867.59300000000007</v>
      </c>
      <c r="Y38" s="11">
        <f t="shared" si="21"/>
        <v>871.74299999999926</v>
      </c>
      <c r="Z38" s="11">
        <f t="shared" si="21"/>
        <v>878.33000000000038</v>
      </c>
      <c r="AA38" s="11">
        <f t="shared" si="21"/>
        <v>885.45199999999988</v>
      </c>
      <c r="AB38" s="11">
        <f t="shared" si="21"/>
        <v>889.98</v>
      </c>
      <c r="AC38" s="11">
        <f t="shared" si="21"/>
        <v>893.84899999999993</v>
      </c>
      <c r="AD38" s="11">
        <f t="shared" si="21"/>
        <v>897.23999999999944</v>
      </c>
      <c r="AE38" s="11">
        <f t="shared" si="21"/>
        <v>900.61900000000003</v>
      </c>
      <c r="AF38" s="11">
        <f t="shared" si="21"/>
        <v>903.96199999999999</v>
      </c>
      <c r="AG38" s="11">
        <f t="shared" si="21"/>
        <v>907.6239999999998</v>
      </c>
      <c r="AH38" s="11">
        <f t="shared" si="21"/>
        <v>911.19499999999971</v>
      </c>
      <c r="AI38" s="11">
        <f t="shared" si="21"/>
        <v>914.75100000000066</v>
      </c>
      <c r="AJ38" s="11">
        <f t="shared" si="21"/>
        <v>918.34699999999987</v>
      </c>
      <c r="AK38" s="11">
        <f t="shared" si="21"/>
        <v>921.91299999999978</v>
      </c>
      <c r="AL38" s="11">
        <f t="shared" si="21"/>
        <v>925.47799999999995</v>
      </c>
      <c r="AM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  <c r="BP38" s="11"/>
      <c r="BQ38" s="11"/>
      <c r="BR38" s="11"/>
      <c r="BS38" s="11"/>
      <c r="BT38" s="11"/>
    </row>
    <row r="39" spans="1:72" x14ac:dyDescent="0.2">
      <c r="AD39" s="11"/>
      <c r="AE39" s="11"/>
      <c r="AF39" s="11"/>
      <c r="AG39" s="11"/>
      <c r="AH39" s="11"/>
      <c r="AI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  <c r="BP39" s="11"/>
    </row>
    <row r="40" spans="1:72" x14ac:dyDescent="0.2">
      <c r="AD40" s="11"/>
      <c r="AE40" s="11"/>
      <c r="AF40" s="11"/>
      <c r="AG40" s="11"/>
      <c r="AH40" s="11"/>
      <c r="AI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</row>
    <row r="41" spans="1:72" x14ac:dyDescent="0.2">
      <c r="L41" t="str">
        <f>REPT(" ",11)</f>
        <v xml:space="preserve">           </v>
      </c>
      <c r="AF41" s="11"/>
      <c r="AG41" s="11"/>
      <c r="AH41" s="11"/>
      <c r="AI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1"/>
    </row>
    <row r="42" spans="1:72" x14ac:dyDescent="0.2"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1"/>
      <c r="BO42" s="11"/>
      <c r="BP42" s="11"/>
    </row>
    <row r="43" spans="1:72" x14ac:dyDescent="0.2"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1"/>
      <c r="BP43" s="11"/>
    </row>
    <row r="44" spans="1:72" x14ac:dyDescent="0.2"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</row>
    <row r="45" spans="1:72" x14ac:dyDescent="0.2"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  <c r="BG45" s="11"/>
      <c r="BH45" s="11"/>
      <c r="BI45" s="11"/>
      <c r="BJ45" s="11"/>
      <c r="BK45" s="11"/>
      <c r="BL45" s="11"/>
      <c r="BM45" s="11"/>
      <c r="BN45" s="11"/>
      <c r="BO45" s="11"/>
      <c r="BP45" s="11"/>
    </row>
    <row r="46" spans="1:72" x14ac:dyDescent="0.2"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  <c r="BH46" s="11"/>
      <c r="BI46" s="11"/>
      <c r="BJ46" s="11"/>
      <c r="BK46" s="11"/>
      <c r="BL46" s="11"/>
      <c r="BM46" s="11"/>
      <c r="BN46" s="11"/>
      <c r="BO46" s="11"/>
      <c r="BP46" s="11"/>
    </row>
    <row r="47" spans="1:72" ht="15.75" x14ac:dyDescent="0.25">
      <c r="A47" s="80" t="str">
        <f>CONCATENATE("Industry Figure 2.1  Change in Employment in ",$L$5,", ",$M$2,"-",$O$2,", ",Info!B5)</f>
        <v>Industry Figure 2.1  Change in Employment in Primary sector and utilities, 2010-2035, Enterprise M3</v>
      </c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  <c r="BH47" s="11"/>
      <c r="BI47" s="11"/>
      <c r="BJ47" s="11"/>
      <c r="BK47" s="11"/>
      <c r="BL47" s="11"/>
      <c r="BM47" s="11"/>
      <c r="BN47" s="11"/>
      <c r="BO47" s="11"/>
      <c r="BP47" s="11"/>
    </row>
    <row r="48" spans="1:72" x14ac:dyDescent="0.2"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  <c r="BK48" s="11"/>
      <c r="BL48" s="11"/>
      <c r="BM48" s="11"/>
      <c r="BN48" s="11"/>
      <c r="BO48" s="11"/>
      <c r="BP48" s="11"/>
    </row>
    <row r="49" spans="38:68" x14ac:dyDescent="0.2"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  <c r="BF49" s="11"/>
      <c r="BG49" s="11"/>
      <c r="BH49" s="11"/>
      <c r="BI49" s="11"/>
      <c r="BJ49" s="11"/>
      <c r="BK49" s="11"/>
      <c r="BL49" s="11"/>
      <c r="BM49" s="11"/>
      <c r="BN49" s="11"/>
      <c r="BO49" s="11"/>
      <c r="BP49" s="11"/>
    </row>
    <row r="50" spans="38:68" x14ac:dyDescent="0.2"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  <c r="BL50" s="11"/>
      <c r="BM50" s="11"/>
      <c r="BN50" s="11"/>
      <c r="BO50" s="11"/>
      <c r="BP50" s="11"/>
    </row>
    <row r="51" spans="38:68" x14ac:dyDescent="0.2"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11"/>
      <c r="BF51" s="11"/>
      <c r="BG51" s="11"/>
      <c r="BH51" s="11"/>
      <c r="BI51" s="11"/>
      <c r="BJ51" s="11"/>
      <c r="BK51" s="11"/>
      <c r="BL51" s="11"/>
      <c r="BM51" s="11"/>
      <c r="BN51" s="11"/>
      <c r="BO51" s="11"/>
      <c r="BP51" s="11"/>
    </row>
    <row r="52" spans="38:68" x14ac:dyDescent="0.2"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L52" s="11"/>
      <c r="BM52" s="11"/>
      <c r="BN52" s="11"/>
      <c r="BO52" s="11"/>
      <c r="BP52" s="11"/>
    </row>
    <row r="53" spans="38:68" x14ac:dyDescent="0.2"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11"/>
      <c r="BE53" s="11"/>
      <c r="BF53" s="11"/>
      <c r="BG53" s="11"/>
      <c r="BH53" s="11"/>
      <c r="BI53" s="11"/>
      <c r="BJ53" s="11"/>
      <c r="BK53" s="11"/>
      <c r="BL53" s="11"/>
      <c r="BM53" s="11"/>
      <c r="BN53" s="11"/>
      <c r="BO53" s="11"/>
      <c r="BP53" s="11"/>
    </row>
    <row r="54" spans="38:68" x14ac:dyDescent="0.2"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  <c r="BO54" s="11"/>
      <c r="BP54" s="11"/>
    </row>
    <row r="55" spans="38:68" x14ac:dyDescent="0.2"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C55" s="11"/>
      <c r="BD55" s="11"/>
      <c r="BE55" s="11"/>
      <c r="BF55" s="11"/>
      <c r="BG55" s="11"/>
      <c r="BH55" s="11"/>
      <c r="BI55" s="11"/>
      <c r="BJ55" s="11"/>
      <c r="BK55" s="11"/>
      <c r="BL55" s="11"/>
      <c r="BM55" s="11"/>
      <c r="BN55" s="11"/>
      <c r="BO55" s="11"/>
      <c r="BP55" s="11"/>
    </row>
    <row r="56" spans="38:68" x14ac:dyDescent="0.2"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C56" s="11"/>
      <c r="BD56" s="11"/>
      <c r="BE56" s="11"/>
      <c r="BF56" s="11"/>
      <c r="BG56" s="11"/>
      <c r="BH56" s="11"/>
      <c r="BI56" s="11"/>
      <c r="BJ56" s="11"/>
      <c r="BK56" s="11"/>
      <c r="BL56" s="11"/>
      <c r="BM56" s="11"/>
      <c r="BN56" s="11"/>
      <c r="BO56" s="11"/>
      <c r="BP56" s="11"/>
    </row>
    <row r="57" spans="38:68" x14ac:dyDescent="0.2"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11"/>
      <c r="BK57" s="11"/>
      <c r="BL57" s="11"/>
      <c r="BM57" s="11"/>
      <c r="BN57" s="11"/>
      <c r="BO57" s="11"/>
      <c r="BP57" s="11"/>
    </row>
    <row r="58" spans="38:68" x14ac:dyDescent="0.2"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C58" s="11"/>
      <c r="BD58" s="11"/>
      <c r="BE58" s="11"/>
      <c r="BF58" s="11"/>
      <c r="BG58" s="11"/>
      <c r="BH58" s="11"/>
      <c r="BI58" s="11"/>
      <c r="BJ58" s="11"/>
      <c r="BK58" s="11"/>
      <c r="BL58" s="11"/>
      <c r="BM58" s="11"/>
      <c r="BN58" s="11"/>
      <c r="BO58" s="11"/>
      <c r="BP58" s="11"/>
    </row>
    <row r="59" spans="38:68" x14ac:dyDescent="0.2"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  <c r="BB59" s="11"/>
      <c r="BC59" s="11"/>
      <c r="BD59" s="11"/>
      <c r="BE59" s="11"/>
      <c r="BF59" s="11"/>
      <c r="BG59" s="11"/>
      <c r="BH59" s="11"/>
      <c r="BI59" s="11"/>
      <c r="BJ59" s="11"/>
      <c r="BK59" s="11"/>
      <c r="BL59" s="11"/>
      <c r="BM59" s="11"/>
      <c r="BN59" s="11"/>
      <c r="BO59" s="11"/>
      <c r="BP59" s="11"/>
    </row>
    <row r="60" spans="38:68" x14ac:dyDescent="0.2"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  <c r="BL60" s="11"/>
      <c r="BM60" s="11"/>
      <c r="BN60" s="11"/>
      <c r="BO60" s="11"/>
      <c r="BP60" s="11"/>
    </row>
    <row r="61" spans="38:68" x14ac:dyDescent="0.2"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11"/>
      <c r="BE61" s="11"/>
      <c r="BF61" s="11"/>
      <c r="BG61" s="11"/>
      <c r="BH61" s="11"/>
      <c r="BI61" s="11"/>
      <c r="BJ61" s="11"/>
      <c r="BK61" s="11"/>
      <c r="BL61" s="11"/>
      <c r="BM61" s="11"/>
      <c r="BN61" s="11"/>
      <c r="BO61" s="11"/>
      <c r="BP61" s="11"/>
    </row>
    <row r="62" spans="38:68" x14ac:dyDescent="0.2"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  <c r="BB62" s="11"/>
      <c r="BC62" s="11"/>
      <c r="BD62" s="11"/>
      <c r="BE62" s="11"/>
      <c r="BF62" s="11"/>
      <c r="BG62" s="11"/>
      <c r="BH62" s="11"/>
      <c r="BI62" s="11"/>
      <c r="BJ62" s="11"/>
      <c r="BK62" s="11"/>
      <c r="BL62" s="11"/>
      <c r="BM62" s="11"/>
      <c r="BN62" s="11"/>
      <c r="BO62" s="11"/>
      <c r="BP62" s="11"/>
    </row>
    <row r="63" spans="38:68" x14ac:dyDescent="0.2"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  <c r="BB63" s="11"/>
      <c r="BC63" s="11"/>
      <c r="BD63" s="11"/>
      <c r="BE63" s="11"/>
      <c r="BF63" s="11"/>
      <c r="BG63" s="11"/>
      <c r="BH63" s="11"/>
      <c r="BI63" s="11"/>
      <c r="BJ63" s="11"/>
      <c r="BK63" s="11"/>
      <c r="BL63" s="11"/>
      <c r="BM63" s="11"/>
      <c r="BN63" s="11"/>
      <c r="BO63" s="11"/>
      <c r="BP63" s="11"/>
    </row>
    <row r="64" spans="38:68" x14ac:dyDescent="0.2"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  <c r="BC64" s="11"/>
      <c r="BD64" s="11"/>
      <c r="BE64" s="11"/>
      <c r="BF64" s="11"/>
      <c r="BG64" s="11"/>
      <c r="BH64" s="11"/>
      <c r="BI64" s="11"/>
      <c r="BJ64" s="11"/>
      <c r="BK64" s="11"/>
      <c r="BL64" s="11"/>
      <c r="BM64" s="11"/>
      <c r="BN64" s="11"/>
      <c r="BO64" s="11"/>
      <c r="BP64" s="11"/>
    </row>
    <row r="65" spans="1:68" x14ac:dyDescent="0.2"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  <c r="BC65" s="11"/>
      <c r="BD65" s="11"/>
      <c r="BE65" s="11"/>
      <c r="BF65" s="11"/>
      <c r="BG65" s="11"/>
      <c r="BH65" s="11"/>
      <c r="BI65" s="11"/>
      <c r="BJ65" s="11"/>
      <c r="BK65" s="11"/>
      <c r="BL65" s="11"/>
      <c r="BM65" s="11"/>
      <c r="BN65" s="11"/>
      <c r="BO65" s="11"/>
      <c r="BP65" s="11"/>
    </row>
    <row r="66" spans="1:68" x14ac:dyDescent="0.2"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AZ66" s="11"/>
      <c r="BA66" s="11"/>
      <c r="BB66" s="11"/>
      <c r="BC66" s="11"/>
      <c r="BD66" s="11"/>
      <c r="BE66" s="11"/>
      <c r="BF66" s="11"/>
      <c r="BG66" s="11"/>
      <c r="BH66" s="11"/>
      <c r="BI66" s="11"/>
      <c r="BJ66" s="11"/>
      <c r="BK66" s="11"/>
      <c r="BL66" s="11"/>
      <c r="BM66" s="11"/>
      <c r="BN66" s="11"/>
      <c r="BO66" s="11"/>
      <c r="BP66" s="11"/>
    </row>
    <row r="67" spans="1:68" x14ac:dyDescent="0.2"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1"/>
      <c r="BB67" s="11"/>
      <c r="BC67" s="11"/>
      <c r="BD67" s="11"/>
      <c r="BE67" s="11"/>
      <c r="BF67" s="11"/>
      <c r="BG67" s="11"/>
      <c r="BH67" s="11"/>
      <c r="BI67" s="11"/>
      <c r="BJ67" s="11"/>
      <c r="BK67" s="11"/>
      <c r="BL67" s="11"/>
      <c r="BM67" s="11"/>
      <c r="BN67" s="11"/>
      <c r="BO67" s="11"/>
      <c r="BP67" s="11"/>
    </row>
    <row r="68" spans="1:68" x14ac:dyDescent="0.2"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AZ68" s="11"/>
      <c r="BA68" s="11"/>
      <c r="BB68" s="11"/>
      <c r="BC68" s="11"/>
      <c r="BD68" s="11"/>
      <c r="BE68" s="11"/>
      <c r="BF68" s="11"/>
      <c r="BG68" s="11"/>
      <c r="BH68" s="11"/>
      <c r="BI68" s="11"/>
      <c r="BJ68" s="11"/>
      <c r="BK68" s="11"/>
      <c r="BL68" s="11"/>
      <c r="BM68" s="11"/>
      <c r="BN68" s="11"/>
      <c r="BO68" s="11"/>
      <c r="BP68" s="11"/>
    </row>
    <row r="69" spans="1:68" x14ac:dyDescent="0.2"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AZ69" s="11"/>
      <c r="BA69" s="11"/>
      <c r="BB69" s="11"/>
      <c r="BC69" s="11"/>
      <c r="BD69" s="11"/>
      <c r="BE69" s="11"/>
      <c r="BF69" s="11"/>
      <c r="BG69" s="11"/>
      <c r="BH69" s="11"/>
      <c r="BI69" s="11"/>
      <c r="BJ69" s="11"/>
      <c r="BK69" s="11"/>
      <c r="BL69" s="11"/>
      <c r="BM69" s="11"/>
      <c r="BN69" s="11"/>
      <c r="BO69" s="11"/>
      <c r="BP69" s="11"/>
    </row>
    <row r="70" spans="1:68" x14ac:dyDescent="0.2">
      <c r="AL70" s="11"/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AZ70" s="11"/>
      <c r="BA70" s="11"/>
      <c r="BB70" s="11"/>
      <c r="BC70" s="11"/>
      <c r="BD70" s="11"/>
      <c r="BE70" s="11"/>
      <c r="BF70" s="11"/>
      <c r="BG70" s="11"/>
      <c r="BH70" s="11"/>
      <c r="BI70" s="11"/>
      <c r="BJ70" s="11"/>
      <c r="BK70" s="11"/>
      <c r="BL70" s="11"/>
      <c r="BM70" s="11"/>
      <c r="BN70" s="11"/>
      <c r="BO70" s="11"/>
      <c r="BP70" s="11"/>
    </row>
    <row r="71" spans="1:68" x14ac:dyDescent="0.2">
      <c r="AL71" s="11"/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AZ71" s="11"/>
      <c r="BA71" s="11"/>
      <c r="BB71" s="11"/>
      <c r="BC71" s="11"/>
      <c r="BD71" s="11"/>
      <c r="BE71" s="11"/>
      <c r="BF71" s="11"/>
      <c r="BG71" s="11"/>
      <c r="BH71" s="11"/>
      <c r="BI71" s="11"/>
      <c r="BJ71" s="11"/>
      <c r="BK71" s="11"/>
      <c r="BL71" s="11"/>
      <c r="BM71" s="11"/>
      <c r="BN71" s="11"/>
      <c r="BO71" s="11"/>
      <c r="BP71" s="11"/>
    </row>
    <row r="72" spans="1:68" x14ac:dyDescent="0.2"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  <c r="BC72" s="11"/>
      <c r="BD72" s="11"/>
      <c r="BE72" s="11"/>
      <c r="BF72" s="11"/>
      <c r="BG72" s="11"/>
      <c r="BH72" s="11"/>
      <c r="BI72" s="11"/>
      <c r="BJ72" s="11"/>
      <c r="BK72" s="11"/>
      <c r="BL72" s="11"/>
      <c r="BM72" s="11"/>
      <c r="BN72" s="11"/>
      <c r="BO72" s="11"/>
      <c r="BP72" s="11"/>
    </row>
    <row r="73" spans="1:68" x14ac:dyDescent="0.2"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AZ73" s="11"/>
      <c r="BA73" s="11"/>
      <c r="BB73" s="11"/>
      <c r="BC73" s="11"/>
      <c r="BD73" s="11"/>
      <c r="BE73" s="11"/>
      <c r="BF73" s="11"/>
      <c r="BG73" s="11"/>
      <c r="BH73" s="11"/>
      <c r="BI73" s="11"/>
      <c r="BJ73" s="11"/>
      <c r="BK73" s="11"/>
      <c r="BL73" s="11"/>
      <c r="BM73" s="11"/>
      <c r="BN73" s="11"/>
      <c r="BO73" s="11"/>
      <c r="BP73" s="11"/>
    </row>
    <row r="74" spans="1:68" x14ac:dyDescent="0.2"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AZ74" s="11"/>
      <c r="BA74" s="11"/>
      <c r="BB74" s="11"/>
      <c r="BC74" s="11"/>
      <c r="BD74" s="11"/>
      <c r="BE74" s="11"/>
      <c r="BF74" s="11"/>
      <c r="BG74" s="11"/>
      <c r="BH74" s="11"/>
      <c r="BI74" s="11"/>
      <c r="BJ74" s="11"/>
      <c r="BK74" s="11"/>
      <c r="BL74" s="11"/>
      <c r="BM74" s="11"/>
      <c r="BN74" s="11"/>
      <c r="BO74" s="11"/>
      <c r="BP74" s="11"/>
    </row>
    <row r="75" spans="1:68" x14ac:dyDescent="0.2">
      <c r="AL75" s="11"/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AZ75" s="11"/>
      <c r="BA75" s="11"/>
      <c r="BB75" s="11"/>
      <c r="BC75" s="11"/>
      <c r="BD75" s="11"/>
      <c r="BE75" s="11"/>
      <c r="BF75" s="11"/>
      <c r="BG75" s="11"/>
      <c r="BH75" s="11"/>
      <c r="BI75" s="11"/>
      <c r="BJ75" s="11"/>
      <c r="BK75" s="11"/>
      <c r="BL75" s="11"/>
      <c r="BM75" s="11"/>
      <c r="BN75" s="11"/>
      <c r="BO75" s="11"/>
      <c r="BP75" s="11"/>
    </row>
    <row r="76" spans="1:68" x14ac:dyDescent="0.2">
      <c r="AL76" s="11"/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AZ76" s="11"/>
      <c r="BA76" s="11"/>
      <c r="BB76" s="11"/>
      <c r="BC76" s="11"/>
      <c r="BD76" s="11"/>
      <c r="BE76" s="11"/>
      <c r="BF76" s="11"/>
      <c r="BG76" s="11"/>
      <c r="BH76" s="11"/>
      <c r="BI76" s="11"/>
      <c r="BJ76" s="11"/>
      <c r="BK76" s="11"/>
      <c r="BL76" s="11"/>
      <c r="BM76" s="11"/>
      <c r="BN76" s="11"/>
      <c r="BO76" s="11"/>
      <c r="BP76" s="11"/>
    </row>
    <row r="77" spans="1:68" ht="15.75" x14ac:dyDescent="0.25">
      <c r="A77" s="80" t="str">
        <f>CONCATENATE("Industry Figure 2.2  Change in Employment in ",$L$11,", ",$M$2,"-",$O$2,", ",Info!B5)</f>
        <v>Industry Figure 2.2  Change in Employment in Manufacturing, 2010-2035, Enterprise M3</v>
      </c>
      <c r="AL77" s="11"/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AZ77" s="11"/>
      <c r="BA77" s="11"/>
      <c r="BB77" s="11"/>
      <c r="BC77" s="11"/>
      <c r="BD77" s="11"/>
      <c r="BE77" s="11"/>
      <c r="BF77" s="11"/>
      <c r="BG77" s="11"/>
      <c r="BH77" s="11"/>
      <c r="BI77" s="11"/>
      <c r="BJ77" s="11"/>
      <c r="BK77" s="11"/>
      <c r="BL77" s="11"/>
    </row>
    <row r="78" spans="1:68" x14ac:dyDescent="0.2">
      <c r="AL78" s="11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AZ78" s="11"/>
      <c r="BA78" s="11"/>
      <c r="BB78" s="11"/>
      <c r="BC78" s="11"/>
      <c r="BD78" s="11"/>
      <c r="BE78" s="11"/>
      <c r="BF78" s="11"/>
      <c r="BG78" s="11"/>
      <c r="BH78" s="11"/>
      <c r="BI78" s="11"/>
      <c r="BJ78" s="11"/>
      <c r="BK78" s="11"/>
      <c r="BL78" s="11"/>
      <c r="BM78" s="11"/>
      <c r="BN78" s="11"/>
      <c r="BO78" s="11"/>
      <c r="BP78" s="11"/>
    </row>
    <row r="79" spans="1:68" x14ac:dyDescent="0.2">
      <c r="AL79" s="11"/>
    </row>
    <row r="107" spans="1:1" ht="15.75" x14ac:dyDescent="0.25">
      <c r="A107" s="80" t="str">
        <f>CONCATENATE("Industry Figure 2.3  Change in Employment in ",$L$16,", ",$M$2,"-",$O$2,", ",Info!B5)</f>
        <v>Industry Figure 2.3  Change in Employment in Construction, 2010-2035, Enterprise M3</v>
      </c>
    </row>
    <row r="137" spans="1:1" ht="15.75" x14ac:dyDescent="0.25">
      <c r="A137" s="80" t="str">
        <f>CONCATENATE("Industry Figure 2.4  Change in Employment in ",$L$18,", ",$M$2,"-",$O$2,", ",Info!B5)</f>
        <v>Industry Figure 2.4  Change in Employment in Trade, accomod. and transport, 2010-2035, Enterprise M3</v>
      </c>
    </row>
    <row r="167" spans="1:1" ht="15.75" x14ac:dyDescent="0.25">
      <c r="A167" s="80" t="str">
        <f>CONCATENATE("Industry Figure 2.5  Change in Employment in ",$L$23,", ",$M$2,"- ",$O$2,", ",Info!B5)</f>
        <v>Industry Figure 2.5  Change in Employment in Business and other services, 2010- 2035, Enterprise M3</v>
      </c>
    </row>
    <row r="197" spans="1:1" ht="15.75" x14ac:dyDescent="0.25">
      <c r="A197" s="80" t="str">
        <f>CONCATENATE("Industry Figure 2.6  Change in Employment in ",$L$33,", ",$M$2,"-",$O$2,", ",Info!B5)</f>
        <v>Industry Figure 2.6  Change in Employment in Non-marketed services, 2010-2035, Enterprise M3</v>
      </c>
    </row>
    <row r="227" spans="1:15" ht="15.75" x14ac:dyDescent="0.25">
      <c r="A227" s="80" t="str">
        <f>CONCATENATE("Industry Figure 2.7  Employment trends by broad sector (SIC 2007), shares in %, ",$M$230,"-",$O$230,", ",Info!B5)</f>
        <v>Industry Figure 2.7  Employment trends by broad sector (SIC 2007), shares in %, 2015-2035, Enterprise M3</v>
      </c>
      <c r="L227" s="46" t="s">
        <v>437</v>
      </c>
    </row>
    <row r="228" spans="1:15" x14ac:dyDescent="0.2">
      <c r="L228" s="30" t="s">
        <v>409</v>
      </c>
    </row>
    <row r="230" spans="1:15" x14ac:dyDescent="0.2">
      <c r="M230" s="10">
        <f>'Ind T1'!B19</f>
        <v>2015</v>
      </c>
      <c r="N230" s="10">
        <f>'Ind T1'!D19</f>
        <v>2020</v>
      </c>
      <c r="O230" s="10">
        <f>'Ind T1'!F19</f>
        <v>2035</v>
      </c>
    </row>
    <row r="231" spans="1:15" x14ac:dyDescent="0.2">
      <c r="L231" t="str">
        <f>L33</f>
        <v>Non-marketed services</v>
      </c>
      <c r="M231" s="40">
        <f>'Ind T1'!B25</f>
        <v>23.125299853758076</v>
      </c>
      <c r="N231" s="40">
        <f>'Ind T1'!D25</f>
        <v>22.913119911176913</v>
      </c>
      <c r="O231" s="40">
        <f>'Ind T1'!F25</f>
        <v>22.254337758434012</v>
      </c>
    </row>
    <row r="232" spans="1:15" x14ac:dyDescent="0.2">
      <c r="L232" t="str">
        <f>L23</f>
        <v>Business and other services</v>
      </c>
      <c r="M232" s="40">
        <f>'Ind T1'!B24</f>
        <v>38.545441933861646</v>
      </c>
      <c r="N232" s="40">
        <f>'Ind T1'!D24</f>
        <v>36.693999814951894</v>
      </c>
      <c r="O232" s="40">
        <f>'Ind T1'!F24</f>
        <v>37.627690771687746</v>
      </c>
    </row>
    <row r="233" spans="1:15" x14ac:dyDescent="0.2">
      <c r="L233" t="str">
        <f>L18</f>
        <v>Trade, accomod. and transport</v>
      </c>
      <c r="M233" s="40">
        <f>'Ind T1'!B23</f>
        <v>24.772573568938885</v>
      </c>
      <c r="N233" s="40">
        <f>'Ind T1'!D23</f>
        <v>25.848561250925243</v>
      </c>
      <c r="O233" s="40">
        <f>'Ind T1'!F23</f>
        <v>26.081765314788651</v>
      </c>
    </row>
    <row r="234" spans="1:15" x14ac:dyDescent="0.2">
      <c r="L234" t="str">
        <f>L16</f>
        <v>Construction</v>
      </c>
      <c r="M234" s="40">
        <f>'Ind T1'!B22</f>
        <v>6.3310616701637734</v>
      </c>
      <c r="N234" s="40">
        <f>'Ind T1'!D22</f>
        <v>7.1913166173204868</v>
      </c>
      <c r="O234" s="40">
        <f>'Ind T1'!F22</f>
        <v>7.8289273218812214</v>
      </c>
    </row>
    <row r="235" spans="1:15" x14ac:dyDescent="0.2">
      <c r="L235" t="str">
        <f>L11</f>
        <v>Manufacturing</v>
      </c>
      <c r="M235" s="40">
        <f>'Ind T1'!B21</f>
        <v>5.3752290449188198</v>
      </c>
      <c r="N235" s="40">
        <f>'Ind T1'!D21</f>
        <v>5.6911547002220608</v>
      </c>
      <c r="O235" s="40">
        <f>'Ind T1'!F21</f>
        <v>4.5425174882601302</v>
      </c>
    </row>
    <row r="236" spans="1:15" x14ac:dyDescent="0.2">
      <c r="L236" t="str">
        <f>L5</f>
        <v>Primary sector and utilities</v>
      </c>
      <c r="M236" s="40">
        <f>'Ind T1'!B20</f>
        <v>1.8503939283587938</v>
      </c>
      <c r="N236" s="40">
        <f>'Ind T1'!D20</f>
        <v>1.6618477054034069</v>
      </c>
      <c r="O236" s="40">
        <f>'Ind T1'!F20</f>
        <v>1.6647613449482304</v>
      </c>
    </row>
    <row r="257" spans="1:16" ht="15.75" x14ac:dyDescent="0.25">
      <c r="A257" s="80" t="str">
        <f>CONCATENATE("Industry Figure 2.8  Employment trends by broad sector (SIC 2007), change in thousands, ",$M$230,"-",$O$230,", ",Info!B5)</f>
        <v>Industry Figure 2.8  Employment trends by broad sector (SIC 2007), change in thousands, 2015-2035, Enterprise M3</v>
      </c>
      <c r="L257" s="46" t="s">
        <v>410</v>
      </c>
    </row>
    <row r="258" spans="1:16" x14ac:dyDescent="0.2">
      <c r="L258" s="30" t="s">
        <v>408</v>
      </c>
      <c r="M258" s="10"/>
      <c r="N258" s="10"/>
      <c r="O258" s="10"/>
    </row>
    <row r="259" spans="1:16" x14ac:dyDescent="0.2">
      <c r="P259" s="10"/>
    </row>
    <row r="260" spans="1:16" x14ac:dyDescent="0.2">
      <c r="N260" s="10" t="str">
        <f>'Ind T1'!R4</f>
        <v>2015-2020</v>
      </c>
      <c r="O260" s="10" t="str">
        <f>'Ind T1'!F44</f>
        <v>2020-2035</v>
      </c>
      <c r="P260" s="11"/>
    </row>
    <row r="261" spans="1:16" x14ac:dyDescent="0.2">
      <c r="L261" t="str">
        <f t="shared" ref="L261:L266" si="22">L231</f>
        <v>Non-marketed services</v>
      </c>
      <c r="N261" s="11">
        <f>'Ind T1'!D12-'Ind T1'!B12</f>
        <v>-1.9190000000000396</v>
      </c>
      <c r="O261" s="11">
        <f>'Ind T1'!F50</f>
        <v>7.842999999999904</v>
      </c>
      <c r="P261" s="11"/>
    </row>
    <row r="262" spans="1:16" x14ac:dyDescent="0.2">
      <c r="L262" t="str">
        <f t="shared" si="22"/>
        <v>Business and other services</v>
      </c>
      <c r="N262" s="11">
        <f>'Ind T1'!D11-'Ind T1'!B11</f>
        <v>-16.149000000000001</v>
      </c>
      <c r="O262" s="11">
        <f>'Ind T1'!F49</f>
        <v>30.965000000000316</v>
      </c>
      <c r="P262" s="11"/>
    </row>
    <row r="263" spans="1:16" x14ac:dyDescent="0.2">
      <c r="L263" t="str">
        <f t="shared" si="22"/>
        <v>Trade, accomod. and transport</v>
      </c>
      <c r="N263" s="11">
        <f>'Ind T1'!D10-'Ind T1'!B10</f>
        <v>9.2130000000001644</v>
      </c>
      <c r="O263" s="11">
        <f>'Ind T1'!F48</f>
        <v>17.883999999999702</v>
      </c>
      <c r="P263" s="11"/>
    </row>
    <row r="264" spans="1:16" x14ac:dyDescent="0.2">
      <c r="L264" t="str">
        <f t="shared" si="22"/>
        <v>Construction</v>
      </c>
      <c r="N264" s="11">
        <f>'Ind T1'!D9-'Ind T1'!B9</f>
        <v>7.4149999999996794</v>
      </c>
      <c r="O264" s="11">
        <f>'Ind T1'!F47</f>
        <v>10.276000000000046</v>
      </c>
      <c r="P264" s="11"/>
    </row>
    <row r="265" spans="1:16" x14ac:dyDescent="0.2">
      <c r="L265" t="str">
        <f t="shared" si="22"/>
        <v>Manufacturing</v>
      </c>
      <c r="N265" s="11">
        <f>'Ind T1'!D8-'Ind T1'!B8</f>
        <v>2.7119999999999749</v>
      </c>
      <c r="O265" s="11">
        <f>'Ind T1'!F46</f>
        <v>-7.1679999999999282</v>
      </c>
      <c r="P265" s="11"/>
    </row>
    <row r="266" spans="1:16" x14ac:dyDescent="0.2">
      <c r="L266" t="str">
        <f t="shared" si="22"/>
        <v>Primary sector and utilities</v>
      </c>
      <c r="N266" s="11">
        <f>'Ind T1'!D7-'Ind T1'!B7</f>
        <v>-1.6369999999999738</v>
      </c>
      <c r="O266" s="11">
        <f>'Ind T1'!F45</f>
        <v>1.0379999999999701</v>
      </c>
    </row>
    <row r="268" spans="1:16" x14ac:dyDescent="0.2">
      <c r="L268" t="str">
        <f>L38</f>
        <v>All industries</v>
      </c>
      <c r="N268" s="11">
        <f>'Ind T1'!D14-'Ind T1'!B14</f>
        <v>-0.36500000000035016</v>
      </c>
      <c r="O268" s="11">
        <f>SUM(O261:O266)</f>
        <v>60.838000000000001</v>
      </c>
    </row>
  </sheetData>
  <phoneticPr fontId="4" type="noConversion"/>
  <conditionalFormatting sqref="L4:AM4 L22:AM22 L17:AM17">
    <cfRule type="cellIs" dxfId="11" priority="3" stopIfTrue="1" operator="equal">
      <formula>0</formula>
    </cfRule>
  </conditionalFormatting>
  <conditionalFormatting sqref="AQ4:BP4">
    <cfRule type="cellIs" dxfId="10" priority="2" stopIfTrue="1" operator="equal">
      <formula>0</formula>
    </cfRule>
  </conditionalFormatting>
  <conditionalFormatting sqref="BS4:CR4">
    <cfRule type="cellIs" dxfId="9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rowBreaks count="4" manualBreakCount="4">
    <brk id="46" max="9" man="1"/>
    <brk id="106" max="9" man="1"/>
    <brk id="166" max="9" man="1"/>
    <brk id="226" max="9" man="1"/>
  </rowBreak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8"/>
  <dimension ref="A1:R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2" width="5.7109375" customWidth="1"/>
    <col min="257" max="257" width="33.140625" bestFit="1" customWidth="1"/>
    <col min="258" max="260" width="7.140625" customWidth="1"/>
    <col min="261" max="261" width="5" customWidth="1"/>
    <col min="262" max="264" width="7.140625" customWidth="1"/>
    <col min="265" max="265" width="5" customWidth="1"/>
    <col min="266" max="268" width="7.140625" customWidth="1"/>
    <col min="513" max="513" width="33.140625" bestFit="1" customWidth="1"/>
    <col min="514" max="516" width="7.140625" customWidth="1"/>
    <col min="517" max="517" width="5" customWidth="1"/>
    <col min="518" max="520" width="7.140625" customWidth="1"/>
    <col min="521" max="521" width="5" customWidth="1"/>
    <col min="522" max="524" width="7.140625" customWidth="1"/>
    <col min="769" max="769" width="33.140625" bestFit="1" customWidth="1"/>
    <col min="770" max="772" width="7.140625" customWidth="1"/>
    <col min="773" max="773" width="5" customWidth="1"/>
    <col min="774" max="776" width="7.140625" customWidth="1"/>
    <col min="777" max="777" width="5" customWidth="1"/>
    <col min="778" max="780" width="7.140625" customWidth="1"/>
    <col min="1025" max="1025" width="33.140625" bestFit="1" customWidth="1"/>
    <col min="1026" max="1028" width="7.140625" customWidth="1"/>
    <col min="1029" max="1029" width="5" customWidth="1"/>
    <col min="1030" max="1032" width="7.140625" customWidth="1"/>
    <col min="1033" max="1033" width="5" customWidth="1"/>
    <col min="1034" max="1036" width="7.140625" customWidth="1"/>
    <col min="1281" max="1281" width="33.140625" bestFit="1" customWidth="1"/>
    <col min="1282" max="1284" width="7.140625" customWidth="1"/>
    <col min="1285" max="1285" width="5" customWidth="1"/>
    <col min="1286" max="1288" width="7.140625" customWidth="1"/>
    <col min="1289" max="1289" width="5" customWidth="1"/>
    <col min="1290" max="1292" width="7.140625" customWidth="1"/>
    <col min="1537" max="1537" width="33.140625" bestFit="1" customWidth="1"/>
    <col min="1538" max="1540" width="7.140625" customWidth="1"/>
    <col min="1541" max="1541" width="5" customWidth="1"/>
    <col min="1542" max="1544" width="7.140625" customWidth="1"/>
    <col min="1545" max="1545" width="5" customWidth="1"/>
    <col min="1546" max="1548" width="7.140625" customWidth="1"/>
    <col min="1793" max="1793" width="33.140625" bestFit="1" customWidth="1"/>
    <col min="1794" max="1796" width="7.140625" customWidth="1"/>
    <col min="1797" max="1797" width="5" customWidth="1"/>
    <col min="1798" max="1800" width="7.140625" customWidth="1"/>
    <col min="1801" max="1801" width="5" customWidth="1"/>
    <col min="1802" max="1804" width="7.140625" customWidth="1"/>
    <col min="2049" max="2049" width="33.140625" bestFit="1" customWidth="1"/>
    <col min="2050" max="2052" width="7.140625" customWidth="1"/>
    <col min="2053" max="2053" width="5" customWidth="1"/>
    <col min="2054" max="2056" width="7.140625" customWidth="1"/>
    <col min="2057" max="2057" width="5" customWidth="1"/>
    <col min="2058" max="2060" width="7.140625" customWidth="1"/>
    <col min="2305" max="2305" width="33.140625" bestFit="1" customWidth="1"/>
    <col min="2306" max="2308" width="7.140625" customWidth="1"/>
    <col min="2309" max="2309" width="5" customWidth="1"/>
    <col min="2310" max="2312" width="7.140625" customWidth="1"/>
    <col min="2313" max="2313" width="5" customWidth="1"/>
    <col min="2314" max="2316" width="7.140625" customWidth="1"/>
    <col min="2561" max="2561" width="33.140625" bestFit="1" customWidth="1"/>
    <col min="2562" max="2564" width="7.140625" customWidth="1"/>
    <col min="2565" max="2565" width="5" customWidth="1"/>
    <col min="2566" max="2568" width="7.140625" customWidth="1"/>
    <col min="2569" max="2569" width="5" customWidth="1"/>
    <col min="2570" max="2572" width="7.140625" customWidth="1"/>
    <col min="2817" max="2817" width="33.140625" bestFit="1" customWidth="1"/>
    <col min="2818" max="2820" width="7.140625" customWidth="1"/>
    <col min="2821" max="2821" width="5" customWidth="1"/>
    <col min="2822" max="2824" width="7.140625" customWidth="1"/>
    <col min="2825" max="2825" width="5" customWidth="1"/>
    <col min="2826" max="2828" width="7.140625" customWidth="1"/>
    <col min="3073" max="3073" width="33.140625" bestFit="1" customWidth="1"/>
    <col min="3074" max="3076" width="7.140625" customWidth="1"/>
    <col min="3077" max="3077" width="5" customWidth="1"/>
    <col min="3078" max="3080" width="7.140625" customWidth="1"/>
    <col min="3081" max="3081" width="5" customWidth="1"/>
    <col min="3082" max="3084" width="7.140625" customWidth="1"/>
    <col min="3329" max="3329" width="33.140625" bestFit="1" customWidth="1"/>
    <col min="3330" max="3332" width="7.140625" customWidth="1"/>
    <col min="3333" max="3333" width="5" customWidth="1"/>
    <col min="3334" max="3336" width="7.140625" customWidth="1"/>
    <col min="3337" max="3337" width="5" customWidth="1"/>
    <col min="3338" max="3340" width="7.140625" customWidth="1"/>
    <col min="3585" max="3585" width="33.140625" bestFit="1" customWidth="1"/>
    <col min="3586" max="3588" width="7.140625" customWidth="1"/>
    <col min="3589" max="3589" width="5" customWidth="1"/>
    <col min="3590" max="3592" width="7.140625" customWidth="1"/>
    <col min="3593" max="3593" width="5" customWidth="1"/>
    <col min="3594" max="3596" width="7.140625" customWidth="1"/>
    <col min="3841" max="3841" width="33.140625" bestFit="1" customWidth="1"/>
    <col min="3842" max="3844" width="7.140625" customWidth="1"/>
    <col min="3845" max="3845" width="5" customWidth="1"/>
    <col min="3846" max="3848" width="7.140625" customWidth="1"/>
    <col min="3849" max="3849" width="5" customWidth="1"/>
    <col min="3850" max="3852" width="7.140625" customWidth="1"/>
    <col min="4097" max="4097" width="33.140625" bestFit="1" customWidth="1"/>
    <col min="4098" max="4100" width="7.140625" customWidth="1"/>
    <col min="4101" max="4101" width="5" customWidth="1"/>
    <col min="4102" max="4104" width="7.140625" customWidth="1"/>
    <col min="4105" max="4105" width="5" customWidth="1"/>
    <col min="4106" max="4108" width="7.140625" customWidth="1"/>
    <col min="4353" max="4353" width="33.140625" bestFit="1" customWidth="1"/>
    <col min="4354" max="4356" width="7.140625" customWidth="1"/>
    <col min="4357" max="4357" width="5" customWidth="1"/>
    <col min="4358" max="4360" width="7.140625" customWidth="1"/>
    <col min="4361" max="4361" width="5" customWidth="1"/>
    <col min="4362" max="4364" width="7.140625" customWidth="1"/>
    <col min="4609" max="4609" width="33.140625" bestFit="1" customWidth="1"/>
    <col min="4610" max="4612" width="7.140625" customWidth="1"/>
    <col min="4613" max="4613" width="5" customWidth="1"/>
    <col min="4614" max="4616" width="7.140625" customWidth="1"/>
    <col min="4617" max="4617" width="5" customWidth="1"/>
    <col min="4618" max="4620" width="7.140625" customWidth="1"/>
    <col min="4865" max="4865" width="33.140625" bestFit="1" customWidth="1"/>
    <col min="4866" max="4868" width="7.140625" customWidth="1"/>
    <col min="4869" max="4869" width="5" customWidth="1"/>
    <col min="4870" max="4872" width="7.140625" customWidth="1"/>
    <col min="4873" max="4873" width="5" customWidth="1"/>
    <col min="4874" max="4876" width="7.140625" customWidth="1"/>
    <col min="5121" max="5121" width="33.140625" bestFit="1" customWidth="1"/>
    <col min="5122" max="5124" width="7.140625" customWidth="1"/>
    <col min="5125" max="5125" width="5" customWidth="1"/>
    <col min="5126" max="5128" width="7.140625" customWidth="1"/>
    <col min="5129" max="5129" width="5" customWidth="1"/>
    <col min="5130" max="5132" width="7.140625" customWidth="1"/>
    <col min="5377" max="5377" width="33.140625" bestFit="1" customWidth="1"/>
    <col min="5378" max="5380" width="7.140625" customWidth="1"/>
    <col min="5381" max="5381" width="5" customWidth="1"/>
    <col min="5382" max="5384" width="7.140625" customWidth="1"/>
    <col min="5385" max="5385" width="5" customWidth="1"/>
    <col min="5386" max="5388" width="7.140625" customWidth="1"/>
    <col min="5633" max="5633" width="33.140625" bestFit="1" customWidth="1"/>
    <col min="5634" max="5636" width="7.140625" customWidth="1"/>
    <col min="5637" max="5637" width="5" customWidth="1"/>
    <col min="5638" max="5640" width="7.140625" customWidth="1"/>
    <col min="5641" max="5641" width="5" customWidth="1"/>
    <col min="5642" max="5644" width="7.140625" customWidth="1"/>
    <col min="5889" max="5889" width="33.140625" bestFit="1" customWidth="1"/>
    <col min="5890" max="5892" width="7.140625" customWidth="1"/>
    <col min="5893" max="5893" width="5" customWidth="1"/>
    <col min="5894" max="5896" width="7.140625" customWidth="1"/>
    <col min="5897" max="5897" width="5" customWidth="1"/>
    <col min="5898" max="5900" width="7.140625" customWidth="1"/>
    <col min="6145" max="6145" width="33.140625" bestFit="1" customWidth="1"/>
    <col min="6146" max="6148" width="7.140625" customWidth="1"/>
    <col min="6149" max="6149" width="5" customWidth="1"/>
    <col min="6150" max="6152" width="7.140625" customWidth="1"/>
    <col min="6153" max="6153" width="5" customWidth="1"/>
    <col min="6154" max="6156" width="7.140625" customWidth="1"/>
    <col min="6401" max="6401" width="33.140625" bestFit="1" customWidth="1"/>
    <col min="6402" max="6404" width="7.140625" customWidth="1"/>
    <col min="6405" max="6405" width="5" customWidth="1"/>
    <col min="6406" max="6408" width="7.140625" customWidth="1"/>
    <col min="6409" max="6409" width="5" customWidth="1"/>
    <col min="6410" max="6412" width="7.140625" customWidth="1"/>
    <col min="6657" max="6657" width="33.140625" bestFit="1" customWidth="1"/>
    <col min="6658" max="6660" width="7.140625" customWidth="1"/>
    <col min="6661" max="6661" width="5" customWidth="1"/>
    <col min="6662" max="6664" width="7.140625" customWidth="1"/>
    <col min="6665" max="6665" width="5" customWidth="1"/>
    <col min="6666" max="6668" width="7.140625" customWidth="1"/>
    <col min="6913" max="6913" width="33.140625" bestFit="1" customWidth="1"/>
    <col min="6914" max="6916" width="7.140625" customWidth="1"/>
    <col min="6917" max="6917" width="5" customWidth="1"/>
    <col min="6918" max="6920" width="7.140625" customWidth="1"/>
    <col min="6921" max="6921" width="5" customWidth="1"/>
    <col min="6922" max="6924" width="7.140625" customWidth="1"/>
    <col min="7169" max="7169" width="33.140625" bestFit="1" customWidth="1"/>
    <col min="7170" max="7172" width="7.140625" customWidth="1"/>
    <col min="7173" max="7173" width="5" customWidth="1"/>
    <col min="7174" max="7176" width="7.140625" customWidth="1"/>
    <col min="7177" max="7177" width="5" customWidth="1"/>
    <col min="7178" max="7180" width="7.140625" customWidth="1"/>
    <col min="7425" max="7425" width="33.140625" bestFit="1" customWidth="1"/>
    <col min="7426" max="7428" width="7.140625" customWidth="1"/>
    <col min="7429" max="7429" width="5" customWidth="1"/>
    <col min="7430" max="7432" width="7.140625" customWidth="1"/>
    <col min="7433" max="7433" width="5" customWidth="1"/>
    <col min="7434" max="7436" width="7.140625" customWidth="1"/>
    <col min="7681" max="7681" width="33.140625" bestFit="1" customWidth="1"/>
    <col min="7682" max="7684" width="7.140625" customWidth="1"/>
    <col min="7685" max="7685" width="5" customWidth="1"/>
    <col min="7686" max="7688" width="7.140625" customWidth="1"/>
    <col min="7689" max="7689" width="5" customWidth="1"/>
    <col min="7690" max="7692" width="7.140625" customWidth="1"/>
    <col min="7937" max="7937" width="33.140625" bestFit="1" customWidth="1"/>
    <col min="7938" max="7940" width="7.140625" customWidth="1"/>
    <col min="7941" max="7941" width="5" customWidth="1"/>
    <col min="7942" max="7944" width="7.140625" customWidth="1"/>
    <col min="7945" max="7945" width="5" customWidth="1"/>
    <col min="7946" max="7948" width="7.140625" customWidth="1"/>
    <col min="8193" max="8193" width="33.140625" bestFit="1" customWidth="1"/>
    <col min="8194" max="8196" width="7.140625" customWidth="1"/>
    <col min="8197" max="8197" width="5" customWidth="1"/>
    <col min="8198" max="8200" width="7.140625" customWidth="1"/>
    <col min="8201" max="8201" width="5" customWidth="1"/>
    <col min="8202" max="8204" width="7.140625" customWidth="1"/>
    <col min="8449" max="8449" width="33.140625" bestFit="1" customWidth="1"/>
    <col min="8450" max="8452" width="7.140625" customWidth="1"/>
    <col min="8453" max="8453" width="5" customWidth="1"/>
    <col min="8454" max="8456" width="7.140625" customWidth="1"/>
    <col min="8457" max="8457" width="5" customWidth="1"/>
    <col min="8458" max="8460" width="7.140625" customWidth="1"/>
    <col min="8705" max="8705" width="33.140625" bestFit="1" customWidth="1"/>
    <col min="8706" max="8708" width="7.140625" customWidth="1"/>
    <col min="8709" max="8709" width="5" customWidth="1"/>
    <col min="8710" max="8712" width="7.140625" customWidth="1"/>
    <col min="8713" max="8713" width="5" customWidth="1"/>
    <col min="8714" max="8716" width="7.140625" customWidth="1"/>
    <col min="8961" max="8961" width="33.140625" bestFit="1" customWidth="1"/>
    <col min="8962" max="8964" width="7.140625" customWidth="1"/>
    <col min="8965" max="8965" width="5" customWidth="1"/>
    <col min="8966" max="8968" width="7.140625" customWidth="1"/>
    <col min="8969" max="8969" width="5" customWidth="1"/>
    <col min="8970" max="8972" width="7.140625" customWidth="1"/>
    <col min="9217" max="9217" width="33.140625" bestFit="1" customWidth="1"/>
    <col min="9218" max="9220" width="7.140625" customWidth="1"/>
    <col min="9221" max="9221" width="5" customWidth="1"/>
    <col min="9222" max="9224" width="7.140625" customWidth="1"/>
    <col min="9225" max="9225" width="5" customWidth="1"/>
    <col min="9226" max="9228" width="7.140625" customWidth="1"/>
    <col min="9473" max="9473" width="33.140625" bestFit="1" customWidth="1"/>
    <col min="9474" max="9476" width="7.140625" customWidth="1"/>
    <col min="9477" max="9477" width="5" customWidth="1"/>
    <col min="9478" max="9480" width="7.140625" customWidth="1"/>
    <col min="9481" max="9481" width="5" customWidth="1"/>
    <col min="9482" max="9484" width="7.140625" customWidth="1"/>
    <col min="9729" max="9729" width="33.140625" bestFit="1" customWidth="1"/>
    <col min="9730" max="9732" width="7.140625" customWidth="1"/>
    <col min="9733" max="9733" width="5" customWidth="1"/>
    <col min="9734" max="9736" width="7.140625" customWidth="1"/>
    <col min="9737" max="9737" width="5" customWidth="1"/>
    <col min="9738" max="9740" width="7.140625" customWidth="1"/>
    <col min="9985" max="9985" width="33.140625" bestFit="1" customWidth="1"/>
    <col min="9986" max="9988" width="7.140625" customWidth="1"/>
    <col min="9989" max="9989" width="5" customWidth="1"/>
    <col min="9990" max="9992" width="7.140625" customWidth="1"/>
    <col min="9993" max="9993" width="5" customWidth="1"/>
    <col min="9994" max="9996" width="7.140625" customWidth="1"/>
    <col min="10241" max="10241" width="33.140625" bestFit="1" customWidth="1"/>
    <col min="10242" max="10244" width="7.140625" customWidth="1"/>
    <col min="10245" max="10245" width="5" customWidth="1"/>
    <col min="10246" max="10248" width="7.140625" customWidth="1"/>
    <col min="10249" max="10249" width="5" customWidth="1"/>
    <col min="10250" max="10252" width="7.140625" customWidth="1"/>
    <col min="10497" max="10497" width="33.140625" bestFit="1" customWidth="1"/>
    <col min="10498" max="10500" width="7.140625" customWidth="1"/>
    <col min="10501" max="10501" width="5" customWidth="1"/>
    <col min="10502" max="10504" width="7.140625" customWidth="1"/>
    <col min="10505" max="10505" width="5" customWidth="1"/>
    <col min="10506" max="10508" width="7.140625" customWidth="1"/>
    <col min="10753" max="10753" width="33.140625" bestFit="1" customWidth="1"/>
    <col min="10754" max="10756" width="7.140625" customWidth="1"/>
    <col min="10757" max="10757" width="5" customWidth="1"/>
    <col min="10758" max="10760" width="7.140625" customWidth="1"/>
    <col min="10761" max="10761" width="5" customWidth="1"/>
    <col min="10762" max="10764" width="7.140625" customWidth="1"/>
    <col min="11009" max="11009" width="33.140625" bestFit="1" customWidth="1"/>
    <col min="11010" max="11012" width="7.140625" customWidth="1"/>
    <col min="11013" max="11013" width="5" customWidth="1"/>
    <col min="11014" max="11016" width="7.140625" customWidth="1"/>
    <col min="11017" max="11017" width="5" customWidth="1"/>
    <col min="11018" max="11020" width="7.140625" customWidth="1"/>
    <col min="11265" max="11265" width="33.140625" bestFit="1" customWidth="1"/>
    <col min="11266" max="11268" width="7.140625" customWidth="1"/>
    <col min="11269" max="11269" width="5" customWidth="1"/>
    <col min="11270" max="11272" width="7.140625" customWidth="1"/>
    <col min="11273" max="11273" width="5" customWidth="1"/>
    <col min="11274" max="11276" width="7.140625" customWidth="1"/>
    <col min="11521" max="11521" width="33.140625" bestFit="1" customWidth="1"/>
    <col min="11522" max="11524" width="7.140625" customWidth="1"/>
    <col min="11525" max="11525" width="5" customWidth="1"/>
    <col min="11526" max="11528" width="7.140625" customWidth="1"/>
    <col min="11529" max="11529" width="5" customWidth="1"/>
    <col min="11530" max="11532" width="7.140625" customWidth="1"/>
    <col min="11777" max="11777" width="33.140625" bestFit="1" customWidth="1"/>
    <col min="11778" max="11780" width="7.140625" customWidth="1"/>
    <col min="11781" max="11781" width="5" customWidth="1"/>
    <col min="11782" max="11784" width="7.140625" customWidth="1"/>
    <col min="11785" max="11785" width="5" customWidth="1"/>
    <col min="11786" max="11788" width="7.140625" customWidth="1"/>
    <col min="12033" max="12033" width="33.140625" bestFit="1" customWidth="1"/>
    <col min="12034" max="12036" width="7.140625" customWidth="1"/>
    <col min="12037" max="12037" width="5" customWidth="1"/>
    <col min="12038" max="12040" width="7.140625" customWidth="1"/>
    <col min="12041" max="12041" width="5" customWidth="1"/>
    <col min="12042" max="12044" width="7.140625" customWidth="1"/>
    <col min="12289" max="12289" width="33.140625" bestFit="1" customWidth="1"/>
    <col min="12290" max="12292" width="7.140625" customWidth="1"/>
    <col min="12293" max="12293" width="5" customWidth="1"/>
    <col min="12294" max="12296" width="7.140625" customWidth="1"/>
    <col min="12297" max="12297" width="5" customWidth="1"/>
    <col min="12298" max="12300" width="7.140625" customWidth="1"/>
    <col min="12545" max="12545" width="33.140625" bestFit="1" customWidth="1"/>
    <col min="12546" max="12548" width="7.140625" customWidth="1"/>
    <col min="12549" max="12549" width="5" customWidth="1"/>
    <col min="12550" max="12552" width="7.140625" customWidth="1"/>
    <col min="12553" max="12553" width="5" customWidth="1"/>
    <col min="12554" max="12556" width="7.140625" customWidth="1"/>
    <col min="12801" max="12801" width="33.140625" bestFit="1" customWidth="1"/>
    <col min="12802" max="12804" width="7.140625" customWidth="1"/>
    <col min="12805" max="12805" width="5" customWidth="1"/>
    <col min="12806" max="12808" width="7.140625" customWidth="1"/>
    <col min="12809" max="12809" width="5" customWidth="1"/>
    <col min="12810" max="12812" width="7.140625" customWidth="1"/>
    <col min="13057" max="13057" width="33.140625" bestFit="1" customWidth="1"/>
    <col min="13058" max="13060" width="7.140625" customWidth="1"/>
    <col min="13061" max="13061" width="5" customWidth="1"/>
    <col min="13062" max="13064" width="7.140625" customWidth="1"/>
    <col min="13065" max="13065" width="5" customWidth="1"/>
    <col min="13066" max="13068" width="7.140625" customWidth="1"/>
    <col min="13313" max="13313" width="33.140625" bestFit="1" customWidth="1"/>
    <col min="13314" max="13316" width="7.140625" customWidth="1"/>
    <col min="13317" max="13317" width="5" customWidth="1"/>
    <col min="13318" max="13320" width="7.140625" customWidth="1"/>
    <col min="13321" max="13321" width="5" customWidth="1"/>
    <col min="13322" max="13324" width="7.140625" customWidth="1"/>
    <col min="13569" max="13569" width="33.140625" bestFit="1" customWidth="1"/>
    <col min="13570" max="13572" width="7.140625" customWidth="1"/>
    <col min="13573" max="13573" width="5" customWidth="1"/>
    <col min="13574" max="13576" width="7.140625" customWidth="1"/>
    <col min="13577" max="13577" width="5" customWidth="1"/>
    <col min="13578" max="13580" width="7.140625" customWidth="1"/>
    <col min="13825" max="13825" width="33.140625" bestFit="1" customWidth="1"/>
    <col min="13826" max="13828" width="7.140625" customWidth="1"/>
    <col min="13829" max="13829" width="5" customWidth="1"/>
    <col min="13830" max="13832" width="7.140625" customWidth="1"/>
    <col min="13833" max="13833" width="5" customWidth="1"/>
    <col min="13834" max="13836" width="7.140625" customWidth="1"/>
    <col min="14081" max="14081" width="33.140625" bestFit="1" customWidth="1"/>
    <col min="14082" max="14084" width="7.140625" customWidth="1"/>
    <col min="14085" max="14085" width="5" customWidth="1"/>
    <col min="14086" max="14088" width="7.140625" customWidth="1"/>
    <col min="14089" max="14089" width="5" customWidth="1"/>
    <col min="14090" max="14092" width="7.140625" customWidth="1"/>
    <col min="14337" max="14337" width="33.140625" bestFit="1" customWidth="1"/>
    <col min="14338" max="14340" width="7.140625" customWidth="1"/>
    <col min="14341" max="14341" width="5" customWidth="1"/>
    <col min="14342" max="14344" width="7.140625" customWidth="1"/>
    <col min="14345" max="14345" width="5" customWidth="1"/>
    <col min="14346" max="14348" width="7.140625" customWidth="1"/>
    <col min="14593" max="14593" width="33.140625" bestFit="1" customWidth="1"/>
    <col min="14594" max="14596" width="7.140625" customWidth="1"/>
    <col min="14597" max="14597" width="5" customWidth="1"/>
    <col min="14598" max="14600" width="7.140625" customWidth="1"/>
    <col min="14601" max="14601" width="5" customWidth="1"/>
    <col min="14602" max="14604" width="7.140625" customWidth="1"/>
    <col min="14849" max="14849" width="33.140625" bestFit="1" customWidth="1"/>
    <col min="14850" max="14852" width="7.140625" customWidth="1"/>
    <col min="14853" max="14853" width="5" customWidth="1"/>
    <col min="14854" max="14856" width="7.140625" customWidth="1"/>
    <col min="14857" max="14857" width="5" customWidth="1"/>
    <col min="14858" max="14860" width="7.140625" customWidth="1"/>
    <col min="15105" max="15105" width="33.140625" bestFit="1" customWidth="1"/>
    <col min="15106" max="15108" width="7.140625" customWidth="1"/>
    <col min="15109" max="15109" width="5" customWidth="1"/>
    <col min="15110" max="15112" width="7.140625" customWidth="1"/>
    <col min="15113" max="15113" width="5" customWidth="1"/>
    <col min="15114" max="15116" width="7.140625" customWidth="1"/>
    <col min="15361" max="15361" width="33.140625" bestFit="1" customWidth="1"/>
    <col min="15362" max="15364" width="7.140625" customWidth="1"/>
    <col min="15365" max="15365" width="5" customWidth="1"/>
    <col min="15366" max="15368" width="7.140625" customWidth="1"/>
    <col min="15369" max="15369" width="5" customWidth="1"/>
    <col min="15370" max="15372" width="7.140625" customWidth="1"/>
    <col min="15617" max="15617" width="33.140625" bestFit="1" customWidth="1"/>
    <col min="15618" max="15620" width="7.140625" customWidth="1"/>
    <col min="15621" max="15621" width="5" customWidth="1"/>
    <col min="15622" max="15624" width="7.140625" customWidth="1"/>
    <col min="15625" max="15625" width="5" customWidth="1"/>
    <col min="15626" max="15628" width="7.140625" customWidth="1"/>
    <col min="15873" max="15873" width="33.140625" bestFit="1" customWidth="1"/>
    <col min="15874" max="15876" width="7.140625" customWidth="1"/>
    <col min="15877" max="15877" width="5" customWidth="1"/>
    <col min="15878" max="15880" width="7.140625" customWidth="1"/>
    <col min="15881" max="15881" width="5" customWidth="1"/>
    <col min="15882" max="15884" width="7.140625" customWidth="1"/>
    <col min="16129" max="16129" width="33.140625" bestFit="1" customWidth="1"/>
    <col min="16130" max="16132" width="7.140625" customWidth="1"/>
    <col min="16133" max="16133" width="5" customWidth="1"/>
    <col min="16134" max="16136" width="7.140625" customWidth="1"/>
    <col min="16137" max="16137" width="5" customWidth="1"/>
    <col min="16138" max="16140" width="7.140625" customWidth="1"/>
  </cols>
  <sheetData>
    <row r="1" spans="1:14" ht="15.75" x14ac:dyDescent="0.25">
      <c r="A1" s="19" t="str">
        <f>CONCATENATE("Industry and Occupation Table 1  Occupation composition (SOC2020) by gender, ",B$6,"-",J$6,", ",Info!B5)</f>
        <v>Industry and Occupation Table 1  Occupation composition (SOC2020) by gender, 2015-2035, Enterprise M3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  <c r="N1" s="236"/>
    </row>
    <row r="2" spans="1:14" x14ac:dyDescent="0.2">
      <c r="A2" s="258" t="s">
        <v>518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  <c r="N2" s="236"/>
    </row>
    <row r="3" spans="1:14" x14ac:dyDescent="0.2">
      <c r="A3" s="236"/>
      <c r="B3" s="236"/>
      <c r="C3" s="236"/>
      <c r="D3" s="236"/>
      <c r="E3" s="236"/>
      <c r="F3" s="236"/>
      <c r="G3" s="236"/>
      <c r="H3" s="236"/>
      <c r="I3" s="236"/>
      <c r="J3" s="236"/>
      <c r="K3" s="236"/>
      <c r="L3" s="248"/>
      <c r="M3" s="236"/>
      <c r="N3" s="236"/>
    </row>
    <row r="4" spans="1:14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236"/>
    </row>
    <row r="5" spans="1:14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  <c r="N5" s="236"/>
    </row>
    <row r="6" spans="1:14" x14ac:dyDescent="0.2">
      <c r="A6" s="241" t="s">
        <v>0</v>
      </c>
      <c r="B6" s="375">
        <v>2015</v>
      </c>
      <c r="C6" s="376"/>
      <c r="D6" s="376"/>
      <c r="E6" s="246"/>
      <c r="F6" s="375">
        <v>2020</v>
      </c>
      <c r="G6" s="375"/>
      <c r="H6" s="375"/>
      <c r="I6" s="246"/>
      <c r="J6" s="375">
        <v>2035</v>
      </c>
      <c r="K6" s="375"/>
      <c r="L6" s="375"/>
      <c r="M6" s="236"/>
      <c r="N6" s="236"/>
    </row>
    <row r="7" spans="1:14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236"/>
    </row>
    <row r="8" spans="1:14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236"/>
    </row>
    <row r="9" spans="1:14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34.860230297580671</v>
      </c>
      <c r="C9" s="249">
        <f>SUM(C26,C43,C60,C77,C94,C111,C128,C145,C162,C179,C196,C213,C230,C247,C264,C281,C298,C315,C332,C349,C366,C383)</f>
        <v>64.963175369699385</v>
      </c>
      <c r="D9" s="249">
        <f>SUM(B9:C9)</f>
        <v>99.823405667280056</v>
      </c>
      <c r="E9" s="238"/>
      <c r="F9" s="249">
        <f>SUM(F26,F43,F60,F77,F94,F111,F128,F145,F162,F179,F196,F213,F230,F247,F264,F281,F298,F315,F332,F349,F366,F383)</f>
        <v>41.675092341476081</v>
      </c>
      <c r="G9" s="249">
        <f>SUM(G26,G43,G60,G77,G94,G111,G128,G145,G162,G179,G196,G213,G230,G247,G264,G281,G298,G315,G332,G349,G366,G383)</f>
        <v>68.254853440875948</v>
      </c>
      <c r="H9" s="249">
        <f>SUM(F9:G9)</f>
        <v>109.92994578235204</v>
      </c>
      <c r="I9" s="238"/>
      <c r="J9" s="249">
        <f>SUM(J26,J43,J60,J77,J94,J111,J128,J145,J162,J179,J196,J213,J230,J247,J264,J281,J298,J315,J332,J349,J366,J383)</f>
        <v>52.590478128458294</v>
      </c>
      <c r="K9" s="249">
        <f>SUM(K26,K43,K60,K77,K94,K111,K128,K145,K162,K179,K196,K213,K230,K247,K264,K281,K298,K315,K332,K349,K366,K383)</f>
        <v>74.358971083632824</v>
      </c>
      <c r="L9" s="249">
        <f>SUM(J9:K9)</f>
        <v>126.94944921209111</v>
      </c>
      <c r="M9" s="236"/>
      <c r="N9" s="236"/>
    </row>
    <row r="10" spans="1:14" x14ac:dyDescent="0.2">
      <c r="A10" s="237" t="str">
        <f>name!E$5</f>
        <v>Professional occupations</v>
      </c>
      <c r="B10" s="249">
        <f t="shared" ref="B10:C17" si="0">SUM(B27,B44,B61,B78,B95,B112,B129,B146,B163,B180,B197,B214,B231,B248,B265,B282,B299,B316,B333,B350,B367,B384)</f>
        <v>84.51443016865008</v>
      </c>
      <c r="C10" s="249">
        <f t="shared" si="0"/>
        <v>102.89029089281534</v>
      </c>
      <c r="D10" s="249">
        <f t="shared" ref="D10:D17" si="1">SUM(B10:C10)</f>
        <v>187.40472106146541</v>
      </c>
      <c r="E10" s="238"/>
      <c r="F10" s="249">
        <f t="shared" ref="F10:G17" si="2">SUM(F27,F44,F61,F78,F95,F112,F129,F146,F163,F180,F197,F214,F231,F248,F265,F282,F299,F316,F333,F350,F367,F384)</f>
        <v>98.940801400589692</v>
      </c>
      <c r="G10" s="249">
        <f t="shared" si="2"/>
        <v>111.24015826441416</v>
      </c>
      <c r="H10" s="249">
        <f t="shared" ref="H10:H17" si="3">SUM(F10:G10)</f>
        <v>210.18095966500385</v>
      </c>
      <c r="I10" s="238"/>
      <c r="J10" s="249">
        <f t="shared" ref="J10:K17" si="4">SUM(J27,J44,J61,J78,J95,J112,J129,J146,J163,J180,J197,J214,J231,J248,J265,J282,J299,J316,J333,J350,J367,J384)</f>
        <v>117.97977654858695</v>
      </c>
      <c r="K10" s="249">
        <f t="shared" si="4"/>
        <v>128.55021901087815</v>
      </c>
      <c r="L10" s="249">
        <f t="shared" ref="L10:L17" si="5">SUM(J10:K10)</f>
        <v>246.52999555946511</v>
      </c>
      <c r="M10" s="236"/>
      <c r="N10" s="236"/>
    </row>
    <row r="11" spans="1:14" x14ac:dyDescent="0.2">
      <c r="A11" s="237" t="str">
        <f>name!E$6</f>
        <v>Associate professional occupations</v>
      </c>
      <c r="B11" s="249">
        <f t="shared" si="0"/>
        <v>54.246466187891833</v>
      </c>
      <c r="C11" s="249">
        <f t="shared" si="0"/>
        <v>63.815886482494754</v>
      </c>
      <c r="D11" s="249">
        <f t="shared" si="1"/>
        <v>118.06235267038659</v>
      </c>
      <c r="E11" s="238"/>
      <c r="F11" s="249">
        <f t="shared" si="2"/>
        <v>59.575579047617666</v>
      </c>
      <c r="G11" s="249">
        <f t="shared" si="2"/>
        <v>64.510090668346066</v>
      </c>
      <c r="H11" s="249">
        <f t="shared" si="3"/>
        <v>124.08566971596373</v>
      </c>
      <c r="I11" s="238"/>
      <c r="J11" s="249">
        <f t="shared" si="4"/>
        <v>66.583026823907957</v>
      </c>
      <c r="K11" s="249">
        <f t="shared" si="4"/>
        <v>63.943640279171113</v>
      </c>
      <c r="L11" s="249">
        <f t="shared" si="5"/>
        <v>130.52666710307906</v>
      </c>
      <c r="M11" s="236"/>
      <c r="N11" s="236"/>
    </row>
    <row r="12" spans="1:14" x14ac:dyDescent="0.2">
      <c r="A12" s="237" t="str">
        <f>name!E$7</f>
        <v>Administrative and secretarial occupations</v>
      </c>
      <c r="B12" s="249">
        <f t="shared" si="0"/>
        <v>74.652469479957489</v>
      </c>
      <c r="C12" s="249">
        <f t="shared" si="0"/>
        <v>19.315775986945106</v>
      </c>
      <c r="D12" s="249">
        <f t="shared" si="1"/>
        <v>93.968245466902601</v>
      </c>
      <c r="E12" s="238"/>
      <c r="F12" s="249">
        <f t="shared" si="2"/>
        <v>68.461327813711264</v>
      </c>
      <c r="G12" s="249">
        <f t="shared" si="2"/>
        <v>19.918002208804829</v>
      </c>
      <c r="H12" s="249">
        <f t="shared" si="3"/>
        <v>88.379330022516086</v>
      </c>
      <c r="I12" s="238"/>
      <c r="J12" s="249">
        <f t="shared" si="4"/>
        <v>53.205997519424997</v>
      </c>
      <c r="K12" s="249">
        <f t="shared" si="4"/>
        <v>20.11855904877628</v>
      </c>
      <c r="L12" s="249">
        <f t="shared" si="5"/>
        <v>73.324556568201274</v>
      </c>
      <c r="M12" s="236"/>
      <c r="N12" s="236"/>
    </row>
    <row r="13" spans="1:14" x14ac:dyDescent="0.2">
      <c r="A13" s="237" t="str">
        <f>name!E$8</f>
        <v>Skilled trades occupations</v>
      </c>
      <c r="B13" s="249">
        <f t="shared" si="0"/>
        <v>10.299204978489472</v>
      </c>
      <c r="C13" s="249">
        <f t="shared" si="0"/>
        <v>71.11331180525201</v>
      </c>
      <c r="D13" s="249">
        <f t="shared" si="1"/>
        <v>81.412516783741481</v>
      </c>
      <c r="E13" s="238"/>
      <c r="F13" s="249">
        <f t="shared" si="2"/>
        <v>9.865334029170775</v>
      </c>
      <c r="G13" s="249">
        <f t="shared" si="2"/>
        <v>58.658230332894085</v>
      </c>
      <c r="H13" s="249">
        <f t="shared" si="3"/>
        <v>68.52356436206486</v>
      </c>
      <c r="I13" s="238"/>
      <c r="J13" s="249">
        <f t="shared" si="4"/>
        <v>13.293291149739112</v>
      </c>
      <c r="K13" s="249">
        <f t="shared" si="4"/>
        <v>58.490123736181907</v>
      </c>
      <c r="L13" s="249">
        <f t="shared" si="5"/>
        <v>71.783414885921019</v>
      </c>
      <c r="M13" s="236"/>
      <c r="N13" s="236"/>
    </row>
    <row r="14" spans="1:14" x14ac:dyDescent="0.2">
      <c r="A14" s="237" t="str">
        <f>name!E$9</f>
        <v>Caring, leisure and other service occupations</v>
      </c>
      <c r="B14" s="249">
        <f t="shared" si="0"/>
        <v>63.135494459759101</v>
      </c>
      <c r="C14" s="249">
        <f t="shared" si="0"/>
        <v>18.406818836599086</v>
      </c>
      <c r="D14" s="249">
        <f t="shared" si="1"/>
        <v>81.542313296358188</v>
      </c>
      <c r="E14" s="238"/>
      <c r="F14" s="249">
        <f t="shared" si="2"/>
        <v>61.272498752028547</v>
      </c>
      <c r="G14" s="249">
        <f t="shared" si="2"/>
        <v>17.6557311047033</v>
      </c>
      <c r="H14" s="249">
        <f t="shared" si="3"/>
        <v>78.928229856731846</v>
      </c>
      <c r="I14" s="238"/>
      <c r="J14" s="249">
        <f t="shared" si="4"/>
        <v>65.271730029390014</v>
      </c>
      <c r="K14" s="249">
        <f t="shared" si="4"/>
        <v>23.27923245659003</v>
      </c>
      <c r="L14" s="249">
        <f t="shared" si="5"/>
        <v>88.550962485980051</v>
      </c>
      <c r="M14" s="236"/>
      <c r="N14" s="236"/>
    </row>
    <row r="15" spans="1:14" x14ac:dyDescent="0.2">
      <c r="A15" s="237" t="str">
        <f>name!E$10</f>
        <v>Sales and customer service occupations</v>
      </c>
      <c r="B15" s="249">
        <f t="shared" si="0"/>
        <v>39.45912394699365</v>
      </c>
      <c r="C15" s="249">
        <f t="shared" si="0"/>
        <v>28.190988606589016</v>
      </c>
      <c r="D15" s="249">
        <f t="shared" si="1"/>
        <v>67.650112553582659</v>
      </c>
      <c r="E15" s="238"/>
      <c r="F15" s="249">
        <f t="shared" si="2"/>
        <v>37.90011220754122</v>
      </c>
      <c r="G15" s="249">
        <f t="shared" si="2"/>
        <v>28.254533085966354</v>
      </c>
      <c r="H15" s="249">
        <f t="shared" si="3"/>
        <v>66.154645293507571</v>
      </c>
      <c r="I15" s="238"/>
      <c r="J15" s="249">
        <f t="shared" si="4"/>
        <v>36.149609296910413</v>
      </c>
      <c r="K15" s="249">
        <f t="shared" si="4"/>
        <v>30.166416295184177</v>
      </c>
      <c r="L15" s="249">
        <f t="shared" si="5"/>
        <v>66.31602559209459</v>
      </c>
      <c r="M15" s="236"/>
      <c r="N15" s="236"/>
    </row>
    <row r="16" spans="1:14" x14ac:dyDescent="0.2">
      <c r="A16" s="237" t="str">
        <f>name!E$11</f>
        <v>Process, plant and machine operatives</v>
      </c>
      <c r="B16" s="249">
        <f t="shared" si="0"/>
        <v>4.6194399564489199</v>
      </c>
      <c r="C16" s="249">
        <f t="shared" si="0"/>
        <v>33.244243672927581</v>
      </c>
      <c r="D16" s="249">
        <f t="shared" si="1"/>
        <v>37.863683629376503</v>
      </c>
      <c r="E16" s="238"/>
      <c r="F16" s="249">
        <f t="shared" si="2"/>
        <v>3.8976997258721986</v>
      </c>
      <c r="G16" s="249">
        <f t="shared" si="2"/>
        <v>29.745635438663673</v>
      </c>
      <c r="H16" s="249">
        <f t="shared" si="3"/>
        <v>33.64333516453587</v>
      </c>
      <c r="I16" s="238"/>
      <c r="J16" s="249">
        <f t="shared" si="4"/>
        <v>5.6947734902900518</v>
      </c>
      <c r="K16" s="249">
        <f t="shared" si="4"/>
        <v>32.353970766747459</v>
      </c>
      <c r="L16" s="249">
        <f t="shared" si="5"/>
        <v>38.048744257037512</v>
      </c>
      <c r="M16" s="236"/>
      <c r="N16" s="236"/>
    </row>
    <row r="17" spans="1:14" x14ac:dyDescent="0.2">
      <c r="A17" s="237" t="str">
        <f>name!E$12</f>
        <v>Elementary occupations</v>
      </c>
      <c r="B17" s="249">
        <f t="shared" si="0"/>
        <v>47.72918001867184</v>
      </c>
      <c r="C17" s="249">
        <f t="shared" si="0"/>
        <v>49.548468852234528</v>
      </c>
      <c r="D17" s="249">
        <f t="shared" si="1"/>
        <v>97.277648870906376</v>
      </c>
      <c r="E17" s="238"/>
      <c r="F17" s="249">
        <f t="shared" si="2"/>
        <v>41.954336823663425</v>
      </c>
      <c r="G17" s="249">
        <f t="shared" si="2"/>
        <v>42.859983313660486</v>
      </c>
      <c r="H17" s="249">
        <f t="shared" si="3"/>
        <v>84.814320137323904</v>
      </c>
      <c r="I17" s="238"/>
      <c r="J17" s="249">
        <f t="shared" si="4"/>
        <v>41.210645511333155</v>
      </c>
      <c r="K17" s="249">
        <f t="shared" si="4"/>
        <v>42.237538824797234</v>
      </c>
      <c r="L17" s="249">
        <f t="shared" si="5"/>
        <v>83.448184336130396</v>
      </c>
      <c r="M17" s="236"/>
      <c r="N17" s="236"/>
    </row>
    <row r="18" spans="1:14" x14ac:dyDescent="0.2">
      <c r="A18" s="237"/>
      <c r="B18" s="249"/>
      <c r="C18" s="249"/>
      <c r="D18" s="249"/>
      <c r="E18" s="238"/>
      <c r="F18" s="249"/>
      <c r="G18" s="249"/>
      <c r="H18" s="249"/>
      <c r="I18" s="238"/>
      <c r="J18" s="249"/>
      <c r="K18" s="249"/>
      <c r="L18" s="249"/>
      <c r="M18" s="236"/>
      <c r="N18" s="236"/>
    </row>
    <row r="19" spans="1:14" x14ac:dyDescent="0.2">
      <c r="A19" s="244" t="s">
        <v>33</v>
      </c>
      <c r="B19" s="247">
        <f>SUM(B9:B17)</f>
        <v>413.51603949444308</v>
      </c>
      <c r="C19" s="247">
        <f t="shared" ref="C19:L19" si="6">SUM(C9:C17)</f>
        <v>451.4889605055568</v>
      </c>
      <c r="D19" s="247">
        <f t="shared" si="6"/>
        <v>865.00499999999988</v>
      </c>
      <c r="E19" s="247"/>
      <c r="F19" s="247">
        <f t="shared" si="6"/>
        <v>423.54278214167078</v>
      </c>
      <c r="G19" s="247">
        <f t="shared" si="6"/>
        <v>441.09721785832892</v>
      </c>
      <c r="H19" s="247">
        <f t="shared" si="6"/>
        <v>864.63999999999965</v>
      </c>
      <c r="I19" s="247"/>
      <c r="J19" s="247">
        <f t="shared" si="6"/>
        <v>451.97932849804096</v>
      </c>
      <c r="K19" s="247">
        <f t="shared" si="6"/>
        <v>473.49867150195911</v>
      </c>
      <c r="L19" s="247">
        <f t="shared" si="6"/>
        <v>925.47800000000007</v>
      </c>
      <c r="M19" s="236"/>
      <c r="N19" s="236"/>
    </row>
    <row r="20" spans="1:14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9"/>
      <c r="M20" s="236"/>
      <c r="N20" s="236"/>
    </row>
    <row r="21" spans="1:14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56" t="s">
        <v>36</v>
      </c>
      <c r="M21" s="236"/>
      <c r="N21" s="236"/>
    </row>
    <row r="22" spans="1:14" x14ac:dyDescent="0.2">
      <c r="A22" s="242"/>
      <c r="B22" s="250"/>
      <c r="C22" s="250"/>
      <c r="D22" s="250"/>
      <c r="E22" s="250"/>
      <c r="F22" s="250"/>
      <c r="G22" s="250"/>
      <c r="H22" s="250"/>
      <c r="I22" s="250"/>
      <c r="J22" s="250"/>
      <c r="K22" s="250"/>
      <c r="L22" s="236"/>
      <c r="M22" s="236"/>
      <c r="N22" s="236"/>
    </row>
    <row r="23" spans="1:14" x14ac:dyDescent="0.2">
      <c r="A23" s="241" t="str">
        <f>name!B4</f>
        <v>Agriculture</v>
      </c>
      <c r="B23" s="375">
        <f>B$6</f>
        <v>2015</v>
      </c>
      <c r="C23" s="375"/>
      <c r="D23" s="375"/>
      <c r="E23" s="253"/>
      <c r="F23" s="375">
        <f>F$6</f>
        <v>2020</v>
      </c>
      <c r="G23" s="375"/>
      <c r="H23" s="375"/>
      <c r="I23" s="253"/>
      <c r="J23" s="375">
        <f>J$6</f>
        <v>2035</v>
      </c>
      <c r="K23" s="375"/>
      <c r="L23" s="375"/>
      <c r="M23" s="236"/>
      <c r="N23" s="236"/>
    </row>
    <row r="24" spans="1:14" x14ac:dyDescent="0.2">
      <c r="A24" s="254"/>
      <c r="B24" s="255" t="s">
        <v>361</v>
      </c>
      <c r="C24" s="255" t="s">
        <v>362</v>
      </c>
      <c r="D24" s="255" t="s">
        <v>33</v>
      </c>
      <c r="E24" s="255"/>
      <c r="F24" s="255" t="s">
        <v>361</v>
      </c>
      <c r="G24" s="255" t="s">
        <v>362</v>
      </c>
      <c r="H24" s="255" t="s">
        <v>33</v>
      </c>
      <c r="I24" s="255"/>
      <c r="J24" s="255" t="s">
        <v>361</v>
      </c>
      <c r="K24" s="255" t="s">
        <v>362</v>
      </c>
      <c r="L24" s="255" t="s">
        <v>33</v>
      </c>
      <c r="M24" s="236"/>
      <c r="N24" s="236"/>
    </row>
    <row r="25" spans="1:14" x14ac:dyDescent="0.2">
      <c r="A25" s="258"/>
      <c r="B25" s="259"/>
      <c r="C25" s="259"/>
      <c r="D25" s="259"/>
      <c r="E25" s="259"/>
      <c r="F25" s="259"/>
      <c r="G25" s="259"/>
      <c r="H25" s="259"/>
      <c r="I25" s="259"/>
      <c r="J25" s="259"/>
      <c r="K25" s="259"/>
      <c r="L25" s="259"/>
      <c r="M25" s="236"/>
      <c r="N25" s="236"/>
    </row>
    <row r="26" spans="1:14" x14ac:dyDescent="0.2">
      <c r="A26" s="237" t="str">
        <f>name!E$4</f>
        <v>Managers, directors and senior officials</v>
      </c>
      <c r="B26" s="302">
        <v>0.17268399610284155</v>
      </c>
      <c r="C26" s="302">
        <v>0.30819437192159427</v>
      </c>
      <c r="D26" s="302">
        <f>SUM(B26:C26)</f>
        <v>0.48087836802443584</v>
      </c>
      <c r="E26" s="303"/>
      <c r="F26" s="302">
        <v>0.20019634695815733</v>
      </c>
      <c r="G26" s="302">
        <v>0.32429083661117936</v>
      </c>
      <c r="H26" s="302">
        <f>SUM(F26:G26)</f>
        <v>0.52448718356933666</v>
      </c>
      <c r="I26" s="303"/>
      <c r="J26" s="302">
        <v>0.21202658129459989</v>
      </c>
      <c r="K26" s="302">
        <v>0.48647897634842535</v>
      </c>
      <c r="L26" s="302">
        <f>SUM(J26:K26)</f>
        <v>0.69850555764302524</v>
      </c>
      <c r="M26" s="236"/>
      <c r="N26" s="236"/>
    </row>
    <row r="27" spans="1:14" x14ac:dyDescent="0.2">
      <c r="A27" s="237" t="str">
        <f>name!E$5</f>
        <v>Professional occupations</v>
      </c>
      <c r="B27" s="302">
        <v>0.20083988923775115</v>
      </c>
      <c r="C27" s="302">
        <v>0.28573450979588222</v>
      </c>
      <c r="D27" s="302">
        <f t="shared" ref="D27:D34" si="7">SUM(B27:C27)</f>
        <v>0.48657439903363336</v>
      </c>
      <c r="E27" s="303"/>
      <c r="F27" s="302">
        <v>0.27922878100174703</v>
      </c>
      <c r="G27" s="302">
        <v>0.35036574601263032</v>
      </c>
      <c r="H27" s="302">
        <f t="shared" ref="H27:H34" si="8">SUM(F27:G27)</f>
        <v>0.62959452701437735</v>
      </c>
      <c r="I27" s="303"/>
      <c r="J27" s="302">
        <v>0.33682953514653652</v>
      </c>
      <c r="K27" s="302">
        <v>0.59598182389725984</v>
      </c>
      <c r="L27" s="302">
        <f t="shared" ref="L27:L34" si="9">SUM(J27:K27)</f>
        <v>0.93281135904379631</v>
      </c>
      <c r="M27" s="236"/>
      <c r="N27" s="236"/>
    </row>
    <row r="28" spans="1:14" x14ac:dyDescent="0.2">
      <c r="A28" s="237" t="str">
        <f>name!E$6</f>
        <v>Associate professional occupations</v>
      </c>
      <c r="B28" s="302">
        <v>0.17704870156358846</v>
      </c>
      <c r="C28" s="302">
        <v>0.17547123530040784</v>
      </c>
      <c r="D28" s="302">
        <f t="shared" si="7"/>
        <v>0.3525199368639963</v>
      </c>
      <c r="E28" s="303"/>
      <c r="F28" s="302">
        <v>0.21546045816220152</v>
      </c>
      <c r="G28" s="302">
        <v>0.18175354819217068</v>
      </c>
      <c r="H28" s="302">
        <f t="shared" si="8"/>
        <v>0.39721400635437221</v>
      </c>
      <c r="I28" s="303"/>
      <c r="J28" s="302">
        <v>0.23591909412640466</v>
      </c>
      <c r="K28" s="302">
        <v>0.22996796141021658</v>
      </c>
      <c r="L28" s="302">
        <f t="shared" si="9"/>
        <v>0.46588705553662124</v>
      </c>
      <c r="M28" s="236"/>
      <c r="N28" s="236"/>
    </row>
    <row r="29" spans="1:14" x14ac:dyDescent="0.2">
      <c r="A29" s="237" t="str">
        <f>name!E$7</f>
        <v>Administrative and secretarial occupations</v>
      </c>
      <c r="B29" s="302">
        <v>0.42666104184249715</v>
      </c>
      <c r="C29" s="302">
        <v>7.6570134559209455E-2</v>
      </c>
      <c r="D29" s="302">
        <f t="shared" si="7"/>
        <v>0.50323117640170656</v>
      </c>
      <c r="E29" s="303"/>
      <c r="F29" s="302">
        <v>0.43210350779478318</v>
      </c>
      <c r="G29" s="302">
        <v>5.4200473009967366E-2</v>
      </c>
      <c r="H29" s="302">
        <f t="shared" si="8"/>
        <v>0.48630398080475057</v>
      </c>
      <c r="I29" s="303"/>
      <c r="J29" s="302">
        <v>0.27001757467780924</v>
      </c>
      <c r="K29" s="302">
        <v>6.1259997224892157E-2</v>
      </c>
      <c r="L29" s="302">
        <f t="shared" si="9"/>
        <v>0.33127757190270141</v>
      </c>
      <c r="M29" s="236"/>
      <c r="N29" s="236"/>
    </row>
    <row r="30" spans="1:14" x14ac:dyDescent="0.2">
      <c r="A30" s="237" t="str">
        <f>name!E$8</f>
        <v>Skilled trades occupations</v>
      </c>
      <c r="B30" s="302">
        <v>0.95317611436704153</v>
      </c>
      <c r="C30" s="302">
        <v>2.1867243291482827</v>
      </c>
      <c r="D30" s="302">
        <f t="shared" si="7"/>
        <v>3.1399004435153244</v>
      </c>
      <c r="E30" s="303"/>
      <c r="F30" s="302">
        <v>0.65251898891125959</v>
      </c>
      <c r="G30" s="302">
        <v>1.8386347331851545</v>
      </c>
      <c r="H30" s="302">
        <f t="shared" si="8"/>
        <v>2.4911537220964139</v>
      </c>
      <c r="I30" s="303"/>
      <c r="J30" s="302">
        <v>0.81771855523254389</v>
      </c>
      <c r="K30" s="302">
        <v>1.7970128412781436</v>
      </c>
      <c r="L30" s="302">
        <f t="shared" si="9"/>
        <v>2.6147313965106873</v>
      </c>
      <c r="M30" s="236"/>
      <c r="N30" s="236"/>
    </row>
    <row r="31" spans="1:14" x14ac:dyDescent="0.2">
      <c r="A31" s="237" t="str">
        <f>name!E$9</f>
        <v>Caring, leisure and other service occupations</v>
      </c>
      <c r="B31" s="302">
        <v>0.18519328602669932</v>
      </c>
      <c r="C31" s="302">
        <v>9.1159547719842207E-2</v>
      </c>
      <c r="D31" s="302">
        <f t="shared" si="7"/>
        <v>0.27635283374654152</v>
      </c>
      <c r="E31" s="303"/>
      <c r="F31" s="302">
        <v>0.17671656383220494</v>
      </c>
      <c r="G31" s="302">
        <v>8.3836304746979173E-2</v>
      </c>
      <c r="H31" s="302">
        <f t="shared" si="8"/>
        <v>0.26055286857918414</v>
      </c>
      <c r="I31" s="303"/>
      <c r="J31" s="302">
        <v>0.15999144283135158</v>
      </c>
      <c r="K31" s="302">
        <v>9.8347081205873099E-2</v>
      </c>
      <c r="L31" s="302">
        <f t="shared" si="9"/>
        <v>0.25833852403722468</v>
      </c>
      <c r="M31" s="236"/>
      <c r="N31" s="236"/>
    </row>
    <row r="32" spans="1:14" x14ac:dyDescent="0.2">
      <c r="A32" s="237" t="str">
        <f>name!E$10</f>
        <v>Sales and customer service occupations</v>
      </c>
      <c r="B32" s="302">
        <v>0.10150374264151533</v>
      </c>
      <c r="C32" s="302">
        <v>9.11074851816287E-2</v>
      </c>
      <c r="D32" s="302">
        <f t="shared" si="7"/>
        <v>0.19261122782314405</v>
      </c>
      <c r="E32" s="303"/>
      <c r="F32" s="302">
        <v>9.6601993853630067E-2</v>
      </c>
      <c r="G32" s="302">
        <v>6.2854108960392119E-2</v>
      </c>
      <c r="H32" s="302">
        <f t="shared" si="8"/>
        <v>0.15945610281402217</v>
      </c>
      <c r="I32" s="303"/>
      <c r="J32" s="302">
        <v>8.4989378720251724E-2</v>
      </c>
      <c r="K32" s="302">
        <v>7.5614455227294708E-2</v>
      </c>
      <c r="L32" s="302">
        <f t="shared" si="9"/>
        <v>0.16060383394754643</v>
      </c>
      <c r="M32" s="236"/>
      <c r="N32" s="236"/>
    </row>
    <row r="33" spans="1:18" x14ac:dyDescent="0.2">
      <c r="A33" s="237" t="str">
        <f>name!E$11</f>
        <v>Process, plant and machine operatives</v>
      </c>
      <c r="B33" s="302">
        <v>7.5873385273910424E-2</v>
      </c>
      <c r="C33" s="302">
        <v>0.26590387886368216</v>
      </c>
      <c r="D33" s="302">
        <f t="shared" si="7"/>
        <v>0.34177726413759257</v>
      </c>
      <c r="E33" s="303"/>
      <c r="F33" s="302">
        <v>7.0325081790613198E-2</v>
      </c>
      <c r="G33" s="302">
        <v>0.19014127845629145</v>
      </c>
      <c r="H33" s="302">
        <f t="shared" si="8"/>
        <v>0.26046636024690462</v>
      </c>
      <c r="I33" s="303"/>
      <c r="J33" s="302">
        <v>7.102686725910573E-2</v>
      </c>
      <c r="K33" s="302">
        <v>0.20506386166632934</v>
      </c>
      <c r="L33" s="302">
        <f t="shared" si="9"/>
        <v>0.27609072892543507</v>
      </c>
      <c r="M33" s="236"/>
      <c r="N33" s="236"/>
    </row>
    <row r="34" spans="1:18" x14ac:dyDescent="0.2">
      <c r="A34" s="237" t="str">
        <f>name!E$12</f>
        <v>Elementary occupations</v>
      </c>
      <c r="B34" s="302">
        <v>0.31321834013423927</v>
      </c>
      <c r="C34" s="302">
        <v>0.66593601031937877</v>
      </c>
      <c r="D34" s="302">
        <f t="shared" si="7"/>
        <v>0.97915435045361798</v>
      </c>
      <c r="E34" s="303"/>
      <c r="F34" s="302">
        <v>0.25206276807847505</v>
      </c>
      <c r="G34" s="302">
        <v>0.44170848044217925</v>
      </c>
      <c r="H34" s="302">
        <f t="shared" si="8"/>
        <v>0.6937712485206543</v>
      </c>
      <c r="I34" s="303"/>
      <c r="J34" s="302">
        <v>0.21293360128191791</v>
      </c>
      <c r="K34" s="302">
        <v>0.33282037117103763</v>
      </c>
      <c r="L34" s="302">
        <f t="shared" si="9"/>
        <v>0.54575397245295554</v>
      </c>
      <c r="M34" s="236"/>
      <c r="N34" s="236"/>
    </row>
    <row r="35" spans="1:18" x14ac:dyDescent="0.2">
      <c r="A35" s="237"/>
      <c r="B35" s="302"/>
      <c r="C35" s="302"/>
      <c r="D35" s="302"/>
      <c r="E35" s="303"/>
      <c r="F35" s="302"/>
      <c r="G35" s="302"/>
      <c r="H35" s="302"/>
      <c r="I35" s="303"/>
      <c r="J35" s="302"/>
      <c r="K35" s="302"/>
      <c r="L35" s="302"/>
      <c r="M35" s="236"/>
      <c r="N35" s="312"/>
      <c r="R35" s="313"/>
    </row>
    <row r="36" spans="1:18" x14ac:dyDescent="0.2">
      <c r="A36" s="244" t="s">
        <v>33</v>
      </c>
      <c r="B36" s="311">
        <f>SUM(B26:B34)</f>
        <v>2.6061984971900847</v>
      </c>
      <c r="C36" s="311">
        <f t="shared" ref="C36:K36" si="10">SUM(C26:C34)</f>
        <v>4.1468015028099083</v>
      </c>
      <c r="D36" s="311">
        <f t="shared" si="10"/>
        <v>6.7529999999999912</v>
      </c>
      <c r="E36" s="311"/>
      <c r="F36" s="311">
        <f t="shared" si="10"/>
        <v>2.3752144903830721</v>
      </c>
      <c r="G36" s="311">
        <f t="shared" si="10"/>
        <v>3.5277855096169439</v>
      </c>
      <c r="H36" s="311">
        <f t="shared" si="10"/>
        <v>5.9030000000000165</v>
      </c>
      <c r="I36" s="311"/>
      <c r="J36" s="311">
        <f t="shared" si="10"/>
        <v>2.4014526305705215</v>
      </c>
      <c r="K36" s="311">
        <f t="shared" si="10"/>
        <v>3.882547369429473</v>
      </c>
      <c r="L36" s="311">
        <f>SUM(L26:L34)</f>
        <v>6.2839999999999927</v>
      </c>
      <c r="M36" s="236"/>
      <c r="N36" s="236"/>
    </row>
    <row r="37" spans="1:18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40"/>
      <c r="M37" s="236"/>
      <c r="N37" s="236"/>
    </row>
    <row r="38" spans="1:18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56" t="s">
        <v>36</v>
      </c>
      <c r="M38" s="236"/>
      <c r="N38" s="236"/>
    </row>
    <row r="39" spans="1:18" x14ac:dyDescent="0.2">
      <c r="A39" s="242"/>
      <c r="B39" s="250"/>
      <c r="C39" s="250"/>
      <c r="D39" s="250"/>
      <c r="E39" s="250"/>
      <c r="F39" s="250"/>
      <c r="G39" s="250"/>
      <c r="H39" s="250"/>
      <c r="I39" s="250"/>
      <c r="J39" s="250"/>
      <c r="K39" s="250"/>
      <c r="L39" s="236"/>
      <c r="M39" s="236"/>
      <c r="N39" s="236"/>
    </row>
    <row r="40" spans="1:18" x14ac:dyDescent="0.2">
      <c r="A40" s="241" t="str">
        <f>name!B5</f>
        <v>Mining and quarrying</v>
      </c>
      <c r="B40" s="375">
        <f>B$6</f>
        <v>2015</v>
      </c>
      <c r="C40" s="375"/>
      <c r="D40" s="375"/>
      <c r="E40" s="253"/>
      <c r="F40" s="375">
        <f>F23</f>
        <v>2020</v>
      </c>
      <c r="G40" s="375"/>
      <c r="H40" s="375"/>
      <c r="I40" s="253"/>
      <c r="J40" s="375">
        <f>J23</f>
        <v>2035</v>
      </c>
      <c r="K40" s="375"/>
      <c r="L40" s="375"/>
      <c r="M40" s="236"/>
      <c r="N40" s="236"/>
    </row>
    <row r="41" spans="1:18" x14ac:dyDescent="0.2">
      <c r="A41" s="254"/>
      <c r="B41" s="255" t="s">
        <v>361</v>
      </c>
      <c r="C41" s="255" t="s">
        <v>362</v>
      </c>
      <c r="D41" s="255" t="s">
        <v>33</v>
      </c>
      <c r="E41" s="255"/>
      <c r="F41" s="255" t="s">
        <v>361</v>
      </c>
      <c r="G41" s="255" t="s">
        <v>362</v>
      </c>
      <c r="H41" s="255" t="s">
        <v>33</v>
      </c>
      <c r="I41" s="255"/>
      <c r="J41" s="255" t="s">
        <v>361</v>
      </c>
      <c r="K41" s="255" t="s">
        <v>362</v>
      </c>
      <c r="L41" s="255" t="s">
        <v>33</v>
      </c>
      <c r="M41" s="236"/>
      <c r="N41" s="236"/>
    </row>
    <row r="42" spans="1:18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  <c r="N42" s="236"/>
    </row>
    <row r="43" spans="1:18" x14ac:dyDescent="0.2">
      <c r="A43" s="237" t="str">
        <f>name!E$4</f>
        <v>Managers, directors and senior officials</v>
      </c>
      <c r="B43" s="302">
        <v>2.5755948132946643E-3</v>
      </c>
      <c r="C43" s="302">
        <v>4.9745826302978073E-2</v>
      </c>
      <c r="D43" s="302">
        <f>SUM(B43:C43)</f>
        <v>5.2321421116272734E-2</v>
      </c>
      <c r="E43" s="303"/>
      <c r="F43" s="302">
        <v>5.9083610006438071E-3</v>
      </c>
      <c r="G43" s="302">
        <v>0.11136489651087393</v>
      </c>
      <c r="H43" s="302">
        <f>SUM(F43:G43)</f>
        <v>0.11727325751151774</v>
      </c>
      <c r="I43" s="303"/>
      <c r="J43" s="302">
        <v>5.8240997473490569E-3</v>
      </c>
      <c r="K43" s="302">
        <v>9.7889421535594351E-2</v>
      </c>
      <c r="L43" s="302">
        <f>SUM(J43:K43)</f>
        <v>0.10371352128294341</v>
      </c>
      <c r="M43" s="236"/>
      <c r="N43" s="236"/>
    </row>
    <row r="44" spans="1:18" x14ac:dyDescent="0.2">
      <c r="A44" s="237" t="str">
        <f>name!E$5</f>
        <v>Professional occupations</v>
      </c>
      <c r="B44" s="302">
        <v>3.5216349014274653E-3</v>
      </c>
      <c r="C44" s="302">
        <v>2.9186416036882556E-2</v>
      </c>
      <c r="D44" s="302">
        <f t="shared" ref="D44:D51" si="11">SUM(B44:C44)</f>
        <v>3.2708050938310022E-2</v>
      </c>
      <c r="E44" s="303"/>
      <c r="F44" s="302">
        <v>8.8819979640071406E-3</v>
      </c>
      <c r="G44" s="302">
        <v>5.7605278947128281E-2</v>
      </c>
      <c r="H44" s="302">
        <f t="shared" ref="H44:H51" si="12">SUM(F44:G44)</f>
        <v>6.6487276911135429E-2</v>
      </c>
      <c r="I44" s="303"/>
      <c r="J44" s="302">
        <v>8.1755097537172545E-3</v>
      </c>
      <c r="K44" s="302">
        <v>3.6773360050471653E-2</v>
      </c>
      <c r="L44" s="302">
        <f t="shared" ref="L44:L51" si="13">SUM(J44:K44)</f>
        <v>4.4948869804188905E-2</v>
      </c>
      <c r="M44" s="236"/>
      <c r="N44" s="236"/>
    </row>
    <row r="45" spans="1:18" x14ac:dyDescent="0.2">
      <c r="A45" s="237" t="str">
        <f>name!E$6</f>
        <v>Associate professional occupations</v>
      </c>
      <c r="B45" s="302">
        <v>4.1918010849674057E-3</v>
      </c>
      <c r="C45" s="302">
        <v>1.9479406419229146E-2</v>
      </c>
      <c r="D45" s="302">
        <f t="shared" si="11"/>
        <v>2.3671207504196552E-2</v>
      </c>
      <c r="E45" s="303"/>
      <c r="F45" s="302">
        <v>9.1103164827684678E-3</v>
      </c>
      <c r="G45" s="302">
        <v>3.4905242741251695E-2</v>
      </c>
      <c r="H45" s="302">
        <f t="shared" si="12"/>
        <v>4.4015559224020159E-2</v>
      </c>
      <c r="I45" s="303"/>
      <c r="J45" s="302">
        <v>7.2881082138122116E-3</v>
      </c>
      <c r="K45" s="302">
        <v>2.3359864282837203E-2</v>
      </c>
      <c r="L45" s="302">
        <f t="shared" si="13"/>
        <v>3.0647972496649415E-2</v>
      </c>
      <c r="M45" s="236"/>
      <c r="N45" s="236"/>
    </row>
    <row r="46" spans="1:18" x14ac:dyDescent="0.2">
      <c r="A46" s="237" t="str">
        <f>name!E$7</f>
        <v>Administrative and secretarial occupations</v>
      </c>
      <c r="B46" s="302">
        <v>8.9062010739959455E-3</v>
      </c>
      <c r="C46" s="302">
        <v>1.4691916393719204E-2</v>
      </c>
      <c r="D46" s="302">
        <f t="shared" si="11"/>
        <v>2.359811746771515E-2</v>
      </c>
      <c r="E46" s="303"/>
      <c r="F46" s="302">
        <v>1.570872927183882E-2</v>
      </c>
      <c r="G46" s="302">
        <v>2.4609485122896246E-2</v>
      </c>
      <c r="H46" s="302">
        <f t="shared" si="12"/>
        <v>4.0318214394735069E-2</v>
      </c>
      <c r="I46" s="303"/>
      <c r="J46" s="302">
        <v>8.6152544788850594E-3</v>
      </c>
      <c r="K46" s="302">
        <v>2.2794492078221158E-2</v>
      </c>
      <c r="L46" s="302">
        <f t="shared" si="13"/>
        <v>3.1409746557106218E-2</v>
      </c>
      <c r="M46" s="236"/>
      <c r="N46" s="236"/>
    </row>
    <row r="47" spans="1:18" x14ac:dyDescent="0.2">
      <c r="A47" s="237" t="str">
        <f>name!E$8</f>
        <v>Skilled trades occupations</v>
      </c>
      <c r="B47" s="302">
        <v>7.037355292088325E-4</v>
      </c>
      <c r="C47" s="302">
        <v>5.3016152777898271E-2</v>
      </c>
      <c r="D47" s="302">
        <f t="shared" si="11"/>
        <v>5.3719888307107104E-2</v>
      </c>
      <c r="E47" s="303"/>
      <c r="F47" s="302">
        <v>1.1601657694651458E-3</v>
      </c>
      <c r="G47" s="302">
        <v>7.5332566576032378E-2</v>
      </c>
      <c r="H47" s="302">
        <f>SUM(F47:G47)</f>
        <v>7.6492732345497527E-2</v>
      </c>
      <c r="I47" s="303"/>
      <c r="J47" s="302">
        <v>1.5533171003925899E-3</v>
      </c>
      <c r="K47" s="302">
        <v>3.9142842042337117E-2</v>
      </c>
      <c r="L47" s="302">
        <f t="shared" si="13"/>
        <v>4.0696159142729706E-2</v>
      </c>
      <c r="M47" s="236"/>
      <c r="N47" s="236"/>
    </row>
    <row r="48" spans="1:18" x14ac:dyDescent="0.2">
      <c r="A48" s="237" t="str">
        <f>name!E$9</f>
        <v>Caring, leisure and other service occupations</v>
      </c>
      <c r="B48" s="302">
        <v>1.7908272994720897E-3</v>
      </c>
      <c r="C48" s="302">
        <v>3.5328106058090071E-3</v>
      </c>
      <c r="D48" s="302">
        <f t="shared" si="11"/>
        <v>5.3236379052810966E-3</v>
      </c>
      <c r="E48" s="303"/>
      <c r="F48" s="302">
        <v>3.1499784115321004E-3</v>
      </c>
      <c r="G48" s="302">
        <v>3.3462794312050987E-3</v>
      </c>
      <c r="H48" s="302">
        <f t="shared" si="12"/>
        <v>6.4962578427371995E-3</v>
      </c>
      <c r="I48" s="303"/>
      <c r="J48" s="302">
        <v>3.6710503453541142E-3</v>
      </c>
      <c r="K48" s="302">
        <v>3.6274365018049599E-3</v>
      </c>
      <c r="L48" s="302">
        <f t="shared" si="13"/>
        <v>7.2984868471590737E-3</v>
      </c>
      <c r="M48" s="236"/>
      <c r="N48" s="236"/>
    </row>
    <row r="49" spans="1:14" x14ac:dyDescent="0.2">
      <c r="A49" s="237" t="str">
        <f>name!E$10</f>
        <v>Sales and customer service occupations</v>
      </c>
      <c r="B49" s="302">
        <v>3.0415358182063171E-3</v>
      </c>
      <c r="C49" s="302">
        <v>7.406412713167226E-3</v>
      </c>
      <c r="D49" s="302">
        <f t="shared" si="11"/>
        <v>1.0447948531373543E-2</v>
      </c>
      <c r="E49" s="303"/>
      <c r="F49" s="302">
        <v>4.8945270728114271E-3</v>
      </c>
      <c r="G49" s="302">
        <v>8.3334456292527715E-3</v>
      </c>
      <c r="H49" s="302">
        <f t="shared" si="12"/>
        <v>1.3227972702064199E-2</v>
      </c>
      <c r="I49" s="303"/>
      <c r="J49" s="302">
        <v>3.5546173831290744E-3</v>
      </c>
      <c r="K49" s="302">
        <v>8.4460782141367926E-3</v>
      </c>
      <c r="L49" s="302">
        <f t="shared" si="13"/>
        <v>1.2000695597265867E-2</v>
      </c>
      <c r="M49" s="236"/>
      <c r="N49" s="236"/>
    </row>
    <row r="50" spans="1:14" x14ac:dyDescent="0.2">
      <c r="A50" s="237" t="str">
        <f>name!E$11</f>
        <v>Process, plant and machine operatives</v>
      </c>
      <c r="B50" s="302">
        <v>4.9595615981887589E-4</v>
      </c>
      <c r="C50" s="302">
        <v>4.9498509905838588E-2</v>
      </c>
      <c r="D50" s="302">
        <f t="shared" si="11"/>
        <v>4.9994466065657467E-2</v>
      </c>
      <c r="E50" s="303"/>
      <c r="F50" s="302">
        <v>6.8957746295325736E-4</v>
      </c>
      <c r="G50" s="302">
        <v>8.0619608217005659E-2</v>
      </c>
      <c r="H50" s="302">
        <f t="shared" si="12"/>
        <v>8.1309185679958915E-2</v>
      </c>
      <c r="I50" s="303"/>
      <c r="J50" s="302">
        <v>8.9195797642085148E-4</v>
      </c>
      <c r="K50" s="302">
        <v>8.0606225610810919E-2</v>
      </c>
      <c r="L50" s="302">
        <f t="shared" si="13"/>
        <v>8.1498183587231765E-2</v>
      </c>
      <c r="M50" s="236"/>
      <c r="N50" s="236"/>
    </row>
    <row r="51" spans="1:14" x14ac:dyDescent="0.2">
      <c r="A51" s="237" t="str">
        <f>name!E$12</f>
        <v>Elementary occupations</v>
      </c>
      <c r="B51" s="302">
        <v>2.5981286503067207E-3</v>
      </c>
      <c r="C51" s="302">
        <v>8.6171335137792231E-3</v>
      </c>
      <c r="D51" s="302">
        <f t="shared" si="11"/>
        <v>1.1215262164085943E-2</v>
      </c>
      <c r="E51" s="303"/>
      <c r="F51" s="302">
        <v>3.7471716462555509E-3</v>
      </c>
      <c r="G51" s="302">
        <v>1.1632371742078073E-2</v>
      </c>
      <c r="H51" s="302">
        <f t="shared" si="12"/>
        <v>1.5379543388333625E-2</v>
      </c>
      <c r="I51" s="303"/>
      <c r="J51" s="302">
        <v>2.8543028226458806E-3</v>
      </c>
      <c r="K51" s="302">
        <v>1.0932061862079682E-2</v>
      </c>
      <c r="L51" s="302">
        <f t="shared" si="13"/>
        <v>1.3786364684725563E-2</v>
      </c>
      <c r="M51" s="236"/>
      <c r="N51" s="236"/>
    </row>
    <row r="52" spans="1:14" x14ac:dyDescent="0.2">
      <c r="A52" s="237"/>
      <c r="B52" s="302"/>
      <c r="C52" s="302"/>
      <c r="D52" s="302"/>
      <c r="E52" s="303"/>
      <c r="F52" s="302"/>
      <c r="G52" s="302"/>
      <c r="H52" s="302"/>
      <c r="I52" s="303"/>
      <c r="J52" s="302"/>
      <c r="K52" s="302"/>
      <c r="L52" s="302"/>
      <c r="M52" s="236"/>
      <c r="N52" s="236"/>
    </row>
    <row r="53" spans="1:14" x14ac:dyDescent="0.2">
      <c r="A53" s="244" t="s">
        <v>33</v>
      </c>
      <c r="B53" s="311">
        <f>SUM(B43:B51)</f>
        <v>2.7825415330698315E-2</v>
      </c>
      <c r="C53" s="311">
        <f t="shared" ref="C53:L53" si="14">SUM(C43:C51)</f>
        <v>0.23517458466930127</v>
      </c>
      <c r="D53" s="311">
        <f t="shared" si="14"/>
        <v>0.26299999999999957</v>
      </c>
      <c r="E53" s="311"/>
      <c r="F53" s="311">
        <f t="shared" si="14"/>
        <v>5.3250825082275716E-2</v>
      </c>
      <c r="G53" s="311">
        <f t="shared" si="14"/>
        <v>0.40774917491772411</v>
      </c>
      <c r="H53" s="311">
        <f t="shared" si="14"/>
        <v>0.46099999999999997</v>
      </c>
      <c r="I53" s="311"/>
      <c r="J53" s="311">
        <f t="shared" si="14"/>
        <v>4.2428217821706089E-2</v>
      </c>
      <c r="K53" s="311">
        <f t="shared" si="14"/>
        <v>0.32357178217829385</v>
      </c>
      <c r="L53" s="311">
        <f t="shared" si="14"/>
        <v>0.36599999999999988</v>
      </c>
      <c r="M53" s="236"/>
      <c r="N53" s="236"/>
    </row>
    <row r="54" spans="1:14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  <c r="N54" s="236"/>
    </row>
    <row r="55" spans="1:14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56" t="s">
        <v>36</v>
      </c>
      <c r="M55" s="236"/>
      <c r="N55" s="236"/>
    </row>
    <row r="56" spans="1:14" x14ac:dyDescent="0.2">
      <c r="A56" s="242"/>
      <c r="B56" s="250"/>
      <c r="C56" s="250"/>
      <c r="D56" s="250"/>
      <c r="E56" s="250"/>
      <c r="F56" s="250"/>
      <c r="G56" s="250"/>
      <c r="H56" s="250"/>
      <c r="I56" s="250"/>
      <c r="J56" s="250"/>
      <c r="K56" s="250"/>
      <c r="L56" s="236"/>
      <c r="M56" s="236"/>
      <c r="N56" s="236"/>
    </row>
    <row r="57" spans="1:14" x14ac:dyDescent="0.2">
      <c r="A57" s="241" t="str">
        <f>name!B6</f>
        <v>Food drink and tobacco</v>
      </c>
      <c r="B57" s="375">
        <f>B$6</f>
        <v>2015</v>
      </c>
      <c r="C57" s="375"/>
      <c r="D57" s="375"/>
      <c r="E57" s="253"/>
      <c r="F57" s="375">
        <f>F40</f>
        <v>2020</v>
      </c>
      <c r="G57" s="375"/>
      <c r="H57" s="375"/>
      <c r="I57" s="253"/>
      <c r="J57" s="375">
        <f>J40</f>
        <v>2035</v>
      </c>
      <c r="K57" s="375"/>
      <c r="L57" s="375"/>
      <c r="M57" s="236"/>
      <c r="N57" s="236"/>
    </row>
    <row r="58" spans="1:14" x14ac:dyDescent="0.2">
      <c r="A58" s="254"/>
      <c r="B58" s="255" t="s">
        <v>361</v>
      </c>
      <c r="C58" s="255" t="s">
        <v>362</v>
      </c>
      <c r="D58" s="255" t="s">
        <v>33</v>
      </c>
      <c r="E58" s="255"/>
      <c r="F58" s="255" t="s">
        <v>361</v>
      </c>
      <c r="G58" s="255" t="s">
        <v>362</v>
      </c>
      <c r="H58" s="255" t="s">
        <v>33</v>
      </c>
      <c r="I58" s="255"/>
      <c r="J58" s="255" t="s">
        <v>361</v>
      </c>
      <c r="K58" s="255" t="s">
        <v>362</v>
      </c>
      <c r="L58" s="255" t="s">
        <v>33</v>
      </c>
      <c r="M58" s="236"/>
      <c r="N58" s="236"/>
    </row>
    <row r="59" spans="1:14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  <c r="N59" s="236"/>
    </row>
    <row r="60" spans="1:14" x14ac:dyDescent="0.2">
      <c r="A60" s="237" t="str">
        <f>name!E$4</f>
        <v>Managers, directors and senior officials</v>
      </c>
      <c r="B60" s="302">
        <v>0.1847203851759579</v>
      </c>
      <c r="C60" s="302">
        <v>0.25249306924622361</v>
      </c>
      <c r="D60" s="302">
        <f>SUM(B60:C60)</f>
        <v>0.43721345442218151</v>
      </c>
      <c r="E60" s="303"/>
      <c r="F60" s="302">
        <v>0.24453957708302967</v>
      </c>
      <c r="G60" s="302">
        <v>0.36596107818475404</v>
      </c>
      <c r="H60" s="302">
        <f>SUM(F60:G60)</f>
        <v>0.61050065526778374</v>
      </c>
      <c r="I60" s="303"/>
      <c r="J60" s="302">
        <v>0.35029868362481775</v>
      </c>
      <c r="K60" s="302">
        <v>0.43124377120135093</v>
      </c>
      <c r="L60" s="302">
        <f>SUM(J60:K60)</f>
        <v>0.78154245482616869</v>
      </c>
      <c r="M60" s="236"/>
      <c r="N60" s="236"/>
    </row>
    <row r="61" spans="1:14" x14ac:dyDescent="0.2">
      <c r="A61" s="237" t="str">
        <f>name!E$5</f>
        <v>Professional occupations</v>
      </c>
      <c r="B61" s="302">
        <v>0.15262039219842763</v>
      </c>
      <c r="C61" s="302">
        <v>0.19215332434294197</v>
      </c>
      <c r="D61" s="302">
        <f t="shared" ref="D61:D68" si="15">SUM(B61:C61)</f>
        <v>0.34477371654136957</v>
      </c>
      <c r="E61" s="303"/>
      <c r="F61" s="302">
        <v>0.23327111405743903</v>
      </c>
      <c r="G61" s="302">
        <v>0.31505099364134675</v>
      </c>
      <c r="H61" s="302">
        <f t="shared" ref="H61:H68" si="16">SUM(F61:G61)</f>
        <v>0.54832210769878575</v>
      </c>
      <c r="I61" s="303"/>
      <c r="J61" s="302">
        <v>0.34727084517754608</v>
      </c>
      <c r="K61" s="302">
        <v>0.46030688608805709</v>
      </c>
      <c r="L61" s="302">
        <f t="shared" ref="L61:L68" si="17">SUM(J61:K61)</f>
        <v>0.80757773126560317</v>
      </c>
      <c r="M61" s="236"/>
      <c r="N61" s="236"/>
    </row>
    <row r="62" spans="1:14" x14ac:dyDescent="0.2">
      <c r="A62" s="237" t="str">
        <f>name!E$6</f>
        <v>Associate professional occupations</v>
      </c>
      <c r="B62" s="302">
        <v>0.24177917407364838</v>
      </c>
      <c r="C62" s="302">
        <v>0.21328859615820528</v>
      </c>
      <c r="D62" s="302">
        <f t="shared" si="15"/>
        <v>0.45506777023185363</v>
      </c>
      <c r="E62" s="303"/>
      <c r="F62" s="302">
        <v>0.33380086819425053</v>
      </c>
      <c r="G62" s="302">
        <v>0.32169759792598074</v>
      </c>
      <c r="H62" s="302">
        <f t="shared" si="16"/>
        <v>0.65549846612023122</v>
      </c>
      <c r="I62" s="303"/>
      <c r="J62" s="302">
        <v>0.45293655630617385</v>
      </c>
      <c r="K62" s="302">
        <v>0.35772197652133375</v>
      </c>
      <c r="L62" s="302">
        <f t="shared" si="17"/>
        <v>0.81065853282750755</v>
      </c>
      <c r="M62" s="236"/>
      <c r="N62" s="236"/>
    </row>
    <row r="63" spans="1:14" x14ac:dyDescent="0.2">
      <c r="A63" s="237" t="str">
        <f>name!E$7</f>
        <v>Administrative and secretarial occupations</v>
      </c>
      <c r="B63" s="302">
        <v>0.25128663907663407</v>
      </c>
      <c r="C63" s="302">
        <v>0.12922021235891559</v>
      </c>
      <c r="D63" s="302">
        <f t="shared" si="15"/>
        <v>0.38050685143554963</v>
      </c>
      <c r="E63" s="303"/>
      <c r="F63" s="302">
        <v>0.30768273204017893</v>
      </c>
      <c r="G63" s="302">
        <v>0.18034991422423827</v>
      </c>
      <c r="H63" s="302">
        <f t="shared" si="16"/>
        <v>0.48803264626441722</v>
      </c>
      <c r="I63" s="303"/>
      <c r="J63" s="302">
        <v>0.30937018021937673</v>
      </c>
      <c r="K63" s="302">
        <v>0.20301171824946276</v>
      </c>
      <c r="L63" s="302">
        <f t="shared" si="17"/>
        <v>0.51238189846883953</v>
      </c>
      <c r="M63" s="236"/>
      <c r="N63" s="236"/>
    </row>
    <row r="64" spans="1:14" x14ac:dyDescent="0.2">
      <c r="A64" s="237" t="str">
        <f>name!E$8</f>
        <v>Skilled trades occupations</v>
      </c>
      <c r="B64" s="302">
        <v>0.15920805034905791</v>
      </c>
      <c r="C64" s="302">
        <v>0.35338106737208375</v>
      </c>
      <c r="D64" s="302">
        <f t="shared" si="15"/>
        <v>0.51258911772114168</v>
      </c>
      <c r="E64" s="303"/>
      <c r="F64" s="302">
        <v>0.13668537869941735</v>
      </c>
      <c r="G64" s="302">
        <v>0.33177760001904316</v>
      </c>
      <c r="H64" s="302">
        <f t="shared" si="16"/>
        <v>0.46846297871846054</v>
      </c>
      <c r="I64" s="303"/>
      <c r="J64" s="302">
        <v>0.12551265952482349</v>
      </c>
      <c r="K64" s="302">
        <v>0.36623405983389901</v>
      </c>
      <c r="L64" s="302">
        <f t="shared" si="17"/>
        <v>0.49174671935872249</v>
      </c>
      <c r="M64" s="236"/>
      <c r="N64" s="236"/>
    </row>
    <row r="65" spans="1:14" x14ac:dyDescent="0.2">
      <c r="A65" s="237" t="str">
        <f>name!E$9</f>
        <v>Caring, leisure and other service occupations</v>
      </c>
      <c r="B65" s="302">
        <v>2.9819105232044354E-2</v>
      </c>
      <c r="C65" s="302">
        <v>1.6507830496265568E-2</v>
      </c>
      <c r="D65" s="302">
        <f t="shared" si="15"/>
        <v>4.6326935728309926E-2</v>
      </c>
      <c r="E65" s="303"/>
      <c r="F65" s="302">
        <v>4.1538408490834816E-2</v>
      </c>
      <c r="G65" s="302">
        <v>2.4405749169018495E-2</v>
      </c>
      <c r="H65" s="302">
        <f t="shared" si="16"/>
        <v>6.5944157659853314E-2</v>
      </c>
      <c r="I65" s="303"/>
      <c r="J65" s="302">
        <v>5.1935123984423889E-2</v>
      </c>
      <c r="K65" s="302">
        <v>3.2917941356281871E-2</v>
      </c>
      <c r="L65" s="302">
        <f t="shared" si="17"/>
        <v>8.4853065340705761E-2</v>
      </c>
      <c r="M65" s="236"/>
      <c r="N65" s="236"/>
    </row>
    <row r="66" spans="1:14" x14ac:dyDescent="0.2">
      <c r="A66" s="237" t="str">
        <f>name!E$10</f>
        <v>Sales and customer service occupations</v>
      </c>
      <c r="B66" s="302">
        <v>0.10394376794464946</v>
      </c>
      <c r="C66" s="302">
        <v>0.11389219321902043</v>
      </c>
      <c r="D66" s="302">
        <f t="shared" si="15"/>
        <v>0.21783596116366988</v>
      </c>
      <c r="E66" s="303"/>
      <c r="F66" s="302">
        <v>0.14780389510725209</v>
      </c>
      <c r="G66" s="302">
        <v>0.14656047122121851</v>
      </c>
      <c r="H66" s="302">
        <f t="shared" si="16"/>
        <v>0.29436436632847063</v>
      </c>
      <c r="I66" s="303"/>
      <c r="J66" s="302">
        <v>0.18700200736201861</v>
      </c>
      <c r="K66" s="302">
        <v>0.19157168359510723</v>
      </c>
      <c r="L66" s="302">
        <f t="shared" si="17"/>
        <v>0.37857369095712584</v>
      </c>
      <c r="M66" s="236"/>
      <c r="N66" s="236"/>
    </row>
    <row r="67" spans="1:14" x14ac:dyDescent="0.2">
      <c r="A67" s="237" t="str">
        <f>name!E$11</f>
        <v>Process, plant and machine operatives</v>
      </c>
      <c r="B67" s="302">
        <v>8.9870090351377302E-2</v>
      </c>
      <c r="C67" s="302">
        <v>0.64097294925477011</v>
      </c>
      <c r="D67" s="302">
        <f t="shared" si="15"/>
        <v>0.73084303960614738</v>
      </c>
      <c r="E67" s="303"/>
      <c r="F67" s="302">
        <v>9.4899868950087493E-2</v>
      </c>
      <c r="G67" s="302">
        <v>0.64990366623431262</v>
      </c>
      <c r="H67" s="302">
        <f t="shared" si="16"/>
        <v>0.74480353518440012</v>
      </c>
      <c r="I67" s="303"/>
      <c r="J67" s="302">
        <v>0.18731870439802742</v>
      </c>
      <c r="K67" s="302">
        <v>0.78536634223836599</v>
      </c>
      <c r="L67" s="302">
        <f t="shared" si="17"/>
        <v>0.97268504663639344</v>
      </c>
      <c r="M67" s="236"/>
      <c r="N67" s="236"/>
    </row>
    <row r="68" spans="1:14" x14ac:dyDescent="0.2">
      <c r="A68" s="237" t="str">
        <f>name!E$12</f>
        <v>Elementary occupations</v>
      </c>
      <c r="B68" s="302">
        <v>0.23342220355496068</v>
      </c>
      <c r="C68" s="302">
        <v>0.28842094959481412</v>
      </c>
      <c r="D68" s="302">
        <f t="shared" si="15"/>
        <v>0.52184315314977481</v>
      </c>
      <c r="E68" s="303"/>
      <c r="F68" s="302">
        <v>0.25747568321876602</v>
      </c>
      <c r="G68" s="302">
        <v>0.29359540353884228</v>
      </c>
      <c r="H68" s="302">
        <f t="shared" si="16"/>
        <v>0.5510710867576083</v>
      </c>
      <c r="I68" s="303"/>
      <c r="J68" s="302">
        <v>0.30135523938503112</v>
      </c>
      <c r="K68" s="302">
        <v>0.25562562093390928</v>
      </c>
      <c r="L68" s="302">
        <f t="shared" si="17"/>
        <v>0.55698086031894034</v>
      </c>
      <c r="M68" s="236"/>
      <c r="N68" s="236"/>
    </row>
    <row r="69" spans="1:14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  <c r="N69" s="236"/>
    </row>
    <row r="70" spans="1:14" x14ac:dyDescent="0.2">
      <c r="A70" s="244" t="s">
        <v>33</v>
      </c>
      <c r="B70" s="311">
        <f>SUM(B60:B68)</f>
        <v>1.4466698079567579</v>
      </c>
      <c r="C70" s="311">
        <f t="shared" ref="C70:L70" si="18">SUM(C60:C68)</f>
        <v>2.2003301920432405</v>
      </c>
      <c r="D70" s="311">
        <f t="shared" si="18"/>
        <v>3.6469999999999985</v>
      </c>
      <c r="E70" s="311"/>
      <c r="F70" s="311">
        <f t="shared" si="18"/>
        <v>1.7976975258412558</v>
      </c>
      <c r="G70" s="311">
        <f t="shared" si="18"/>
        <v>2.6293024741587545</v>
      </c>
      <c r="H70" s="311">
        <f t="shared" si="18"/>
        <v>4.4270000000000103</v>
      </c>
      <c r="I70" s="311"/>
      <c r="J70" s="311">
        <f t="shared" si="18"/>
        <v>2.3129999999822388</v>
      </c>
      <c r="K70" s="311">
        <f t="shared" si="18"/>
        <v>3.0840000000177681</v>
      </c>
      <c r="L70" s="311">
        <f t="shared" si="18"/>
        <v>5.3970000000000056</v>
      </c>
      <c r="M70" s="236"/>
      <c r="N70" s="236"/>
    </row>
    <row r="71" spans="1:14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  <c r="N71" s="236"/>
    </row>
    <row r="72" spans="1:14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56" t="s">
        <v>36</v>
      </c>
      <c r="M72" s="236"/>
      <c r="N72" s="236"/>
    </row>
    <row r="73" spans="1:14" x14ac:dyDescent="0.2">
      <c r="A73" s="242"/>
      <c r="B73" s="250"/>
      <c r="C73" s="250"/>
      <c r="D73" s="250"/>
      <c r="E73" s="250"/>
      <c r="F73" s="250"/>
      <c r="G73" s="250"/>
      <c r="H73" s="250"/>
      <c r="I73" s="250"/>
      <c r="J73" s="250"/>
      <c r="K73" s="250"/>
      <c r="L73" s="236"/>
      <c r="M73" s="236"/>
      <c r="N73" s="236"/>
    </row>
    <row r="74" spans="1:14" x14ac:dyDescent="0.2">
      <c r="A74" s="241" t="str">
        <f>name!B7</f>
        <v>Engineering</v>
      </c>
      <c r="B74" s="375">
        <f>B$6</f>
        <v>2015</v>
      </c>
      <c r="C74" s="375"/>
      <c r="D74" s="375"/>
      <c r="E74" s="253"/>
      <c r="F74" s="375">
        <f>F57</f>
        <v>2020</v>
      </c>
      <c r="G74" s="375"/>
      <c r="H74" s="375"/>
      <c r="I74" s="253"/>
      <c r="J74" s="375">
        <f>J57</f>
        <v>2035</v>
      </c>
      <c r="K74" s="375"/>
      <c r="L74" s="375"/>
      <c r="M74" s="236"/>
      <c r="N74" s="236"/>
    </row>
    <row r="75" spans="1:14" x14ac:dyDescent="0.2">
      <c r="A75" s="254"/>
      <c r="B75" s="255" t="s">
        <v>361</v>
      </c>
      <c r="C75" s="255" t="s">
        <v>362</v>
      </c>
      <c r="D75" s="255" t="s">
        <v>33</v>
      </c>
      <c r="E75" s="255"/>
      <c r="F75" s="255" t="s">
        <v>361</v>
      </c>
      <c r="G75" s="255" t="s">
        <v>362</v>
      </c>
      <c r="H75" s="255" t="s">
        <v>33</v>
      </c>
      <c r="I75" s="255"/>
      <c r="J75" s="255" t="s">
        <v>361</v>
      </c>
      <c r="K75" s="255" t="s">
        <v>362</v>
      </c>
      <c r="L75" s="255" t="s">
        <v>33</v>
      </c>
      <c r="M75" s="236"/>
      <c r="N75" s="236"/>
    </row>
    <row r="76" spans="1:14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  <c r="N76" s="236"/>
    </row>
    <row r="77" spans="1:14" x14ac:dyDescent="0.2">
      <c r="A77" s="237" t="str">
        <f>name!E$4</f>
        <v>Managers, directors and senior officials</v>
      </c>
      <c r="B77" s="302">
        <v>0.34790066178945578</v>
      </c>
      <c r="C77" s="302">
        <v>1.7553269353026715</v>
      </c>
      <c r="D77" s="302">
        <f>SUM(B77:C77)</f>
        <v>2.1032275970921273</v>
      </c>
      <c r="E77" s="303"/>
      <c r="F77" s="302">
        <v>0.46875620316838573</v>
      </c>
      <c r="G77" s="302">
        <v>1.958165073545054</v>
      </c>
      <c r="H77" s="302">
        <f>SUM(F77:G77)</f>
        <v>2.4269212767134398</v>
      </c>
      <c r="I77" s="303"/>
      <c r="J77" s="302">
        <v>0.37944619777195759</v>
      </c>
      <c r="K77" s="302">
        <v>1.5853445483704312</v>
      </c>
      <c r="L77" s="302">
        <f>SUM(J77:K77)</f>
        <v>1.9647907461423888</v>
      </c>
      <c r="M77" s="236"/>
      <c r="N77" s="236"/>
    </row>
    <row r="78" spans="1:14" x14ac:dyDescent="0.2">
      <c r="A78" s="237" t="str">
        <f>name!E$5</f>
        <v>Professional occupations</v>
      </c>
      <c r="B78" s="302">
        <v>0.47672280477504908</v>
      </c>
      <c r="C78" s="302">
        <v>2.3781527305551973</v>
      </c>
      <c r="D78" s="302">
        <f t="shared" ref="D78:D85" si="19">SUM(B78:C78)</f>
        <v>2.8548755353302462</v>
      </c>
      <c r="E78" s="303"/>
      <c r="F78" s="302">
        <v>0.67083851327944644</v>
      </c>
      <c r="G78" s="302">
        <v>3.0535337057007577</v>
      </c>
      <c r="H78" s="302">
        <f t="shared" ref="H78:H85" si="20">SUM(F78:G78)</f>
        <v>3.724372218980204</v>
      </c>
      <c r="I78" s="303"/>
      <c r="J78" s="302">
        <v>0.52123861642308311</v>
      </c>
      <c r="K78" s="302">
        <v>2.6110242009891858</v>
      </c>
      <c r="L78" s="302">
        <f t="shared" ref="L78:L85" si="21">SUM(J78:K78)</f>
        <v>3.1322628174122689</v>
      </c>
      <c r="M78" s="236"/>
      <c r="N78" s="236"/>
    </row>
    <row r="79" spans="1:14" x14ac:dyDescent="0.2">
      <c r="A79" s="237" t="str">
        <f>name!E$6</f>
        <v>Associate professional occupations</v>
      </c>
      <c r="B79" s="302">
        <v>0.48639395543257219</v>
      </c>
      <c r="C79" s="302">
        <v>1.3532721497727715</v>
      </c>
      <c r="D79" s="302">
        <f t="shared" si="19"/>
        <v>1.8396661052053438</v>
      </c>
      <c r="E79" s="303"/>
      <c r="F79" s="302">
        <v>0.58769286321226577</v>
      </c>
      <c r="G79" s="302">
        <v>1.6084058946846063</v>
      </c>
      <c r="H79" s="302">
        <f t="shared" si="20"/>
        <v>2.196098757896872</v>
      </c>
      <c r="I79" s="303"/>
      <c r="J79" s="302">
        <v>0.44167962799408078</v>
      </c>
      <c r="K79" s="302">
        <v>1.1518828297738004</v>
      </c>
      <c r="L79" s="302">
        <f t="shared" si="21"/>
        <v>1.5935624577678813</v>
      </c>
      <c r="M79" s="236"/>
      <c r="N79" s="236"/>
    </row>
    <row r="80" spans="1:14" x14ac:dyDescent="0.2">
      <c r="A80" s="237" t="str">
        <f>name!E$7</f>
        <v>Administrative and secretarial occupations</v>
      </c>
      <c r="B80" s="302">
        <v>0.69977027049130835</v>
      </c>
      <c r="C80" s="302">
        <v>0.25864170560302002</v>
      </c>
      <c r="D80" s="302">
        <f t="shared" si="19"/>
        <v>0.95841197609432838</v>
      </c>
      <c r="E80" s="303"/>
      <c r="F80" s="302">
        <v>0.71714831035969495</v>
      </c>
      <c r="G80" s="302">
        <v>0.28945777834996955</v>
      </c>
      <c r="H80" s="302">
        <f t="shared" si="20"/>
        <v>1.0066060887096646</v>
      </c>
      <c r="I80" s="303"/>
      <c r="J80" s="302">
        <v>0.39334653731410257</v>
      </c>
      <c r="K80" s="302">
        <v>0.25892402976504758</v>
      </c>
      <c r="L80" s="302">
        <f t="shared" si="21"/>
        <v>0.65227056707915021</v>
      </c>
      <c r="M80" s="236"/>
      <c r="N80" s="236"/>
    </row>
    <row r="81" spans="1:14" x14ac:dyDescent="0.2">
      <c r="A81" s="237" t="str">
        <f>name!E$8</f>
        <v>Skilled trades occupations</v>
      </c>
      <c r="B81" s="302">
        <v>9.9175043299915E-2</v>
      </c>
      <c r="C81" s="302">
        <v>1.863141260786904</v>
      </c>
      <c r="D81" s="302">
        <f t="shared" si="19"/>
        <v>1.962316304086819</v>
      </c>
      <c r="E81" s="303"/>
      <c r="F81" s="302">
        <v>0.11346874022320071</v>
      </c>
      <c r="G81" s="302">
        <v>1.4421317615882607</v>
      </c>
      <c r="H81" s="302">
        <f t="shared" si="20"/>
        <v>1.5556005018114614</v>
      </c>
      <c r="I81" s="303"/>
      <c r="J81" s="302">
        <v>0.13614860907824858</v>
      </c>
      <c r="K81" s="302">
        <v>0.97581831585038403</v>
      </c>
      <c r="L81" s="302">
        <f t="shared" si="21"/>
        <v>1.1119669249286326</v>
      </c>
      <c r="M81" s="236"/>
      <c r="N81" s="236"/>
    </row>
    <row r="82" spans="1:14" x14ac:dyDescent="0.2">
      <c r="A82" s="237" t="str">
        <f>name!E$9</f>
        <v>Caring, leisure and other service occupations</v>
      </c>
      <c r="B82" s="302">
        <v>0.1919618336206633</v>
      </c>
      <c r="C82" s="302">
        <v>3.7955052643922925E-2</v>
      </c>
      <c r="D82" s="302">
        <f t="shared" si="19"/>
        <v>0.22991688626458623</v>
      </c>
      <c r="E82" s="303"/>
      <c r="F82" s="302">
        <v>0.17302927883614841</v>
      </c>
      <c r="G82" s="302">
        <v>4.0255696835055609E-2</v>
      </c>
      <c r="H82" s="302">
        <f t="shared" si="20"/>
        <v>0.21328497567120402</v>
      </c>
      <c r="I82" s="303"/>
      <c r="J82" s="302">
        <v>0.14608904590715224</v>
      </c>
      <c r="K82" s="302">
        <v>3.8716578923992148E-2</v>
      </c>
      <c r="L82" s="302">
        <f t="shared" si="21"/>
        <v>0.18480562483114438</v>
      </c>
      <c r="M82" s="236"/>
      <c r="N82" s="236"/>
    </row>
    <row r="83" spans="1:14" x14ac:dyDescent="0.2">
      <c r="A83" s="237" t="str">
        <f>name!E$10</f>
        <v>Sales and customer service occupations</v>
      </c>
      <c r="B83" s="302">
        <v>0.16014105005770829</v>
      </c>
      <c r="C83" s="302">
        <v>0.21124542301016894</v>
      </c>
      <c r="D83" s="302">
        <f t="shared" si="19"/>
        <v>0.3713864730678772</v>
      </c>
      <c r="E83" s="303"/>
      <c r="F83" s="302">
        <v>0.16766944948209284</v>
      </c>
      <c r="G83" s="302">
        <v>0.20437874049116334</v>
      </c>
      <c r="H83" s="302">
        <f t="shared" si="20"/>
        <v>0.37204818997325617</v>
      </c>
      <c r="I83" s="303"/>
      <c r="J83" s="302">
        <v>0.12661130640946655</v>
      </c>
      <c r="K83" s="302">
        <v>0.19896781414686773</v>
      </c>
      <c r="L83" s="302">
        <f t="shared" si="21"/>
        <v>0.32557912055633431</v>
      </c>
      <c r="M83" s="236"/>
      <c r="N83" s="236"/>
    </row>
    <row r="84" spans="1:14" x14ac:dyDescent="0.2">
      <c r="A84" s="237" t="str">
        <f>name!E$11</f>
        <v>Process, plant and machine operatives</v>
      </c>
      <c r="B84" s="302">
        <v>0.20380762961029111</v>
      </c>
      <c r="C84" s="302">
        <v>0.60228775177300187</v>
      </c>
      <c r="D84" s="302">
        <f t="shared" si="19"/>
        <v>0.80609538138329295</v>
      </c>
      <c r="E84" s="303"/>
      <c r="F84" s="302">
        <v>0.17634490031921896</v>
      </c>
      <c r="G84" s="302">
        <v>0.45301506979974532</v>
      </c>
      <c r="H84" s="302">
        <f t="shared" si="20"/>
        <v>0.62935997011896427</v>
      </c>
      <c r="I84" s="303"/>
      <c r="J84" s="302">
        <v>0.11770678202474814</v>
      </c>
      <c r="K84" s="302">
        <v>0.38963821071037802</v>
      </c>
      <c r="L84" s="302">
        <f t="shared" si="21"/>
        <v>0.50734499273512612</v>
      </c>
      <c r="M84" s="236"/>
      <c r="N84" s="236"/>
    </row>
    <row r="85" spans="1:14" x14ac:dyDescent="0.2">
      <c r="A85" s="237" t="str">
        <f>name!E$12</f>
        <v>Elementary occupations</v>
      </c>
      <c r="B85" s="302">
        <v>0.12022735065774015</v>
      </c>
      <c r="C85" s="302">
        <v>0.30087639081763667</v>
      </c>
      <c r="D85" s="302">
        <f t="shared" si="19"/>
        <v>0.42110374147537682</v>
      </c>
      <c r="E85" s="303"/>
      <c r="F85" s="302">
        <v>9.9517562631594197E-2</v>
      </c>
      <c r="G85" s="302">
        <v>0.22219045749334304</v>
      </c>
      <c r="H85" s="302">
        <f t="shared" si="20"/>
        <v>0.32170802012493727</v>
      </c>
      <c r="I85" s="303"/>
      <c r="J85" s="302">
        <v>6.0651002875632534E-2</v>
      </c>
      <c r="K85" s="302">
        <v>0.13076574567147334</v>
      </c>
      <c r="L85" s="302">
        <f t="shared" si="21"/>
        <v>0.19141674854710589</v>
      </c>
      <c r="M85" s="236"/>
      <c r="N85" s="236"/>
    </row>
    <row r="86" spans="1:14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  <c r="N86" s="236"/>
    </row>
    <row r="87" spans="1:14" x14ac:dyDescent="0.2">
      <c r="A87" s="244" t="s">
        <v>33</v>
      </c>
      <c r="B87" s="311">
        <f>SUM(B77:B85)</f>
        <v>2.786100599734703</v>
      </c>
      <c r="C87" s="311">
        <f t="shared" ref="C87:D87" si="22">SUM(C77:C85)</f>
        <v>8.7608994002652949</v>
      </c>
      <c r="D87" s="311">
        <f t="shared" si="22"/>
        <v>11.547000000000001</v>
      </c>
      <c r="E87" s="311"/>
      <c r="F87" s="311">
        <f t="shared" ref="F87:H87" si="23">SUM(F77:F85)</f>
        <v>3.1744658215120483</v>
      </c>
      <c r="G87" s="311">
        <f t="shared" si="23"/>
        <v>9.2715341784879559</v>
      </c>
      <c r="H87" s="311">
        <f t="shared" si="23"/>
        <v>12.446000000000003</v>
      </c>
      <c r="I87" s="311"/>
      <c r="J87" s="311">
        <f t="shared" ref="J87:L87" si="24">SUM(J77:J85)</f>
        <v>2.3229177257984728</v>
      </c>
      <c r="K87" s="311">
        <f t="shared" si="24"/>
        <v>7.3410822742015602</v>
      </c>
      <c r="L87" s="311">
        <f t="shared" si="24"/>
        <v>9.6640000000000317</v>
      </c>
      <c r="M87" s="236"/>
      <c r="N87" s="236"/>
    </row>
    <row r="88" spans="1:14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  <c r="N88" s="236"/>
    </row>
    <row r="89" spans="1:14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56" t="s">
        <v>36</v>
      </c>
      <c r="M89" s="236"/>
      <c r="N89" s="236"/>
    </row>
    <row r="90" spans="1:14" x14ac:dyDescent="0.2">
      <c r="A90" s="242"/>
      <c r="B90" s="250"/>
      <c r="C90" s="250"/>
      <c r="D90" s="250"/>
      <c r="E90" s="250"/>
      <c r="F90" s="250"/>
      <c r="G90" s="250"/>
      <c r="H90" s="250"/>
      <c r="I90" s="250"/>
      <c r="J90" s="250"/>
      <c r="K90" s="250"/>
      <c r="L90" s="236"/>
      <c r="M90" s="236"/>
      <c r="N90" s="236"/>
    </row>
    <row r="91" spans="1:14" x14ac:dyDescent="0.2">
      <c r="A91" s="241" t="str">
        <f>name!B8</f>
        <v>Rest of manufacturing</v>
      </c>
      <c r="B91" s="375">
        <f>B$6</f>
        <v>2015</v>
      </c>
      <c r="C91" s="375"/>
      <c r="D91" s="375"/>
      <c r="E91" s="253"/>
      <c r="F91" s="375">
        <f>F74</f>
        <v>2020</v>
      </c>
      <c r="G91" s="375"/>
      <c r="H91" s="375"/>
      <c r="I91" s="253"/>
      <c r="J91" s="375">
        <f>J74</f>
        <v>2035</v>
      </c>
      <c r="K91" s="375"/>
      <c r="L91" s="375"/>
      <c r="M91" s="236"/>
      <c r="N91" s="236"/>
    </row>
    <row r="92" spans="1:14" x14ac:dyDescent="0.2">
      <c r="A92" s="254"/>
      <c r="B92" s="255" t="s">
        <v>361</v>
      </c>
      <c r="C92" s="255" t="s">
        <v>362</v>
      </c>
      <c r="D92" s="255" t="s">
        <v>33</v>
      </c>
      <c r="E92" s="255"/>
      <c r="F92" s="255" t="s">
        <v>361</v>
      </c>
      <c r="G92" s="255" t="s">
        <v>362</v>
      </c>
      <c r="H92" s="255" t="s">
        <v>33</v>
      </c>
      <c r="I92" s="255"/>
      <c r="J92" s="255" t="s">
        <v>361</v>
      </c>
      <c r="K92" s="255" t="s">
        <v>362</v>
      </c>
      <c r="L92" s="255" t="s">
        <v>33</v>
      </c>
      <c r="M92" s="236"/>
      <c r="N92" s="236"/>
    </row>
    <row r="93" spans="1:14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  <c r="N93" s="236"/>
    </row>
    <row r="94" spans="1:14" x14ac:dyDescent="0.2">
      <c r="A94" s="237" t="str">
        <f>name!E$4</f>
        <v>Managers, directors and senior officials</v>
      </c>
      <c r="B94" s="302">
        <v>0.92109706002603431</v>
      </c>
      <c r="C94" s="302">
        <v>3.9368449061586683</v>
      </c>
      <c r="D94" s="302">
        <f>SUM(B94:C94)</f>
        <v>4.8579419661847023</v>
      </c>
      <c r="E94" s="303"/>
      <c r="F94" s="302">
        <v>1.1714630505730774</v>
      </c>
      <c r="G94" s="302">
        <v>4.3613110640911223</v>
      </c>
      <c r="H94" s="302">
        <f>SUM(F94:G94)</f>
        <v>5.5327741146641998</v>
      </c>
      <c r="I94" s="303"/>
      <c r="J94" s="302">
        <v>1.0576097983406612</v>
      </c>
      <c r="K94" s="302">
        <v>3.736600350811528</v>
      </c>
      <c r="L94" s="302">
        <f>SUM(J94:K94)</f>
        <v>4.7942101491521889</v>
      </c>
      <c r="M94" s="236"/>
      <c r="N94" s="236"/>
    </row>
    <row r="95" spans="1:14" x14ac:dyDescent="0.2">
      <c r="A95" s="237" t="str">
        <f>name!E$5</f>
        <v>Professional occupations</v>
      </c>
      <c r="B95" s="302">
        <v>1.1086353330642609</v>
      </c>
      <c r="C95" s="302">
        <v>4.4997869306389218</v>
      </c>
      <c r="D95" s="302">
        <f t="shared" ref="D95:D102" si="25">SUM(B95:C95)</f>
        <v>5.6084222637031829</v>
      </c>
      <c r="E95" s="303"/>
      <c r="F95" s="302">
        <v>1.4330734158885403</v>
      </c>
      <c r="G95" s="302">
        <v>5.6549294599051212</v>
      </c>
      <c r="H95" s="302">
        <f t="shared" ref="H95:H102" si="26">SUM(F95:G95)</f>
        <v>7.0880028757936611</v>
      </c>
      <c r="I95" s="303"/>
      <c r="J95" s="302">
        <v>1.3513533305644245</v>
      </c>
      <c r="K95" s="302">
        <v>5.1675310522668276</v>
      </c>
      <c r="L95" s="302">
        <f t="shared" ref="L95:L102" si="27">SUM(J95:K95)</f>
        <v>6.5188843828312519</v>
      </c>
      <c r="M95" s="236"/>
      <c r="N95" s="236"/>
    </row>
    <row r="96" spans="1:14" x14ac:dyDescent="0.2">
      <c r="A96" s="237" t="str">
        <f>name!E$6</f>
        <v>Associate professional occupations</v>
      </c>
      <c r="B96" s="302">
        <v>1.3368964600634055</v>
      </c>
      <c r="C96" s="302">
        <v>3.269720391372128</v>
      </c>
      <c r="D96" s="302">
        <f t="shared" si="25"/>
        <v>4.6066168514355335</v>
      </c>
      <c r="E96" s="303"/>
      <c r="F96" s="302">
        <v>1.4026656735599945</v>
      </c>
      <c r="G96" s="302">
        <v>3.6510478504206496</v>
      </c>
      <c r="H96" s="302">
        <f t="shared" si="26"/>
        <v>5.0537135239806439</v>
      </c>
      <c r="I96" s="303"/>
      <c r="J96" s="302">
        <v>1.1880542034452046</v>
      </c>
      <c r="K96" s="302">
        <v>2.9702796848265725</v>
      </c>
      <c r="L96" s="302">
        <f t="shared" si="27"/>
        <v>4.1583338882717769</v>
      </c>
      <c r="M96" s="236"/>
      <c r="N96" s="236"/>
    </row>
    <row r="97" spans="1:14" x14ac:dyDescent="0.2">
      <c r="A97" s="237" t="str">
        <f>name!E$7</f>
        <v>Administrative and secretarial occupations</v>
      </c>
      <c r="B97" s="302">
        <v>1.750218171366188</v>
      </c>
      <c r="C97" s="302">
        <v>0.80759674239340418</v>
      </c>
      <c r="D97" s="302">
        <f t="shared" si="25"/>
        <v>2.557814913759592</v>
      </c>
      <c r="E97" s="303"/>
      <c r="F97" s="302">
        <v>1.8244891082152912</v>
      </c>
      <c r="G97" s="302">
        <v>0.96207044797333896</v>
      </c>
      <c r="H97" s="302">
        <f t="shared" si="26"/>
        <v>2.7865595561886303</v>
      </c>
      <c r="I97" s="303"/>
      <c r="J97" s="302">
        <v>1.1444474878331221</v>
      </c>
      <c r="K97" s="302">
        <v>0.79742710116407911</v>
      </c>
      <c r="L97" s="302">
        <f t="shared" si="27"/>
        <v>1.9418745889972011</v>
      </c>
      <c r="M97" s="236"/>
      <c r="N97" s="236"/>
    </row>
    <row r="98" spans="1:14" x14ac:dyDescent="0.2">
      <c r="A98" s="237" t="str">
        <f>name!E$8</f>
        <v>Skilled trades occupations</v>
      </c>
      <c r="B98" s="302">
        <v>0.57563864334046766</v>
      </c>
      <c r="C98" s="302">
        <v>6.1624323186709793</v>
      </c>
      <c r="D98" s="302">
        <f t="shared" si="25"/>
        <v>6.738070962011447</v>
      </c>
      <c r="E98" s="303"/>
      <c r="F98" s="302">
        <v>0.5246960218570782</v>
      </c>
      <c r="G98" s="302">
        <v>5.0563510209240574</v>
      </c>
      <c r="H98" s="302">
        <f t="shared" si="26"/>
        <v>5.5810470427811358</v>
      </c>
      <c r="I98" s="303"/>
      <c r="J98" s="302">
        <v>0.66518572938978016</v>
      </c>
      <c r="K98" s="302">
        <v>3.5569255037552248</v>
      </c>
      <c r="L98" s="302">
        <f t="shared" si="27"/>
        <v>4.2221112331450046</v>
      </c>
      <c r="M98" s="236"/>
      <c r="N98" s="236"/>
    </row>
    <row r="99" spans="1:14" x14ac:dyDescent="0.2">
      <c r="A99" s="237" t="str">
        <f>name!E$9</f>
        <v>Caring, leisure and other service occupations</v>
      </c>
      <c r="B99" s="302">
        <v>0.21475835645789507</v>
      </c>
      <c r="C99" s="302">
        <v>0.22305762327209686</v>
      </c>
      <c r="D99" s="302">
        <f t="shared" si="25"/>
        <v>0.43781597972999192</v>
      </c>
      <c r="E99" s="303"/>
      <c r="F99" s="302">
        <v>0.24451929585789894</v>
      </c>
      <c r="G99" s="302">
        <v>0.25590738256694967</v>
      </c>
      <c r="H99" s="302">
        <f t="shared" si="26"/>
        <v>0.50042667842484856</v>
      </c>
      <c r="I99" s="303"/>
      <c r="J99" s="302">
        <v>0.20378445054843913</v>
      </c>
      <c r="K99" s="302">
        <v>0.32757856227471849</v>
      </c>
      <c r="L99" s="302">
        <f t="shared" si="27"/>
        <v>0.53136301282315768</v>
      </c>
      <c r="M99" s="236"/>
      <c r="N99" s="236"/>
    </row>
    <row r="100" spans="1:14" x14ac:dyDescent="0.2">
      <c r="A100" s="237" t="str">
        <f>name!E$10</f>
        <v>Sales and customer service occupations</v>
      </c>
      <c r="B100" s="302">
        <v>0.46904050863154761</v>
      </c>
      <c r="C100" s="302">
        <v>0.53982019616174259</v>
      </c>
      <c r="D100" s="302">
        <f t="shared" si="25"/>
        <v>1.0088607047932903</v>
      </c>
      <c r="E100" s="303"/>
      <c r="F100" s="302">
        <v>0.45788352475167526</v>
      </c>
      <c r="G100" s="302">
        <v>0.5459041657023711</v>
      </c>
      <c r="H100" s="302">
        <f t="shared" si="26"/>
        <v>1.0037876904540464</v>
      </c>
      <c r="I100" s="303"/>
      <c r="J100" s="302">
        <v>0.39642312692904058</v>
      </c>
      <c r="K100" s="302">
        <v>0.51184081076721233</v>
      </c>
      <c r="L100" s="302">
        <f t="shared" si="27"/>
        <v>0.90826393769625291</v>
      </c>
      <c r="M100" s="236"/>
      <c r="N100" s="236"/>
    </row>
    <row r="101" spans="1:14" x14ac:dyDescent="0.2">
      <c r="A101" s="237" t="str">
        <f>name!E$11</f>
        <v>Process, plant and machine operatives</v>
      </c>
      <c r="B101" s="302">
        <v>0.57148382990450575</v>
      </c>
      <c r="C101" s="302">
        <v>3.0941453203796554</v>
      </c>
      <c r="D101" s="302">
        <f t="shared" si="25"/>
        <v>3.6656291502841611</v>
      </c>
      <c r="E101" s="303"/>
      <c r="F101" s="302">
        <v>0.48923709268384291</v>
      </c>
      <c r="G101" s="302">
        <v>2.8034984798920868</v>
      </c>
      <c r="H101" s="302">
        <f t="shared" si="26"/>
        <v>3.2927355725759297</v>
      </c>
      <c r="I101" s="303"/>
      <c r="J101" s="302">
        <v>0.47596512736177166</v>
      </c>
      <c r="K101" s="302">
        <v>2.4730517915928241</v>
      </c>
      <c r="L101" s="302">
        <f t="shared" si="27"/>
        <v>2.9490169189545958</v>
      </c>
      <c r="M101" s="236"/>
      <c r="N101" s="236"/>
    </row>
    <row r="102" spans="1:14" x14ac:dyDescent="0.2">
      <c r="A102" s="237" t="str">
        <f>name!E$12</f>
        <v>Elementary occupations</v>
      </c>
      <c r="B102" s="302">
        <v>0.59286422098519753</v>
      </c>
      <c r="C102" s="302">
        <v>1.2279629871129043</v>
      </c>
      <c r="D102" s="302">
        <f t="shared" si="25"/>
        <v>1.8208272080981018</v>
      </c>
      <c r="E102" s="303"/>
      <c r="F102" s="302">
        <v>0.42262031864357363</v>
      </c>
      <c r="G102" s="302">
        <v>1.0733326264933662</v>
      </c>
      <c r="H102" s="302">
        <f t="shared" si="26"/>
        <v>1.4959529451369398</v>
      </c>
      <c r="I102" s="303"/>
      <c r="J102" s="302">
        <v>0.32548151589911617</v>
      </c>
      <c r="K102" s="302">
        <v>0.62946037222951257</v>
      </c>
      <c r="L102" s="302">
        <f t="shared" si="27"/>
        <v>0.95494188812862868</v>
      </c>
      <c r="M102" s="236"/>
      <c r="N102" s="236"/>
    </row>
    <row r="103" spans="1:14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  <c r="N103" s="236"/>
    </row>
    <row r="104" spans="1:14" x14ac:dyDescent="0.2">
      <c r="A104" s="244" t="s">
        <v>33</v>
      </c>
      <c r="B104" s="311">
        <f>SUM(B94:B102)</f>
        <v>7.5406325838395016</v>
      </c>
      <c r="C104" s="311">
        <f t="shared" ref="C104:D104" si="28">SUM(C94:C102)</f>
        <v>23.7613674161605</v>
      </c>
      <c r="D104" s="311">
        <f t="shared" si="28"/>
        <v>31.302000000000007</v>
      </c>
      <c r="E104" s="311"/>
      <c r="F104" s="311">
        <f t="shared" ref="F104:H104" si="29">SUM(F94:F102)</f>
        <v>7.9706475020309737</v>
      </c>
      <c r="G104" s="311">
        <f t="shared" si="29"/>
        <v>24.364352497969065</v>
      </c>
      <c r="H104" s="311">
        <f t="shared" si="29"/>
        <v>32.335000000000036</v>
      </c>
      <c r="I104" s="311"/>
      <c r="J104" s="311">
        <f t="shared" ref="J104:L104" si="30">SUM(J94:J102)</f>
        <v>6.8083047703115591</v>
      </c>
      <c r="K104" s="311">
        <f t="shared" si="30"/>
        <v>20.170695229688498</v>
      </c>
      <c r="L104" s="311">
        <f t="shared" si="30"/>
        <v>26.97900000000006</v>
      </c>
      <c r="M104" s="236"/>
      <c r="N104" s="236"/>
    </row>
    <row r="105" spans="1:14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  <c r="N105" s="236"/>
    </row>
    <row r="106" spans="1:14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56" t="s">
        <v>36</v>
      </c>
      <c r="M106" s="236"/>
      <c r="N106" s="236"/>
    </row>
    <row r="107" spans="1:14" x14ac:dyDescent="0.2">
      <c r="A107" s="242"/>
      <c r="B107" s="250"/>
      <c r="C107" s="250"/>
      <c r="D107" s="250"/>
      <c r="E107" s="250"/>
      <c r="F107" s="250"/>
      <c r="G107" s="250"/>
      <c r="H107" s="250"/>
      <c r="I107" s="250"/>
      <c r="J107" s="250"/>
      <c r="K107" s="250"/>
      <c r="L107" s="236"/>
      <c r="M107" s="236"/>
      <c r="N107" s="236"/>
    </row>
    <row r="108" spans="1:14" x14ac:dyDescent="0.2">
      <c r="A108" s="241" t="str">
        <f>name!B9</f>
        <v>Electricity and gas</v>
      </c>
      <c r="B108" s="375">
        <f>B$6</f>
        <v>2015</v>
      </c>
      <c r="C108" s="375"/>
      <c r="D108" s="375"/>
      <c r="E108" s="253"/>
      <c r="F108" s="375">
        <f>F91</f>
        <v>2020</v>
      </c>
      <c r="G108" s="375"/>
      <c r="H108" s="375"/>
      <c r="I108" s="253"/>
      <c r="J108" s="375">
        <f>J91</f>
        <v>2035</v>
      </c>
      <c r="K108" s="375"/>
      <c r="L108" s="375"/>
      <c r="M108" s="236"/>
      <c r="N108" s="236"/>
    </row>
    <row r="109" spans="1:14" x14ac:dyDescent="0.2">
      <c r="A109" s="254"/>
      <c r="B109" s="255" t="s">
        <v>361</v>
      </c>
      <c r="C109" s="255" t="s">
        <v>362</v>
      </c>
      <c r="D109" s="255" t="s">
        <v>33</v>
      </c>
      <c r="E109" s="255"/>
      <c r="F109" s="255" t="s">
        <v>361</v>
      </c>
      <c r="G109" s="255" t="s">
        <v>362</v>
      </c>
      <c r="H109" s="255" t="s">
        <v>33</v>
      </c>
      <c r="I109" s="255"/>
      <c r="J109" s="255" t="s">
        <v>361</v>
      </c>
      <c r="K109" s="255" t="s">
        <v>362</v>
      </c>
      <c r="L109" s="255" t="s">
        <v>33</v>
      </c>
      <c r="M109" s="236"/>
      <c r="N109" s="236"/>
    </row>
    <row r="110" spans="1:14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  <c r="N110" s="236"/>
    </row>
    <row r="111" spans="1:14" x14ac:dyDescent="0.2">
      <c r="A111" s="237" t="str">
        <f>name!E$4</f>
        <v>Managers, directors and senior officials</v>
      </c>
      <c r="B111" s="302">
        <v>0.1373068932233952</v>
      </c>
      <c r="C111" s="302">
        <v>0.58377193737483479</v>
      </c>
      <c r="D111" s="302">
        <f>SUM(B111:C111)</f>
        <v>0.72107883059822997</v>
      </c>
      <c r="E111" s="303"/>
      <c r="F111" s="302">
        <v>0.15322117743869121</v>
      </c>
      <c r="G111" s="302">
        <v>0.35965886870430835</v>
      </c>
      <c r="H111" s="302">
        <f>SUM(F111:G111)</f>
        <v>0.51288004614299953</v>
      </c>
      <c r="I111" s="303"/>
      <c r="J111" s="302">
        <v>0.14142242952322345</v>
      </c>
      <c r="K111" s="302">
        <v>0.37281784865646544</v>
      </c>
      <c r="L111" s="302">
        <f>SUM(J111:K111)</f>
        <v>0.51424027817968887</v>
      </c>
      <c r="M111" s="236"/>
      <c r="N111" s="236"/>
    </row>
    <row r="112" spans="1:14" x14ac:dyDescent="0.2">
      <c r="A112" s="237" t="str">
        <f>name!E$5</f>
        <v>Professional occupations</v>
      </c>
      <c r="B112" s="302">
        <v>0.19557325804584497</v>
      </c>
      <c r="C112" s="302">
        <v>1.0940467167514614</v>
      </c>
      <c r="D112" s="302">
        <f t="shared" ref="D112:D119" si="31">SUM(B112:C112)</f>
        <v>1.2896199747973063</v>
      </c>
      <c r="E112" s="303"/>
      <c r="F112" s="302">
        <v>0.21669510506169115</v>
      </c>
      <c r="G112" s="302">
        <v>0.78750923633743342</v>
      </c>
      <c r="H112" s="302">
        <f t="shared" ref="H112:H119" si="32">SUM(F112:G112)</f>
        <v>1.0042043413991246</v>
      </c>
      <c r="I112" s="303"/>
      <c r="J112" s="302">
        <v>0.22409980178854055</v>
      </c>
      <c r="K112" s="302">
        <v>0.88283738346691121</v>
      </c>
      <c r="L112" s="302">
        <f t="shared" ref="L112:L119" si="33">SUM(J112:K112)</f>
        <v>1.1069371852554517</v>
      </c>
      <c r="M112" s="236"/>
      <c r="N112" s="236"/>
    </row>
    <row r="113" spans="1:14" x14ac:dyDescent="0.2">
      <c r="A113" s="237" t="str">
        <f>name!E$6</f>
        <v>Associate professional occupations</v>
      </c>
      <c r="B113" s="302">
        <v>0.19412876950255201</v>
      </c>
      <c r="C113" s="302">
        <v>0.61618805042843972</v>
      </c>
      <c r="D113" s="302">
        <f t="shared" si="31"/>
        <v>0.81031681993099169</v>
      </c>
      <c r="E113" s="303"/>
      <c r="F113" s="302">
        <v>0.19003687612110456</v>
      </c>
      <c r="G113" s="302">
        <v>0.4463824633879741</v>
      </c>
      <c r="H113" s="302">
        <f t="shared" si="32"/>
        <v>0.6364193395090787</v>
      </c>
      <c r="I113" s="303"/>
      <c r="J113" s="302">
        <v>0.15710020450764817</v>
      </c>
      <c r="K113" s="302">
        <v>0.38845843152793152</v>
      </c>
      <c r="L113" s="302">
        <f t="shared" si="33"/>
        <v>0.54555863603557975</v>
      </c>
      <c r="M113" s="236"/>
      <c r="N113" s="236"/>
    </row>
    <row r="114" spans="1:14" x14ac:dyDescent="0.2">
      <c r="A114" s="237" t="str">
        <f>name!E$7</f>
        <v>Administrative and secretarial occupations</v>
      </c>
      <c r="B114" s="302">
        <v>0.33727508653225291</v>
      </c>
      <c r="C114" s="302">
        <v>9.7734619865150876E-2</v>
      </c>
      <c r="D114" s="302">
        <f t="shared" si="31"/>
        <v>0.43500970639740377</v>
      </c>
      <c r="E114" s="303"/>
      <c r="F114" s="302">
        <v>0.21506307398261573</v>
      </c>
      <c r="G114" s="302">
        <v>5.7863755420976118E-2</v>
      </c>
      <c r="H114" s="302">
        <f t="shared" si="32"/>
        <v>0.27292682940359186</v>
      </c>
      <c r="I114" s="303"/>
      <c r="J114" s="302">
        <v>0.19911008255154103</v>
      </c>
      <c r="K114" s="302">
        <v>2.8320501903624659E-2</v>
      </c>
      <c r="L114" s="302">
        <f t="shared" si="33"/>
        <v>0.22743058445516567</v>
      </c>
      <c r="M114" s="236"/>
      <c r="N114" s="236"/>
    </row>
    <row r="115" spans="1:14" x14ac:dyDescent="0.2">
      <c r="A115" s="237" t="str">
        <f>name!E$8</f>
        <v>Skilled trades occupations</v>
      </c>
      <c r="B115" s="302">
        <v>3.9778806472014934E-2</v>
      </c>
      <c r="C115" s="302">
        <v>1.1865818934061159</v>
      </c>
      <c r="D115" s="302">
        <f t="shared" si="31"/>
        <v>1.2263606998781309</v>
      </c>
      <c r="E115" s="303"/>
      <c r="F115" s="302">
        <v>8.7772160509743527E-2</v>
      </c>
      <c r="G115" s="302">
        <v>0.55477084399174414</v>
      </c>
      <c r="H115" s="302">
        <f t="shared" si="32"/>
        <v>0.64254300450148771</v>
      </c>
      <c r="I115" s="303"/>
      <c r="J115" s="302">
        <v>0.12677700223322433</v>
      </c>
      <c r="K115" s="302">
        <v>0.4444950325424214</v>
      </c>
      <c r="L115" s="302">
        <f t="shared" si="33"/>
        <v>0.5712720347756457</v>
      </c>
      <c r="M115" s="236"/>
      <c r="N115" s="236"/>
    </row>
    <row r="116" spans="1:14" x14ac:dyDescent="0.2">
      <c r="A116" s="237" t="str">
        <f>name!E$9</f>
        <v>Caring, leisure and other service occupations</v>
      </c>
      <c r="B116" s="302">
        <v>4.5199773738137661E-2</v>
      </c>
      <c r="C116" s="302">
        <v>4.6423453550064872E-2</v>
      </c>
      <c r="D116" s="302">
        <f t="shared" si="31"/>
        <v>9.1623227288202533E-2</v>
      </c>
      <c r="E116" s="303"/>
      <c r="F116" s="302">
        <v>7.4986373870941037E-2</v>
      </c>
      <c r="G116" s="302">
        <v>2.7736058280587988E-2</v>
      </c>
      <c r="H116" s="302">
        <f t="shared" si="32"/>
        <v>0.10272243215152903</v>
      </c>
      <c r="I116" s="303"/>
      <c r="J116" s="302">
        <v>6.5592948595645462E-2</v>
      </c>
      <c r="K116" s="302">
        <v>3.1209559806167853E-2</v>
      </c>
      <c r="L116" s="302">
        <f t="shared" si="33"/>
        <v>9.6802508401813314E-2</v>
      </c>
      <c r="M116" s="236"/>
      <c r="N116" s="236"/>
    </row>
    <row r="117" spans="1:14" x14ac:dyDescent="0.2">
      <c r="A117" s="237" t="str">
        <f>name!E$10</f>
        <v>Sales and customer service occupations</v>
      </c>
      <c r="B117" s="302">
        <v>0.46218408710228365</v>
      </c>
      <c r="C117" s="302">
        <v>0.25437675528744308</v>
      </c>
      <c r="D117" s="302">
        <f t="shared" si="31"/>
        <v>0.71656084238972673</v>
      </c>
      <c r="E117" s="303"/>
      <c r="F117" s="302">
        <v>0.29745734752666225</v>
      </c>
      <c r="G117" s="302">
        <v>0.13379406626628121</v>
      </c>
      <c r="H117" s="302">
        <f t="shared" si="32"/>
        <v>0.43125141379294346</v>
      </c>
      <c r="I117" s="303"/>
      <c r="J117" s="302">
        <v>0.3041425763459476</v>
      </c>
      <c r="K117" s="302">
        <v>0.13680373620238659</v>
      </c>
      <c r="L117" s="302">
        <f t="shared" si="33"/>
        <v>0.44094631254833416</v>
      </c>
      <c r="M117" s="236"/>
      <c r="N117" s="236"/>
    </row>
    <row r="118" spans="1:14" x14ac:dyDescent="0.2">
      <c r="A118" s="237" t="str">
        <f>name!E$11</f>
        <v>Process, plant and machine operatives</v>
      </c>
      <c r="B118" s="302">
        <v>7.2817625732977988E-3</v>
      </c>
      <c r="C118" s="302">
        <v>0.25290622828888459</v>
      </c>
      <c r="D118" s="302">
        <f t="shared" si="31"/>
        <v>0.26018799086218242</v>
      </c>
      <c r="E118" s="303"/>
      <c r="F118" s="302">
        <v>1.1768564483870826E-2</v>
      </c>
      <c r="G118" s="302">
        <v>0.1108387995388679</v>
      </c>
      <c r="H118" s="302">
        <f t="shared" si="32"/>
        <v>0.12260736402273872</v>
      </c>
      <c r="I118" s="303"/>
      <c r="J118" s="302">
        <v>2.5597079028679082E-2</v>
      </c>
      <c r="K118" s="302">
        <v>0.12676684416037973</v>
      </c>
      <c r="L118" s="302">
        <f t="shared" si="33"/>
        <v>0.15236392318905881</v>
      </c>
      <c r="M118" s="236"/>
      <c r="N118" s="236"/>
    </row>
    <row r="119" spans="1:14" x14ac:dyDescent="0.2">
      <c r="A119" s="237" t="str">
        <f>name!E$12</f>
        <v>Elementary occupations</v>
      </c>
      <c r="B119" s="302">
        <v>1.897194830375519E-2</v>
      </c>
      <c r="C119" s="302">
        <v>7.5269959554065194E-2</v>
      </c>
      <c r="D119" s="302">
        <f t="shared" si="31"/>
        <v>9.4241907857820384E-2</v>
      </c>
      <c r="E119" s="303"/>
      <c r="F119" s="302">
        <v>3.6621426936779486E-2</v>
      </c>
      <c r="G119" s="302">
        <v>3.1823802139732869E-2</v>
      </c>
      <c r="H119" s="302">
        <f t="shared" si="32"/>
        <v>6.8445229076512348E-2</v>
      </c>
      <c r="I119" s="303"/>
      <c r="J119" s="302">
        <v>3.3253268212797692E-2</v>
      </c>
      <c r="K119" s="302">
        <v>1.7195268946467175E-2</v>
      </c>
      <c r="L119" s="302">
        <f t="shared" si="33"/>
        <v>5.0448537159264867E-2</v>
      </c>
      <c r="M119" s="236"/>
      <c r="N119" s="236"/>
    </row>
    <row r="120" spans="1:14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  <c r="N120" s="236"/>
    </row>
    <row r="121" spans="1:14" x14ac:dyDescent="0.2">
      <c r="A121" s="244" t="s">
        <v>33</v>
      </c>
      <c r="B121" s="311">
        <f>SUM(B111:B119)</f>
        <v>1.4377003854935342</v>
      </c>
      <c r="C121" s="311">
        <f t="shared" ref="C121:D121" si="34">SUM(C111:C119)</f>
        <v>4.2072996145064607</v>
      </c>
      <c r="D121" s="311">
        <f t="shared" si="34"/>
        <v>5.6449999999999942</v>
      </c>
      <c r="E121" s="311"/>
      <c r="F121" s="311">
        <f t="shared" ref="F121:H121" si="35">SUM(F111:F119)</f>
        <v>1.2836221059320996</v>
      </c>
      <c r="G121" s="311">
        <f t="shared" si="35"/>
        <v>2.510377894067906</v>
      </c>
      <c r="H121" s="311">
        <f t="shared" si="35"/>
        <v>3.7940000000000067</v>
      </c>
      <c r="I121" s="311"/>
      <c r="J121" s="311">
        <f t="shared" ref="J121:L121" si="36">SUM(J111:J119)</f>
        <v>1.2770953927872473</v>
      </c>
      <c r="K121" s="311">
        <f t="shared" si="36"/>
        <v>2.4289046072127558</v>
      </c>
      <c r="L121" s="311">
        <f t="shared" si="36"/>
        <v>3.7060000000000031</v>
      </c>
      <c r="M121" s="236"/>
      <c r="N121" s="236"/>
    </row>
    <row r="122" spans="1:14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  <c r="N122" s="236"/>
    </row>
    <row r="123" spans="1:14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56" t="s">
        <v>36</v>
      </c>
      <c r="M123" s="236"/>
      <c r="N123" s="236"/>
    </row>
    <row r="124" spans="1:14" x14ac:dyDescent="0.2">
      <c r="A124" s="242"/>
      <c r="B124" s="250"/>
      <c r="C124" s="250"/>
      <c r="D124" s="250"/>
      <c r="E124" s="250"/>
      <c r="F124" s="250"/>
      <c r="G124" s="250"/>
      <c r="H124" s="250"/>
      <c r="I124" s="250"/>
      <c r="J124" s="250"/>
      <c r="K124" s="250"/>
      <c r="L124" s="236"/>
      <c r="M124" s="236"/>
      <c r="N124" s="236"/>
    </row>
    <row r="125" spans="1:14" x14ac:dyDescent="0.2">
      <c r="A125" s="241" t="str">
        <f>name!B10</f>
        <v>Water and sewerage</v>
      </c>
      <c r="B125" s="375">
        <f>B$6</f>
        <v>2015</v>
      </c>
      <c r="C125" s="375"/>
      <c r="D125" s="375"/>
      <c r="E125" s="253"/>
      <c r="F125" s="375">
        <f>F108</f>
        <v>2020</v>
      </c>
      <c r="G125" s="375"/>
      <c r="H125" s="375"/>
      <c r="I125" s="253"/>
      <c r="J125" s="375">
        <f>J108</f>
        <v>2035</v>
      </c>
      <c r="K125" s="375"/>
      <c r="L125" s="375"/>
      <c r="M125" s="236"/>
      <c r="N125" s="236"/>
    </row>
    <row r="126" spans="1:14" x14ac:dyDescent="0.2">
      <c r="A126" s="254"/>
      <c r="B126" s="255" t="s">
        <v>361</v>
      </c>
      <c r="C126" s="255" t="s">
        <v>362</v>
      </c>
      <c r="D126" s="255" t="s">
        <v>33</v>
      </c>
      <c r="E126" s="255"/>
      <c r="F126" s="255" t="s">
        <v>361</v>
      </c>
      <c r="G126" s="255" t="s">
        <v>362</v>
      </c>
      <c r="H126" s="255" t="s">
        <v>33</v>
      </c>
      <c r="I126" s="255"/>
      <c r="J126" s="255" t="s">
        <v>361</v>
      </c>
      <c r="K126" s="255" t="s">
        <v>362</v>
      </c>
      <c r="L126" s="255" t="s">
        <v>33</v>
      </c>
      <c r="M126" s="236"/>
      <c r="N126" s="236"/>
    </row>
    <row r="127" spans="1:14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  <c r="N127" s="236"/>
    </row>
    <row r="128" spans="1:14" x14ac:dyDescent="0.2">
      <c r="A128" s="237" t="str">
        <f>name!E$4</f>
        <v>Managers, directors and senior officials</v>
      </c>
      <c r="B128" s="302">
        <v>8.1649493521583252E-2</v>
      </c>
      <c r="C128" s="302">
        <v>0.3700215029788802</v>
      </c>
      <c r="D128" s="302">
        <f>SUM(B128:C128)</f>
        <v>0.45167099650046344</v>
      </c>
      <c r="E128" s="303"/>
      <c r="F128" s="302">
        <v>8.5064106903374584E-2</v>
      </c>
      <c r="G128" s="302">
        <v>0.59235974350491349</v>
      </c>
      <c r="H128" s="302">
        <f>SUM(F128:G128)</f>
        <v>0.67742385040828812</v>
      </c>
      <c r="I128" s="303"/>
      <c r="J128" s="302">
        <v>0.11211104156773527</v>
      </c>
      <c r="K128" s="302">
        <v>0.72390064227091211</v>
      </c>
      <c r="L128" s="302">
        <f>SUM(J128:K128)</f>
        <v>0.83601168383864732</v>
      </c>
      <c r="M128" s="236"/>
      <c r="N128" s="236"/>
    </row>
    <row r="129" spans="1:14" x14ac:dyDescent="0.2">
      <c r="A129" s="237" t="str">
        <f>name!E$5</f>
        <v>Professional occupations</v>
      </c>
      <c r="B129" s="302">
        <v>0.1447691500173833</v>
      </c>
      <c r="C129" s="302">
        <v>0.30391974920447129</v>
      </c>
      <c r="D129" s="302">
        <f t="shared" ref="D129:D136" si="37">SUM(B129:C129)</f>
        <v>0.44868889922185462</v>
      </c>
      <c r="E129" s="303"/>
      <c r="F129" s="302">
        <v>0.1821246439581243</v>
      </c>
      <c r="G129" s="302">
        <v>0.50012932896844609</v>
      </c>
      <c r="H129" s="302">
        <f t="shared" ref="H129:H136" si="38">SUM(F129:G129)</f>
        <v>0.68225397292657042</v>
      </c>
      <c r="I129" s="303"/>
      <c r="J129" s="302">
        <v>0.28095073633576639</v>
      </c>
      <c r="K129" s="302">
        <v>0.61688133439841131</v>
      </c>
      <c r="L129" s="302">
        <f t="shared" ref="L129:L136" si="39">SUM(J129:K129)</f>
        <v>0.8978320707341777</v>
      </c>
      <c r="M129" s="236"/>
      <c r="N129" s="236"/>
    </row>
    <row r="130" spans="1:14" x14ac:dyDescent="0.2">
      <c r="A130" s="237" t="str">
        <f>name!E$6</f>
        <v>Associate professional occupations</v>
      </c>
      <c r="B130" s="302">
        <v>0.20816278085069503</v>
      </c>
      <c r="C130" s="302">
        <v>0.26388751311472036</v>
      </c>
      <c r="D130" s="302">
        <f t="shared" si="37"/>
        <v>0.47205029396541542</v>
      </c>
      <c r="E130" s="303"/>
      <c r="F130" s="302">
        <v>0.21692857834940338</v>
      </c>
      <c r="G130" s="302">
        <v>0.3922198822730833</v>
      </c>
      <c r="H130" s="302">
        <f t="shared" si="38"/>
        <v>0.60914846062248662</v>
      </c>
      <c r="I130" s="303"/>
      <c r="J130" s="302">
        <v>0.31653793970203803</v>
      </c>
      <c r="K130" s="302">
        <v>0.43521404929587254</v>
      </c>
      <c r="L130" s="302">
        <f t="shared" si="39"/>
        <v>0.75175198899791051</v>
      </c>
      <c r="M130" s="236"/>
      <c r="N130" s="236"/>
    </row>
    <row r="131" spans="1:14" x14ac:dyDescent="0.2">
      <c r="A131" s="237" t="str">
        <f>name!E$7</f>
        <v>Administrative and secretarial occupations</v>
      </c>
      <c r="B131" s="302">
        <v>0.17548560911385169</v>
      </c>
      <c r="C131" s="302">
        <v>4.8204114993219811E-2</v>
      </c>
      <c r="D131" s="302">
        <f t="shared" si="37"/>
        <v>0.2236897241070715</v>
      </c>
      <c r="E131" s="303"/>
      <c r="F131" s="302">
        <v>0.1388943979791005</v>
      </c>
      <c r="G131" s="302">
        <v>0.10627632076362338</v>
      </c>
      <c r="H131" s="302">
        <f t="shared" si="38"/>
        <v>0.24517071874272389</v>
      </c>
      <c r="I131" s="303"/>
      <c r="J131" s="302">
        <v>8.8981471791701724E-2</v>
      </c>
      <c r="K131" s="302">
        <v>0.12175687568534042</v>
      </c>
      <c r="L131" s="302">
        <f t="shared" si="39"/>
        <v>0.21073834747704215</v>
      </c>
      <c r="M131" s="236"/>
      <c r="N131" s="236"/>
    </row>
    <row r="132" spans="1:14" x14ac:dyDescent="0.2">
      <c r="A132" s="237" t="str">
        <f>name!E$8</f>
        <v>Skilled trades occupations</v>
      </c>
      <c r="B132" s="302">
        <v>5.1439389734452577E-2</v>
      </c>
      <c r="C132" s="302">
        <v>0.23517330464680333</v>
      </c>
      <c r="D132" s="302">
        <f t="shared" si="37"/>
        <v>0.28661269438125592</v>
      </c>
      <c r="E132" s="303"/>
      <c r="F132" s="302">
        <v>3.5426746894614718E-2</v>
      </c>
      <c r="G132" s="302">
        <v>0.36322592948696492</v>
      </c>
      <c r="H132" s="302">
        <f t="shared" si="38"/>
        <v>0.39865267638157964</v>
      </c>
      <c r="I132" s="303"/>
      <c r="J132" s="302">
        <v>9.0800496779881071E-2</v>
      </c>
      <c r="K132" s="302">
        <v>0.41644524060439608</v>
      </c>
      <c r="L132" s="302">
        <f t="shared" si="39"/>
        <v>0.50724573738427714</v>
      </c>
      <c r="M132" s="236"/>
      <c r="N132" s="236"/>
    </row>
    <row r="133" spans="1:14" x14ac:dyDescent="0.2">
      <c r="A133" s="237" t="str">
        <f>name!E$9</f>
        <v>Caring, leisure and other service occupations</v>
      </c>
      <c r="B133" s="302">
        <v>4.7898178583250434E-2</v>
      </c>
      <c r="C133" s="302">
        <v>3.9187234193469381E-2</v>
      </c>
      <c r="D133" s="302">
        <f t="shared" si="37"/>
        <v>8.7085412776719814E-2</v>
      </c>
      <c r="E133" s="303"/>
      <c r="F133" s="302">
        <v>3.3658346553267507E-2</v>
      </c>
      <c r="G133" s="302">
        <v>6.2214892874043519E-2</v>
      </c>
      <c r="H133" s="302">
        <f t="shared" si="38"/>
        <v>9.5873239427311019E-2</v>
      </c>
      <c r="I133" s="303"/>
      <c r="J133" s="302">
        <v>4.4097296997593516E-2</v>
      </c>
      <c r="K133" s="302">
        <v>8.4340882671271156E-2</v>
      </c>
      <c r="L133" s="302">
        <f t="shared" si="39"/>
        <v>0.12843817966886467</v>
      </c>
      <c r="M133" s="236"/>
      <c r="N133" s="236"/>
    </row>
    <row r="134" spans="1:14" x14ac:dyDescent="0.2">
      <c r="A134" s="237" t="str">
        <f>name!E$10</f>
        <v>Sales and customer service occupations</v>
      </c>
      <c r="B134" s="302">
        <v>6.7737796489741417E-2</v>
      </c>
      <c r="C134" s="302">
        <v>4.1924830824672514E-2</v>
      </c>
      <c r="D134" s="302">
        <f>SUM(B134:C134)</f>
        <v>0.10966262731441392</v>
      </c>
      <c r="E134" s="303"/>
      <c r="F134" s="302">
        <v>4.5470527396834381E-2</v>
      </c>
      <c r="G134" s="302">
        <v>9.6149972411035581E-2</v>
      </c>
      <c r="H134" s="302">
        <f t="shared" si="38"/>
        <v>0.14162049980786995</v>
      </c>
      <c r="I134" s="303"/>
      <c r="J134" s="302">
        <v>5.5273184625870483E-2</v>
      </c>
      <c r="K134" s="302">
        <v>0.12357036348524286</v>
      </c>
      <c r="L134" s="302">
        <f t="shared" si="39"/>
        <v>0.17884354811111336</v>
      </c>
      <c r="M134" s="236"/>
      <c r="N134" s="236"/>
    </row>
    <row r="135" spans="1:14" x14ac:dyDescent="0.2">
      <c r="A135" s="237" t="str">
        <f>name!E$11</f>
        <v>Process, plant and machine operatives</v>
      </c>
      <c r="B135" s="302">
        <v>4.3782703932759716E-2</v>
      </c>
      <c r="C135" s="302">
        <v>0.58981032525331889</v>
      </c>
      <c r="D135" s="302">
        <f t="shared" si="37"/>
        <v>0.63359302918607863</v>
      </c>
      <c r="E135" s="303"/>
      <c r="F135" s="302">
        <v>3.2500017068744974E-2</v>
      </c>
      <c r="G135" s="302">
        <v>0.70315097054657238</v>
      </c>
      <c r="H135" s="302">
        <f t="shared" si="38"/>
        <v>0.73565098761531733</v>
      </c>
      <c r="I135" s="303"/>
      <c r="J135" s="302">
        <v>4.2237686976215875E-2</v>
      </c>
      <c r="K135" s="302">
        <v>0.9370975248603447</v>
      </c>
      <c r="L135" s="302">
        <f t="shared" si="39"/>
        <v>0.97933521183656058</v>
      </c>
      <c r="M135" s="236"/>
      <c r="N135" s="236"/>
    </row>
    <row r="136" spans="1:14" x14ac:dyDescent="0.2">
      <c r="A136" s="237" t="str">
        <f>name!E$12</f>
        <v>Elementary occupations</v>
      </c>
      <c r="B136" s="302">
        <v>6.6326975628657997E-2</v>
      </c>
      <c r="C136" s="302">
        <v>0.56561934691807114</v>
      </c>
      <c r="D136" s="302">
        <f t="shared" si="37"/>
        <v>0.63194632254672911</v>
      </c>
      <c r="E136" s="303"/>
      <c r="F136" s="302">
        <v>3.3078321633159567E-2</v>
      </c>
      <c r="G136" s="302">
        <v>0.59212727243468954</v>
      </c>
      <c r="H136" s="302">
        <f t="shared" si="38"/>
        <v>0.62520559406784915</v>
      </c>
      <c r="I136" s="303"/>
      <c r="J136" s="302">
        <v>2.8282142742241535E-2</v>
      </c>
      <c r="K136" s="302">
        <v>0.53252108920916075</v>
      </c>
      <c r="L136" s="302">
        <f t="shared" si="39"/>
        <v>0.56080323195140225</v>
      </c>
      <c r="M136" s="236"/>
      <c r="N136" s="236"/>
    </row>
    <row r="137" spans="1:14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  <c r="N137" s="236"/>
    </row>
    <row r="138" spans="1:14" x14ac:dyDescent="0.2">
      <c r="A138" s="244" t="s">
        <v>33</v>
      </c>
      <c r="B138" s="311">
        <f>SUM(B128:B136)</f>
        <v>0.88725207787237548</v>
      </c>
      <c r="C138" s="311">
        <f t="shared" ref="C138" si="40">SUM(C128:C136)</f>
        <v>2.457747922127627</v>
      </c>
      <c r="D138" s="311">
        <f>SUM(D128:D136)</f>
        <v>3.3450000000000024</v>
      </c>
      <c r="E138" s="311"/>
      <c r="F138" s="311">
        <f t="shared" ref="F138:H138" si="41">SUM(F128:F136)</f>
        <v>0.8031456867366239</v>
      </c>
      <c r="G138" s="311">
        <f t="shared" si="41"/>
        <v>3.4078543132633725</v>
      </c>
      <c r="H138" s="311">
        <f t="shared" si="41"/>
        <v>4.2109999999999959</v>
      </c>
      <c r="I138" s="311"/>
      <c r="J138" s="311">
        <f t="shared" ref="J138:L138" si="42">SUM(J128:J136)</f>
        <v>1.0592719975190439</v>
      </c>
      <c r="K138" s="311">
        <f t="shared" si="42"/>
        <v>3.9917280024809516</v>
      </c>
      <c r="L138" s="311">
        <f t="shared" si="42"/>
        <v>5.0509999999999957</v>
      </c>
      <c r="M138" s="236"/>
      <c r="N138" s="236"/>
    </row>
    <row r="139" spans="1:14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  <c r="N139" s="236"/>
    </row>
    <row r="140" spans="1:14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56" t="s">
        <v>36</v>
      </c>
      <c r="M140" s="236"/>
      <c r="N140" s="236"/>
    </row>
    <row r="141" spans="1:14" x14ac:dyDescent="0.2">
      <c r="A141" s="242"/>
      <c r="B141" s="250"/>
      <c r="C141" s="250"/>
      <c r="D141" s="250"/>
      <c r="E141" s="250"/>
      <c r="F141" s="250"/>
      <c r="G141" s="250"/>
      <c r="H141" s="250"/>
      <c r="I141" s="250"/>
      <c r="J141" s="250"/>
      <c r="K141" s="250"/>
      <c r="L141" s="236"/>
      <c r="M141" s="236"/>
      <c r="N141" s="236"/>
    </row>
    <row r="142" spans="1:14" x14ac:dyDescent="0.2">
      <c r="A142" s="241" t="str">
        <f>name!B11</f>
        <v>Construction</v>
      </c>
      <c r="B142" s="375">
        <f>B$6</f>
        <v>2015</v>
      </c>
      <c r="C142" s="375"/>
      <c r="D142" s="375"/>
      <c r="E142" s="253"/>
      <c r="F142" s="375">
        <f>F125</f>
        <v>2020</v>
      </c>
      <c r="G142" s="375"/>
      <c r="H142" s="375"/>
      <c r="I142" s="253"/>
      <c r="J142" s="375">
        <f>J125</f>
        <v>2035</v>
      </c>
      <c r="K142" s="375"/>
      <c r="L142" s="375"/>
      <c r="M142" s="236"/>
      <c r="N142" s="236"/>
    </row>
    <row r="143" spans="1:14" x14ac:dyDescent="0.2">
      <c r="A143" s="254"/>
      <c r="B143" s="255" t="s">
        <v>361</v>
      </c>
      <c r="C143" s="255" t="s">
        <v>362</v>
      </c>
      <c r="D143" s="255" t="s">
        <v>33</v>
      </c>
      <c r="E143" s="255"/>
      <c r="F143" s="255" t="s">
        <v>361</v>
      </c>
      <c r="G143" s="255" t="s">
        <v>362</v>
      </c>
      <c r="H143" s="255" t="s">
        <v>33</v>
      </c>
      <c r="I143" s="255"/>
      <c r="J143" s="255" t="s">
        <v>361</v>
      </c>
      <c r="K143" s="255" t="s">
        <v>362</v>
      </c>
      <c r="L143" s="255" t="s">
        <v>33</v>
      </c>
      <c r="M143" s="236"/>
      <c r="N143" s="236"/>
    </row>
    <row r="144" spans="1:14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  <c r="N144" s="236"/>
    </row>
    <row r="145" spans="1:14" x14ac:dyDescent="0.2">
      <c r="A145" s="237" t="str">
        <f>name!E$4</f>
        <v>Managers, directors and senior officials</v>
      </c>
      <c r="B145" s="302">
        <v>1.0808943652848508</v>
      </c>
      <c r="C145" s="302">
        <v>5.4973912468465311</v>
      </c>
      <c r="D145" s="302">
        <f>SUM(B145:C145)</f>
        <v>6.5782856121313822</v>
      </c>
      <c r="E145" s="303"/>
      <c r="F145" s="302">
        <v>1.6975361529586215</v>
      </c>
      <c r="G145" s="302">
        <v>7.7505937948082568</v>
      </c>
      <c r="H145" s="302">
        <f>SUM(F145:G145)</f>
        <v>9.4481299477668781</v>
      </c>
      <c r="I145" s="303"/>
      <c r="J145" s="302">
        <v>2.2526132753513655</v>
      </c>
      <c r="K145" s="302">
        <v>9.0166810606574685</v>
      </c>
      <c r="L145" s="302">
        <f>SUM(J145:K145)</f>
        <v>11.269294336008834</v>
      </c>
      <c r="M145" s="236"/>
      <c r="N145" s="236"/>
    </row>
    <row r="146" spans="1:14" x14ac:dyDescent="0.2">
      <c r="A146" s="237" t="str">
        <f>name!E$5</f>
        <v>Professional occupations</v>
      </c>
      <c r="B146" s="302">
        <v>0.90156199401782855</v>
      </c>
      <c r="C146" s="302">
        <v>5.0795709983908743</v>
      </c>
      <c r="D146" s="302">
        <f t="shared" ref="D146:D153" si="43">SUM(B146:C146)</f>
        <v>5.9811329924087033</v>
      </c>
      <c r="E146" s="303"/>
      <c r="F146" s="302">
        <v>1.4582887871246613</v>
      </c>
      <c r="G146" s="302">
        <v>7.3447868699715491</v>
      </c>
      <c r="H146" s="302">
        <f t="shared" ref="H146:H153" si="44">SUM(F146:G146)</f>
        <v>8.8030756570962101</v>
      </c>
      <c r="I146" s="303"/>
      <c r="J146" s="302">
        <v>2.1211576503886036</v>
      </c>
      <c r="K146" s="302">
        <v>9.8370608857310078</v>
      </c>
      <c r="L146" s="302">
        <f t="shared" ref="L146:L153" si="45">SUM(J146:K146)</f>
        <v>11.958218536119611</v>
      </c>
      <c r="M146" s="236"/>
      <c r="N146" s="236"/>
    </row>
    <row r="147" spans="1:14" x14ac:dyDescent="0.2">
      <c r="A147" s="237" t="str">
        <f>name!E$6</f>
        <v>Associate professional occupations</v>
      </c>
      <c r="B147" s="302">
        <v>0.85553107224325098</v>
      </c>
      <c r="C147" s="302">
        <v>2.6381767719994071</v>
      </c>
      <c r="D147" s="302">
        <f t="shared" si="43"/>
        <v>3.4937078442426581</v>
      </c>
      <c r="E147" s="303"/>
      <c r="F147" s="302">
        <v>1.2197747139782946</v>
      </c>
      <c r="G147" s="302">
        <v>3.6416177473084916</v>
      </c>
      <c r="H147" s="302">
        <f t="shared" si="44"/>
        <v>4.861392461286786</v>
      </c>
      <c r="I147" s="303"/>
      <c r="J147" s="302">
        <v>1.5675868636392429</v>
      </c>
      <c r="K147" s="302">
        <v>3.989789469594522</v>
      </c>
      <c r="L147" s="302">
        <f t="shared" si="45"/>
        <v>5.5573763332337647</v>
      </c>
      <c r="M147" s="236"/>
      <c r="N147" s="236"/>
    </row>
    <row r="148" spans="1:14" x14ac:dyDescent="0.2">
      <c r="A148" s="237" t="str">
        <f>name!E$7</f>
        <v>Administrative and secretarial occupations</v>
      </c>
      <c r="B148" s="302">
        <v>4.1493704153020516</v>
      </c>
      <c r="C148" s="302">
        <v>0.51895836041482202</v>
      </c>
      <c r="D148" s="302">
        <f t="shared" si="43"/>
        <v>4.6683287757168737</v>
      </c>
      <c r="E148" s="303"/>
      <c r="F148" s="302">
        <v>4.9166191894423941</v>
      </c>
      <c r="G148" s="302">
        <v>0.68143361710878203</v>
      </c>
      <c r="H148" s="302">
        <f t="shared" si="44"/>
        <v>5.5980528065511761</v>
      </c>
      <c r="I148" s="303"/>
      <c r="J148" s="302">
        <v>4.7431805184761924</v>
      </c>
      <c r="K148" s="302">
        <v>0.77980361442310298</v>
      </c>
      <c r="L148" s="302">
        <f t="shared" si="45"/>
        <v>5.5229841328992952</v>
      </c>
      <c r="M148" s="236"/>
      <c r="N148" s="236"/>
    </row>
    <row r="149" spans="1:14" x14ac:dyDescent="0.2">
      <c r="A149" s="237" t="str">
        <f>name!E$8</f>
        <v>Skilled trades occupations</v>
      </c>
      <c r="B149" s="302">
        <v>0.40442126977833065</v>
      </c>
      <c r="C149" s="302">
        <v>24.849231657026333</v>
      </c>
      <c r="D149" s="302">
        <f t="shared" si="43"/>
        <v>25.253652926804666</v>
      </c>
      <c r="E149" s="303"/>
      <c r="F149" s="302">
        <v>0.49878863238794635</v>
      </c>
      <c r="G149" s="302">
        <v>23.655338637123872</v>
      </c>
      <c r="H149" s="302">
        <f t="shared" si="44"/>
        <v>24.154127269511818</v>
      </c>
      <c r="I149" s="303"/>
      <c r="J149" s="302">
        <v>1.0862919003514615</v>
      </c>
      <c r="K149" s="302">
        <v>25.522524262026426</v>
      </c>
      <c r="L149" s="302">
        <f t="shared" si="45"/>
        <v>26.608816162377888</v>
      </c>
      <c r="M149" s="236"/>
      <c r="N149" s="236"/>
    </row>
    <row r="150" spans="1:14" x14ac:dyDescent="0.2">
      <c r="A150" s="237" t="str">
        <f>name!E$9</f>
        <v>Caring, leisure and other service occupations</v>
      </c>
      <c r="B150" s="302">
        <v>4.6819734630881474E-2</v>
      </c>
      <c r="C150" s="302">
        <v>0.1298790768726108</v>
      </c>
      <c r="D150" s="302">
        <f t="shared" si="43"/>
        <v>0.17669881150349226</v>
      </c>
      <c r="E150" s="303"/>
      <c r="F150" s="302">
        <v>5.4894363899115076E-2</v>
      </c>
      <c r="G150" s="302">
        <v>0.17973540861971471</v>
      </c>
      <c r="H150" s="302">
        <f t="shared" si="44"/>
        <v>0.23462977251882977</v>
      </c>
      <c r="I150" s="303"/>
      <c r="J150" s="302">
        <v>7.0111584502170143E-2</v>
      </c>
      <c r="K150" s="302">
        <v>0.21021632739507551</v>
      </c>
      <c r="L150" s="302">
        <f t="shared" si="45"/>
        <v>0.28032791189724565</v>
      </c>
      <c r="M150" s="236"/>
      <c r="N150" s="236"/>
    </row>
    <row r="151" spans="1:14" x14ac:dyDescent="0.2">
      <c r="A151" s="237" t="str">
        <f>name!E$10</f>
        <v>Sales and customer service occupations</v>
      </c>
      <c r="B151" s="302">
        <v>0.44452212369937821</v>
      </c>
      <c r="C151" s="302">
        <v>0.39015340443498098</v>
      </c>
      <c r="D151" s="302">
        <f t="shared" si="43"/>
        <v>0.83467552813435919</v>
      </c>
      <c r="E151" s="303"/>
      <c r="F151" s="302">
        <v>0.56548546564037561</v>
      </c>
      <c r="G151" s="302">
        <v>0.48769369649434474</v>
      </c>
      <c r="H151" s="302">
        <f t="shared" si="44"/>
        <v>1.0531791621347204</v>
      </c>
      <c r="I151" s="303"/>
      <c r="J151" s="302">
        <v>0.72352455370357027</v>
      </c>
      <c r="K151" s="302">
        <v>0.63057557030177147</v>
      </c>
      <c r="L151" s="302">
        <f t="shared" si="45"/>
        <v>1.3541001240053419</v>
      </c>
      <c r="M151" s="236"/>
      <c r="N151" s="236"/>
    </row>
    <row r="152" spans="1:14" x14ac:dyDescent="0.2">
      <c r="A152" s="237" t="str">
        <f>name!E$11</f>
        <v>Process, plant and machine operatives</v>
      </c>
      <c r="B152" s="302">
        <v>6.5517430422866105E-2</v>
      </c>
      <c r="C152" s="302">
        <v>4.4573354471133069</v>
      </c>
      <c r="D152" s="302">
        <f t="shared" si="43"/>
        <v>4.5228528775361729</v>
      </c>
      <c r="E152" s="303"/>
      <c r="F152" s="302">
        <v>6.745600495722906E-2</v>
      </c>
      <c r="G152" s="302">
        <v>4.6295976480868806</v>
      </c>
      <c r="H152" s="302">
        <f t="shared" si="44"/>
        <v>4.6970536530441098</v>
      </c>
      <c r="I152" s="303"/>
      <c r="J152" s="302">
        <v>0.10269753342691348</v>
      </c>
      <c r="K152" s="302">
        <v>6.1387737894610597</v>
      </c>
      <c r="L152" s="302">
        <f t="shared" si="45"/>
        <v>6.241471322887973</v>
      </c>
      <c r="M152" s="236"/>
      <c r="N152" s="236"/>
    </row>
    <row r="153" spans="1:14" x14ac:dyDescent="0.2">
      <c r="A153" s="237" t="str">
        <f>name!E$12</f>
        <v>Elementary occupations</v>
      </c>
      <c r="B153" s="302">
        <v>0.27331432381092863</v>
      </c>
      <c r="C153" s="302">
        <v>2.9813503077108874</v>
      </c>
      <c r="D153" s="302">
        <f t="shared" si="43"/>
        <v>3.2546646315218162</v>
      </c>
      <c r="E153" s="303"/>
      <c r="F153" s="302">
        <v>0.25109763342899494</v>
      </c>
      <c r="G153" s="302">
        <v>3.0782616366603635</v>
      </c>
      <c r="H153" s="302">
        <f t="shared" si="44"/>
        <v>3.3293592700893582</v>
      </c>
      <c r="I153" s="303"/>
      <c r="J153" s="302">
        <v>0.21982978222660932</v>
      </c>
      <c r="K153" s="302">
        <v>3.4425813583434106</v>
      </c>
      <c r="L153" s="302">
        <f t="shared" si="45"/>
        <v>3.6624111405700202</v>
      </c>
      <c r="M153" s="236"/>
      <c r="N153" s="236"/>
    </row>
    <row r="154" spans="1:14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  <c r="N154" s="236"/>
    </row>
    <row r="155" spans="1:14" x14ac:dyDescent="0.2">
      <c r="A155" s="244" t="s">
        <v>33</v>
      </c>
      <c r="B155" s="311">
        <f>SUM(B145:B153)</f>
        <v>8.2219527291903667</v>
      </c>
      <c r="C155" s="311">
        <f t="shared" ref="C155:D155" si="46">SUM(C145:C153)</f>
        <v>46.542047270809761</v>
      </c>
      <c r="D155" s="311">
        <f t="shared" si="46"/>
        <v>54.764000000000124</v>
      </c>
      <c r="E155" s="311"/>
      <c r="F155" s="311">
        <f t="shared" ref="F155:H155" si="47">SUM(F145:F153)</f>
        <v>10.729940943817629</v>
      </c>
      <c r="G155" s="311">
        <f t="shared" si="47"/>
        <v>51.449059056182257</v>
      </c>
      <c r="H155" s="311">
        <f t="shared" si="47"/>
        <v>62.178999999999881</v>
      </c>
      <c r="I155" s="311"/>
      <c r="J155" s="311">
        <f t="shared" ref="J155:L155" si="48">SUM(J145:J153)</f>
        <v>12.88699366206613</v>
      </c>
      <c r="K155" s="311">
        <f t="shared" si="48"/>
        <v>59.568006337933845</v>
      </c>
      <c r="L155" s="311">
        <f t="shared" si="48"/>
        <v>72.45499999999997</v>
      </c>
      <c r="M155" s="236"/>
      <c r="N155" s="236"/>
    </row>
    <row r="156" spans="1:14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  <c r="N156" s="236"/>
    </row>
    <row r="157" spans="1:14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56" t="s">
        <v>36</v>
      </c>
      <c r="M157" s="236"/>
      <c r="N157" s="236"/>
    </row>
    <row r="158" spans="1:14" x14ac:dyDescent="0.2">
      <c r="A158" s="242"/>
      <c r="B158" s="250"/>
      <c r="C158" s="250"/>
      <c r="D158" s="250"/>
      <c r="E158" s="250"/>
      <c r="F158" s="250"/>
      <c r="G158" s="250"/>
      <c r="H158" s="250"/>
      <c r="I158" s="250"/>
      <c r="J158" s="250"/>
      <c r="K158" s="250"/>
      <c r="L158" s="236"/>
      <c r="M158" s="236"/>
      <c r="N158" s="236"/>
    </row>
    <row r="159" spans="1:14" x14ac:dyDescent="0.2">
      <c r="A159" s="241" t="str">
        <f>name!B12</f>
        <v>Wholesale and retail trade</v>
      </c>
      <c r="B159" s="375">
        <f>B$6</f>
        <v>2015</v>
      </c>
      <c r="C159" s="375"/>
      <c r="D159" s="375"/>
      <c r="E159" s="253"/>
      <c r="F159" s="375">
        <f>F142</f>
        <v>2020</v>
      </c>
      <c r="G159" s="375"/>
      <c r="H159" s="375"/>
      <c r="I159" s="253"/>
      <c r="J159" s="375">
        <f>J142</f>
        <v>2035</v>
      </c>
      <c r="K159" s="375"/>
      <c r="L159" s="375"/>
      <c r="M159" s="236"/>
      <c r="N159" s="236"/>
    </row>
    <row r="160" spans="1:14" x14ac:dyDescent="0.2">
      <c r="A160" s="254"/>
      <c r="B160" s="255" t="s">
        <v>361</v>
      </c>
      <c r="C160" s="255" t="s">
        <v>362</v>
      </c>
      <c r="D160" s="255" t="s">
        <v>33</v>
      </c>
      <c r="E160" s="255"/>
      <c r="F160" s="255" t="s">
        <v>361</v>
      </c>
      <c r="G160" s="255" t="s">
        <v>362</v>
      </c>
      <c r="H160" s="255" t="s">
        <v>33</v>
      </c>
      <c r="I160" s="255"/>
      <c r="J160" s="255" t="s">
        <v>361</v>
      </c>
      <c r="K160" s="255" t="s">
        <v>362</v>
      </c>
      <c r="L160" s="255" t="s">
        <v>33</v>
      </c>
      <c r="M160" s="236"/>
      <c r="N160" s="236"/>
    </row>
    <row r="161" spans="1:14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  <c r="N161" s="236"/>
    </row>
    <row r="162" spans="1:14" x14ac:dyDescent="0.2">
      <c r="A162" s="237" t="str">
        <f>name!E$4</f>
        <v>Managers, directors and senior officials</v>
      </c>
      <c r="B162" s="302">
        <v>7.1275577940043329</v>
      </c>
      <c r="C162" s="302">
        <v>11.025800445276284</v>
      </c>
      <c r="D162" s="302">
        <f>SUM(B162:C162)</f>
        <v>18.153358239280617</v>
      </c>
      <c r="E162" s="303"/>
      <c r="F162" s="302">
        <v>9.2998772324320171</v>
      </c>
      <c r="G162" s="302">
        <v>12.844247410864877</v>
      </c>
      <c r="H162" s="302">
        <f>SUM(F162:G162)</f>
        <v>22.144124643296895</v>
      </c>
      <c r="I162" s="303"/>
      <c r="J162" s="302">
        <v>12.169605477689103</v>
      </c>
      <c r="K162" s="302">
        <v>14.234401605924937</v>
      </c>
      <c r="L162" s="302">
        <f>SUM(J162:K162)</f>
        <v>26.40400708361404</v>
      </c>
      <c r="M162" s="236"/>
      <c r="N162" s="236"/>
    </row>
    <row r="163" spans="1:14" x14ac:dyDescent="0.2">
      <c r="A163" s="237" t="str">
        <f>name!E$5</f>
        <v>Professional occupations</v>
      </c>
      <c r="B163" s="302">
        <v>5.312913817102066</v>
      </c>
      <c r="C163" s="302">
        <v>5.3250498331724563</v>
      </c>
      <c r="D163" s="302">
        <f t="shared" ref="D163:D170" si="49">SUM(B163:C163)</f>
        <v>10.637963650274521</v>
      </c>
      <c r="E163" s="303"/>
      <c r="F163" s="302">
        <v>7.6749576891826106</v>
      </c>
      <c r="G163" s="302">
        <v>7.0782609933134921</v>
      </c>
      <c r="H163" s="302">
        <f t="shared" ref="H163:H170" si="50">SUM(F163:G163)</f>
        <v>14.753218682496103</v>
      </c>
      <c r="I163" s="303"/>
      <c r="J163" s="302">
        <v>9.8975564702763332</v>
      </c>
      <c r="K163" s="302">
        <v>8.7967576283727205</v>
      </c>
      <c r="L163" s="302">
        <f t="shared" ref="L163:L170" si="51">SUM(J163:K163)</f>
        <v>18.694314098649052</v>
      </c>
      <c r="M163" s="236"/>
      <c r="N163" s="236"/>
    </row>
    <row r="164" spans="1:14" x14ac:dyDescent="0.2">
      <c r="A164" s="237" t="str">
        <f>name!E$6</f>
        <v>Associate professional occupations</v>
      </c>
      <c r="B164" s="302">
        <v>5.9489055655837682</v>
      </c>
      <c r="C164" s="302">
        <v>5.7424422904444778</v>
      </c>
      <c r="D164" s="302">
        <f t="shared" si="49"/>
        <v>11.691347856028246</v>
      </c>
      <c r="E164" s="303"/>
      <c r="F164" s="302">
        <v>7.4849951633100362</v>
      </c>
      <c r="G164" s="302">
        <v>6.8985583926721015</v>
      </c>
      <c r="H164" s="302">
        <f t="shared" si="50"/>
        <v>14.383553555982138</v>
      </c>
      <c r="I164" s="303"/>
      <c r="J164" s="302">
        <v>8.5285239665964117</v>
      </c>
      <c r="K164" s="302">
        <v>6.9733871131619019</v>
      </c>
      <c r="L164" s="302">
        <f t="shared" si="51"/>
        <v>15.501911079758314</v>
      </c>
      <c r="M164" s="236"/>
      <c r="N164" s="236"/>
    </row>
    <row r="165" spans="1:14" x14ac:dyDescent="0.2">
      <c r="A165" s="237" t="str">
        <f>name!E$7</f>
        <v>Administrative and secretarial occupations</v>
      </c>
      <c r="B165" s="302">
        <v>9.3999588949106805</v>
      </c>
      <c r="C165" s="302">
        <v>3.4986339720806612</v>
      </c>
      <c r="D165" s="302">
        <f t="shared" si="49"/>
        <v>12.898592866991342</v>
      </c>
      <c r="E165" s="303"/>
      <c r="F165" s="302">
        <v>9.8743542093987919</v>
      </c>
      <c r="G165" s="302">
        <v>4.2687576759406918</v>
      </c>
      <c r="H165" s="302">
        <f t="shared" si="50"/>
        <v>14.143111885339483</v>
      </c>
      <c r="I165" s="303"/>
      <c r="J165" s="302">
        <v>8.2392554889756067</v>
      </c>
      <c r="K165" s="302">
        <v>4.8918997816017109</v>
      </c>
      <c r="L165" s="302">
        <f t="shared" si="51"/>
        <v>13.131155270577317</v>
      </c>
      <c r="M165" s="236"/>
      <c r="N165" s="236"/>
    </row>
    <row r="166" spans="1:14" x14ac:dyDescent="0.2">
      <c r="A166" s="237" t="str">
        <f>name!E$8</f>
        <v>Skilled trades occupations</v>
      </c>
      <c r="B166" s="302">
        <v>1.6644567967272921</v>
      </c>
      <c r="C166" s="302">
        <v>8.899272007072458</v>
      </c>
      <c r="D166" s="302">
        <f t="shared" si="49"/>
        <v>10.56372880379975</v>
      </c>
      <c r="E166" s="303"/>
      <c r="F166" s="302">
        <v>1.5930755383050321</v>
      </c>
      <c r="G166" s="302">
        <v>8.116320851559097</v>
      </c>
      <c r="H166" s="302">
        <f t="shared" si="50"/>
        <v>9.7093963898641285</v>
      </c>
      <c r="I166" s="303"/>
      <c r="J166" s="302">
        <v>1.8098143624449508</v>
      </c>
      <c r="K166" s="302">
        <v>7.9465379498673601</v>
      </c>
      <c r="L166" s="302">
        <f t="shared" si="51"/>
        <v>9.7563523123123108</v>
      </c>
      <c r="M166" s="236"/>
      <c r="N166" s="236"/>
    </row>
    <row r="167" spans="1:14" x14ac:dyDescent="0.2">
      <c r="A167" s="237" t="str">
        <f>name!E$9</f>
        <v>Caring, leisure and other service occupations</v>
      </c>
      <c r="B167" s="302">
        <v>1.1780098700052792</v>
      </c>
      <c r="C167" s="302">
        <v>0.24723928357688668</v>
      </c>
      <c r="D167" s="302">
        <f t="shared" si="49"/>
        <v>1.4252491535821659</v>
      </c>
      <c r="E167" s="303"/>
      <c r="F167" s="302">
        <v>1.2646619347471537</v>
      </c>
      <c r="G167" s="302">
        <v>0.28890577869058698</v>
      </c>
      <c r="H167" s="302">
        <f t="shared" si="50"/>
        <v>1.5535677134377406</v>
      </c>
      <c r="I167" s="303"/>
      <c r="J167" s="302">
        <v>1.6409214496308979</v>
      </c>
      <c r="K167" s="302">
        <v>0.35737264826636955</v>
      </c>
      <c r="L167" s="302">
        <f t="shared" si="51"/>
        <v>1.9982940978972674</v>
      </c>
      <c r="M167" s="236"/>
      <c r="N167" s="236"/>
    </row>
    <row r="168" spans="1:14" x14ac:dyDescent="0.2">
      <c r="A168" s="237" t="str">
        <f>name!E$10</f>
        <v>Sales and customer service occupations</v>
      </c>
      <c r="B168" s="302">
        <v>23.731198461389891</v>
      </c>
      <c r="C168" s="302">
        <v>16.77314667218754</v>
      </c>
      <c r="D168" s="302">
        <f t="shared" si="49"/>
        <v>40.504345133577431</v>
      </c>
      <c r="E168" s="303"/>
      <c r="F168" s="302">
        <v>23.908743914761796</v>
      </c>
      <c r="G168" s="302">
        <v>18.101530281586736</v>
      </c>
      <c r="H168" s="302">
        <f t="shared" si="50"/>
        <v>42.010274196348533</v>
      </c>
      <c r="I168" s="303"/>
      <c r="J168" s="302">
        <v>20.317507082007932</v>
      </c>
      <c r="K168" s="302">
        <v>17.768199163503837</v>
      </c>
      <c r="L168" s="302">
        <f t="shared" si="51"/>
        <v>38.085706245511773</v>
      </c>
      <c r="M168" s="236"/>
      <c r="N168" s="236"/>
    </row>
    <row r="169" spans="1:14" x14ac:dyDescent="0.2">
      <c r="A169" s="237" t="str">
        <f>name!E$11</f>
        <v>Process, plant and machine operatives</v>
      </c>
      <c r="B169" s="302">
        <v>0.90349985298120261</v>
      </c>
      <c r="C169" s="302">
        <v>6.6477493948352944</v>
      </c>
      <c r="D169" s="302">
        <f t="shared" si="49"/>
        <v>7.5512492478164965</v>
      </c>
      <c r="E169" s="303"/>
      <c r="F169" s="302">
        <v>0.7888016694857739</v>
      </c>
      <c r="G169" s="302">
        <v>5.9668366494998031</v>
      </c>
      <c r="H169" s="302">
        <f t="shared" si="50"/>
        <v>6.7556383189855769</v>
      </c>
      <c r="I169" s="303"/>
      <c r="J169" s="302">
        <v>1.0954902424352333</v>
      </c>
      <c r="K169" s="302">
        <v>6.5080102999032983</v>
      </c>
      <c r="L169" s="302">
        <f t="shared" si="51"/>
        <v>7.6035005423385318</v>
      </c>
      <c r="M169" s="236"/>
      <c r="N169" s="236"/>
    </row>
    <row r="170" spans="1:14" x14ac:dyDescent="0.2">
      <c r="A170" s="237" t="str">
        <f>name!E$12</f>
        <v>Elementary occupations</v>
      </c>
      <c r="B170" s="302">
        <v>6.667688598574296</v>
      </c>
      <c r="C170" s="302">
        <v>7.4414764500749939</v>
      </c>
      <c r="D170" s="302">
        <f t="shared" si="49"/>
        <v>14.10916504864929</v>
      </c>
      <c r="E170" s="303"/>
      <c r="F170" s="302">
        <v>5.9156764625622698</v>
      </c>
      <c r="G170" s="302">
        <v>6.4304381516870706</v>
      </c>
      <c r="H170" s="302">
        <f t="shared" si="50"/>
        <v>12.346114614249341</v>
      </c>
      <c r="I170" s="303"/>
      <c r="J170" s="302">
        <v>5.1254372701378212</v>
      </c>
      <c r="K170" s="302">
        <v>5.129321999203512</v>
      </c>
      <c r="L170" s="302">
        <f t="shared" si="51"/>
        <v>10.254759269341333</v>
      </c>
      <c r="M170" s="236"/>
      <c r="N170" s="236"/>
    </row>
    <row r="171" spans="1:14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  <c r="N171" s="236"/>
    </row>
    <row r="172" spans="1:14" x14ac:dyDescent="0.2">
      <c r="A172" s="244" t="s">
        <v>33</v>
      </c>
      <c r="B172" s="311">
        <f>SUM(B162:B170)</f>
        <v>61.934189651278814</v>
      </c>
      <c r="C172" s="311">
        <f t="shared" ref="C172:D172" si="52">SUM(C162:C170)</f>
        <v>65.600810348721055</v>
      </c>
      <c r="D172" s="311">
        <f t="shared" si="52"/>
        <v>127.53499999999987</v>
      </c>
      <c r="E172" s="311"/>
      <c r="F172" s="311">
        <f t="shared" ref="F172:H172" si="53">SUM(F162:F170)</f>
        <v>67.80514381418547</v>
      </c>
      <c r="G172" s="311">
        <f t="shared" si="53"/>
        <v>69.993856185814451</v>
      </c>
      <c r="H172" s="311">
        <f t="shared" si="53"/>
        <v>137.79899999999992</v>
      </c>
      <c r="I172" s="311"/>
      <c r="J172" s="311">
        <f t="shared" ref="J172:L172" si="54">SUM(J162:J170)</f>
        <v>68.824111810194296</v>
      </c>
      <c r="K172" s="311">
        <f t="shared" si="54"/>
        <v>72.605888189805654</v>
      </c>
      <c r="L172" s="311">
        <f t="shared" si="54"/>
        <v>141.42999999999992</v>
      </c>
      <c r="M172" s="236"/>
      <c r="N172" s="236"/>
    </row>
    <row r="173" spans="1:14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  <c r="N173" s="236"/>
    </row>
    <row r="174" spans="1:14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56" t="s">
        <v>36</v>
      </c>
      <c r="M174" s="236"/>
      <c r="N174" s="236"/>
    </row>
    <row r="175" spans="1:14" x14ac:dyDescent="0.2">
      <c r="A175" s="242"/>
      <c r="B175" s="250"/>
      <c r="C175" s="250"/>
      <c r="D175" s="250"/>
      <c r="E175" s="250"/>
      <c r="F175" s="250"/>
      <c r="G175" s="250"/>
      <c r="H175" s="250"/>
      <c r="I175" s="250"/>
      <c r="J175" s="250"/>
      <c r="K175" s="250"/>
      <c r="L175" s="236"/>
      <c r="M175" s="236"/>
      <c r="N175" s="236"/>
    </row>
    <row r="176" spans="1:14" x14ac:dyDescent="0.2">
      <c r="A176" s="241" t="str">
        <f>name!B13</f>
        <v>Transport and storage</v>
      </c>
      <c r="B176" s="375">
        <f>B$6</f>
        <v>2015</v>
      </c>
      <c r="C176" s="375"/>
      <c r="D176" s="375"/>
      <c r="E176" s="253"/>
      <c r="F176" s="375">
        <f>F159</f>
        <v>2020</v>
      </c>
      <c r="G176" s="375"/>
      <c r="H176" s="375"/>
      <c r="I176" s="253"/>
      <c r="J176" s="375">
        <f>J159</f>
        <v>2035</v>
      </c>
      <c r="K176" s="375"/>
      <c r="L176" s="375"/>
      <c r="M176" s="236"/>
      <c r="N176" s="236"/>
    </row>
    <row r="177" spans="1:14" x14ac:dyDescent="0.2">
      <c r="A177" s="254"/>
      <c r="B177" s="255" t="s">
        <v>361</v>
      </c>
      <c r="C177" s="255" t="s">
        <v>362</v>
      </c>
      <c r="D177" s="255" t="s">
        <v>33</v>
      </c>
      <c r="E177" s="255"/>
      <c r="F177" s="255" t="s">
        <v>361</v>
      </c>
      <c r="G177" s="255" t="s">
        <v>362</v>
      </c>
      <c r="H177" s="255" t="s">
        <v>33</v>
      </c>
      <c r="I177" s="255"/>
      <c r="J177" s="255" t="s">
        <v>361</v>
      </c>
      <c r="K177" s="255" t="s">
        <v>362</v>
      </c>
      <c r="L177" s="255" t="s">
        <v>33</v>
      </c>
      <c r="M177" s="236"/>
      <c r="N177" s="236"/>
    </row>
    <row r="178" spans="1:14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  <c r="N178" s="236"/>
    </row>
    <row r="179" spans="1:14" x14ac:dyDescent="0.2">
      <c r="A179" s="237" t="str">
        <f>name!E$4</f>
        <v>Managers, directors and senior officials</v>
      </c>
      <c r="B179" s="302">
        <v>0.47321843781149936</v>
      </c>
      <c r="C179" s="302">
        <v>2.1735374651208637</v>
      </c>
      <c r="D179" s="302">
        <f>SUM(B179:C179)</f>
        <v>2.6467559029323628</v>
      </c>
      <c r="E179" s="303"/>
      <c r="F179" s="302">
        <v>0.63877779547625058</v>
      </c>
      <c r="G179" s="302">
        <v>2.2761946675471347</v>
      </c>
      <c r="H179" s="302">
        <f>SUM(F179:G179)</f>
        <v>2.9149724630233855</v>
      </c>
      <c r="I179" s="303"/>
      <c r="J179" s="302">
        <v>0.84310642732748831</v>
      </c>
      <c r="K179" s="302">
        <v>2.2859541170944229</v>
      </c>
      <c r="L179" s="302">
        <f>SUM(J179:K179)</f>
        <v>3.1290605444219111</v>
      </c>
      <c r="M179" s="236"/>
      <c r="N179" s="236"/>
    </row>
    <row r="180" spans="1:14" x14ac:dyDescent="0.2">
      <c r="A180" s="237" t="str">
        <f>name!E$5</f>
        <v>Professional occupations</v>
      </c>
      <c r="B180" s="302">
        <v>0.40260345981264956</v>
      </c>
      <c r="C180" s="302">
        <v>1.5418325647630353</v>
      </c>
      <c r="D180" s="302">
        <f t="shared" ref="D180:D187" si="55">SUM(B180:C180)</f>
        <v>1.9444360245756849</v>
      </c>
      <c r="E180" s="303"/>
      <c r="F180" s="302">
        <v>0.66023632170487223</v>
      </c>
      <c r="G180" s="302">
        <v>2.1075473669758313</v>
      </c>
      <c r="H180" s="302">
        <f t="shared" ref="H180:H187" si="56">SUM(F180:G180)</f>
        <v>2.7677836886807037</v>
      </c>
      <c r="I180" s="303"/>
      <c r="J180" s="302">
        <v>0.87613133954935607</v>
      </c>
      <c r="K180" s="302">
        <v>2.9721782116593345</v>
      </c>
      <c r="L180" s="302">
        <f t="shared" ref="L180:L187" si="57">SUM(J180:K180)</f>
        <v>3.8483095512086907</v>
      </c>
      <c r="M180" s="236"/>
      <c r="N180" s="236"/>
    </row>
    <row r="181" spans="1:14" x14ac:dyDescent="0.2">
      <c r="A181" s="237" t="str">
        <f>name!E$6</f>
        <v>Associate professional occupations</v>
      </c>
      <c r="B181" s="302">
        <v>0.48108656861349086</v>
      </c>
      <c r="C181" s="302">
        <v>1.7524583504667679</v>
      </c>
      <c r="D181" s="302">
        <f t="shared" si="55"/>
        <v>2.2335449190802588</v>
      </c>
      <c r="E181" s="303"/>
      <c r="F181" s="302">
        <v>0.66015771703490123</v>
      </c>
      <c r="G181" s="302">
        <v>2.389570507763449</v>
      </c>
      <c r="H181" s="302">
        <f t="shared" si="56"/>
        <v>3.0497282247983502</v>
      </c>
      <c r="I181" s="303"/>
      <c r="J181" s="302">
        <v>0.77467809399704324</v>
      </c>
      <c r="K181" s="302">
        <v>2.9340662257303474</v>
      </c>
      <c r="L181" s="302">
        <f t="shared" si="57"/>
        <v>3.7087443197273906</v>
      </c>
      <c r="M181" s="236"/>
      <c r="N181" s="236"/>
    </row>
    <row r="182" spans="1:14" x14ac:dyDescent="0.2">
      <c r="A182" s="237" t="str">
        <f>name!E$7</f>
        <v>Administrative and secretarial occupations</v>
      </c>
      <c r="B182" s="302">
        <v>1.6985198946504716</v>
      </c>
      <c r="C182" s="302">
        <v>1.2763821889804048</v>
      </c>
      <c r="D182" s="302">
        <f t="shared" si="55"/>
        <v>2.9749020836308766</v>
      </c>
      <c r="E182" s="303"/>
      <c r="F182" s="302">
        <v>1.9524008330235751</v>
      </c>
      <c r="G182" s="302">
        <v>1.4320030804105053</v>
      </c>
      <c r="H182" s="302">
        <f t="shared" si="56"/>
        <v>3.3844039134340802</v>
      </c>
      <c r="I182" s="303"/>
      <c r="J182" s="302">
        <v>1.6846762953308712</v>
      </c>
      <c r="K182" s="302">
        <v>1.3439788846672702</v>
      </c>
      <c r="L182" s="302">
        <f t="shared" si="57"/>
        <v>3.0286551799981414</v>
      </c>
      <c r="M182" s="236"/>
      <c r="N182" s="236"/>
    </row>
    <row r="183" spans="1:14" x14ac:dyDescent="0.2">
      <c r="A183" s="237" t="str">
        <f>name!E$8</f>
        <v>Skilled trades occupations</v>
      </c>
      <c r="B183" s="302">
        <v>5.805563241366582E-2</v>
      </c>
      <c r="C183" s="302">
        <v>1.745940277437863</v>
      </c>
      <c r="D183" s="302">
        <f t="shared" si="55"/>
        <v>1.8039959098515288</v>
      </c>
      <c r="E183" s="303"/>
      <c r="F183" s="302">
        <v>6.8571703304074291E-2</v>
      </c>
      <c r="G183" s="302">
        <v>1.387958631097699</v>
      </c>
      <c r="H183" s="302">
        <f t="shared" si="56"/>
        <v>1.4565303344017733</v>
      </c>
      <c r="I183" s="303"/>
      <c r="J183" s="302">
        <v>0.19334650330437281</v>
      </c>
      <c r="K183" s="302">
        <v>1.4159802724505914</v>
      </c>
      <c r="L183" s="302">
        <f t="shared" si="57"/>
        <v>1.6093267757549643</v>
      </c>
      <c r="M183" s="236"/>
      <c r="N183" s="236"/>
    </row>
    <row r="184" spans="1:14" x14ac:dyDescent="0.2">
      <c r="A184" s="237" t="str">
        <f>name!E$9</f>
        <v>Caring, leisure and other service occupations</v>
      </c>
      <c r="B184" s="302">
        <v>1.6281628994666868</v>
      </c>
      <c r="C184" s="302">
        <v>1.0922558889766454</v>
      </c>
      <c r="D184" s="302">
        <f t="shared" si="55"/>
        <v>2.7204187884433324</v>
      </c>
      <c r="E184" s="303"/>
      <c r="F184" s="302">
        <v>1.4193071107884068</v>
      </c>
      <c r="G184" s="302">
        <v>1.3491358660927366</v>
      </c>
      <c r="H184" s="302">
        <f t="shared" si="56"/>
        <v>2.7684429768811434</v>
      </c>
      <c r="I184" s="303"/>
      <c r="J184" s="302">
        <v>1.4604640138172609</v>
      </c>
      <c r="K184" s="302">
        <v>1.8846370405314676</v>
      </c>
      <c r="L184" s="302">
        <f t="shared" si="57"/>
        <v>3.3451010543487287</v>
      </c>
      <c r="M184" s="236"/>
      <c r="N184" s="236"/>
    </row>
    <row r="185" spans="1:14" x14ac:dyDescent="0.2">
      <c r="A185" s="237" t="str">
        <f>name!E$10</f>
        <v>Sales and customer service occupations</v>
      </c>
      <c r="B185" s="302">
        <v>0.46058614714155355</v>
      </c>
      <c r="C185" s="302">
        <v>0.69697905610953947</v>
      </c>
      <c r="D185" s="302">
        <f t="shared" si="55"/>
        <v>1.157565203251093</v>
      </c>
      <c r="E185" s="303"/>
      <c r="F185" s="302">
        <v>0.52957195918544975</v>
      </c>
      <c r="G185" s="302">
        <v>0.74096373824331885</v>
      </c>
      <c r="H185" s="302">
        <f t="shared" si="56"/>
        <v>1.2705356974287687</v>
      </c>
      <c r="I185" s="303"/>
      <c r="J185" s="302">
        <v>0.61667990836882769</v>
      </c>
      <c r="K185" s="302">
        <v>1.043119814672183</v>
      </c>
      <c r="L185" s="302">
        <f t="shared" si="57"/>
        <v>1.6597997230410106</v>
      </c>
      <c r="M185" s="236"/>
      <c r="N185" s="236"/>
    </row>
    <row r="186" spans="1:14" x14ac:dyDescent="0.2">
      <c r="A186" s="237" t="str">
        <f>name!E$11</f>
        <v>Process, plant and machine operatives</v>
      </c>
      <c r="B186" s="302">
        <v>0.4309574545227452</v>
      </c>
      <c r="C186" s="302">
        <v>8.9343030656410267</v>
      </c>
      <c r="D186" s="302">
        <f t="shared" si="55"/>
        <v>9.3652605201637726</v>
      </c>
      <c r="E186" s="303"/>
      <c r="F186" s="302">
        <v>0.38965177553326952</v>
      </c>
      <c r="G186" s="302">
        <v>6.8569079998993612</v>
      </c>
      <c r="H186" s="302">
        <f t="shared" si="56"/>
        <v>7.2465597754326305</v>
      </c>
      <c r="I186" s="303"/>
      <c r="J186" s="302">
        <v>0.73849155576978875</v>
      </c>
      <c r="K186" s="302">
        <v>6.54908458573078</v>
      </c>
      <c r="L186" s="302">
        <f t="shared" si="57"/>
        <v>7.2875761415005691</v>
      </c>
      <c r="M186" s="236"/>
      <c r="N186" s="236"/>
    </row>
    <row r="187" spans="1:14" x14ac:dyDescent="0.2">
      <c r="A187" s="237" t="str">
        <f>name!E$12</f>
        <v>Elementary occupations</v>
      </c>
      <c r="B187" s="302">
        <v>1.097834978456069</v>
      </c>
      <c r="C187" s="302">
        <v>4.1512856696150191</v>
      </c>
      <c r="D187" s="302">
        <f t="shared" si="55"/>
        <v>5.2491206480710879</v>
      </c>
      <c r="E187" s="303"/>
      <c r="F187" s="302">
        <v>1.0995506779563611</v>
      </c>
      <c r="G187" s="302">
        <v>3.3844922479627746</v>
      </c>
      <c r="H187" s="302">
        <f t="shared" si="56"/>
        <v>4.4840429259191357</v>
      </c>
      <c r="I187" s="303"/>
      <c r="J187" s="302">
        <v>1.0921252973268629</v>
      </c>
      <c r="K187" s="302">
        <v>2.5843014126717008</v>
      </c>
      <c r="L187" s="302">
        <f t="shared" si="57"/>
        <v>3.6764267099985637</v>
      </c>
      <c r="M187" s="236"/>
      <c r="N187" s="236"/>
    </row>
    <row r="188" spans="1:14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  <c r="N188" s="236"/>
    </row>
    <row r="189" spans="1:14" x14ac:dyDescent="0.2">
      <c r="A189" s="244" t="s">
        <v>33</v>
      </c>
      <c r="B189" s="311">
        <f>SUM(B179:B187)</f>
        <v>6.731025472888831</v>
      </c>
      <c r="C189" s="311">
        <f t="shared" ref="C189:D189" si="58">SUM(C179:C187)</f>
        <v>23.364974527111166</v>
      </c>
      <c r="D189" s="311">
        <f t="shared" si="58"/>
        <v>30.095999999999997</v>
      </c>
      <c r="E189" s="311"/>
      <c r="F189" s="311">
        <f t="shared" ref="F189:H189" si="59">SUM(F179:F187)</f>
        <v>7.4182258940071613</v>
      </c>
      <c r="G189" s="311">
        <f t="shared" si="59"/>
        <v>21.92477410599281</v>
      </c>
      <c r="H189" s="311">
        <f t="shared" si="59"/>
        <v>29.342999999999968</v>
      </c>
      <c r="I189" s="311"/>
      <c r="J189" s="311">
        <f t="shared" ref="J189:L189" si="60">SUM(J179:J187)</f>
        <v>8.2796994347918726</v>
      </c>
      <c r="K189" s="311">
        <f t="shared" si="60"/>
        <v>23.013300565208098</v>
      </c>
      <c r="L189" s="311">
        <f t="shared" si="60"/>
        <v>31.292999999999967</v>
      </c>
      <c r="M189" s="236"/>
      <c r="N189" s="236"/>
    </row>
    <row r="190" spans="1:14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  <c r="N190" s="236"/>
    </row>
    <row r="191" spans="1:14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56" t="s">
        <v>36</v>
      </c>
      <c r="M191" s="236"/>
      <c r="N191" s="236"/>
    </row>
    <row r="192" spans="1:14" x14ac:dyDescent="0.2">
      <c r="A192" s="242"/>
      <c r="B192" s="250"/>
      <c r="C192" s="250"/>
      <c r="D192" s="250"/>
      <c r="E192" s="250"/>
      <c r="F192" s="250"/>
      <c r="G192" s="250"/>
      <c r="H192" s="250"/>
      <c r="I192" s="250"/>
      <c r="J192" s="250"/>
      <c r="K192" s="250"/>
      <c r="L192" s="236"/>
      <c r="M192" s="236"/>
      <c r="N192" s="236"/>
    </row>
    <row r="193" spans="1:14" x14ac:dyDescent="0.2">
      <c r="A193" s="241" t="str">
        <f>name!B14</f>
        <v>Accommodation and food</v>
      </c>
      <c r="B193" s="375">
        <f>B$6</f>
        <v>2015</v>
      </c>
      <c r="C193" s="375"/>
      <c r="D193" s="375"/>
      <c r="E193" s="253"/>
      <c r="F193" s="375">
        <f>F176</f>
        <v>2020</v>
      </c>
      <c r="G193" s="375"/>
      <c r="H193" s="375"/>
      <c r="I193" s="253"/>
      <c r="J193" s="375">
        <f>J176</f>
        <v>2035</v>
      </c>
      <c r="K193" s="375"/>
      <c r="L193" s="375"/>
      <c r="M193" s="236"/>
      <c r="N193" s="236"/>
    </row>
    <row r="194" spans="1:14" x14ac:dyDescent="0.2">
      <c r="A194" s="254"/>
      <c r="B194" s="255" t="s">
        <v>361</v>
      </c>
      <c r="C194" s="255" t="s">
        <v>362</v>
      </c>
      <c r="D194" s="255" t="s">
        <v>33</v>
      </c>
      <c r="E194" s="255"/>
      <c r="F194" s="255" t="s">
        <v>361</v>
      </c>
      <c r="G194" s="255" t="s">
        <v>362</v>
      </c>
      <c r="H194" s="255" t="s">
        <v>33</v>
      </c>
      <c r="I194" s="255"/>
      <c r="J194" s="255" t="s">
        <v>361</v>
      </c>
      <c r="K194" s="255" t="s">
        <v>362</v>
      </c>
      <c r="L194" s="255" t="s">
        <v>33</v>
      </c>
      <c r="M194" s="236"/>
      <c r="N194" s="236"/>
    </row>
    <row r="195" spans="1:14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  <c r="N195" s="236"/>
    </row>
    <row r="196" spans="1:14" x14ac:dyDescent="0.2">
      <c r="A196" s="237" t="str">
        <f>name!E$4</f>
        <v>Managers, directors and senior officials</v>
      </c>
      <c r="B196" s="302">
        <v>2.0590011202049632</v>
      </c>
      <c r="C196" s="302">
        <v>2.728864098536826</v>
      </c>
      <c r="D196" s="302">
        <f>SUM(B196:C196)</f>
        <v>4.7878652187417892</v>
      </c>
      <c r="E196" s="303"/>
      <c r="F196" s="302">
        <v>2.3524571458632897</v>
      </c>
      <c r="G196" s="302">
        <v>2.7965759189748596</v>
      </c>
      <c r="H196" s="302">
        <f>SUM(F196:G196)</f>
        <v>5.1490330648381493</v>
      </c>
      <c r="I196" s="303"/>
      <c r="J196" s="302">
        <v>3.2481994386679856</v>
      </c>
      <c r="K196" s="302">
        <v>4.1917850223984523</v>
      </c>
      <c r="L196" s="302">
        <f>SUM(J196:K196)</f>
        <v>7.4399844610664374</v>
      </c>
      <c r="M196" s="236"/>
      <c r="N196" s="236"/>
    </row>
    <row r="197" spans="1:14" x14ac:dyDescent="0.2">
      <c r="A197" s="237" t="str">
        <f>name!E$5</f>
        <v>Professional occupations</v>
      </c>
      <c r="B197" s="302">
        <v>0.77453961308689623</v>
      </c>
      <c r="C197" s="302">
        <v>0.62091761909494358</v>
      </c>
      <c r="D197" s="302">
        <f t="shared" ref="D197:D204" si="61">SUM(B197:C197)</f>
        <v>1.3954572321818399</v>
      </c>
      <c r="E197" s="303"/>
      <c r="F197" s="302">
        <v>1.1066447652983828</v>
      </c>
      <c r="G197" s="302">
        <v>0.8253349970789825</v>
      </c>
      <c r="H197" s="302">
        <f t="shared" ref="H197:H204" si="62">SUM(F197:G197)</f>
        <v>1.9319797623773654</v>
      </c>
      <c r="I197" s="303"/>
      <c r="J197" s="302">
        <v>1.5112095330823703</v>
      </c>
      <c r="K197" s="302">
        <v>1.1049402945604372</v>
      </c>
      <c r="L197" s="302">
        <f t="shared" ref="L197:L204" si="63">SUM(J197:K197)</f>
        <v>2.6161498276428077</v>
      </c>
      <c r="M197" s="236"/>
      <c r="N197" s="236"/>
    </row>
    <row r="198" spans="1:14" x14ac:dyDescent="0.2">
      <c r="A198" s="237" t="str">
        <f>name!E$6</f>
        <v>Associate professional occupations</v>
      </c>
      <c r="B198" s="302">
        <v>1.0900225867341899</v>
      </c>
      <c r="C198" s="302">
        <v>0.58741436101631572</v>
      </c>
      <c r="D198" s="302">
        <f t="shared" si="61"/>
        <v>1.6774369477505058</v>
      </c>
      <c r="E198" s="303"/>
      <c r="F198" s="302">
        <v>1.4051875226694108</v>
      </c>
      <c r="G198" s="302">
        <v>0.72780125188121403</v>
      </c>
      <c r="H198" s="302">
        <f t="shared" si="62"/>
        <v>2.1329887745506246</v>
      </c>
      <c r="I198" s="303"/>
      <c r="J198" s="302">
        <v>1.9689094204025155</v>
      </c>
      <c r="K198" s="302">
        <v>0.83629411643868357</v>
      </c>
      <c r="L198" s="302">
        <f t="shared" si="63"/>
        <v>2.8052035368411992</v>
      </c>
      <c r="M198" s="236"/>
      <c r="N198" s="236"/>
    </row>
    <row r="199" spans="1:14" x14ac:dyDescent="0.2">
      <c r="A199" s="237" t="str">
        <f>name!E$7</f>
        <v>Administrative and secretarial occupations</v>
      </c>
      <c r="B199" s="302">
        <v>1.8811639633316937</v>
      </c>
      <c r="C199" s="302">
        <v>0.547555602852829</v>
      </c>
      <c r="D199" s="302">
        <f t="shared" si="61"/>
        <v>2.4287195661845224</v>
      </c>
      <c r="E199" s="303"/>
      <c r="F199" s="302">
        <v>1.9574767901850223</v>
      </c>
      <c r="G199" s="302">
        <v>0.69280817761378122</v>
      </c>
      <c r="H199" s="302">
        <f t="shared" si="62"/>
        <v>2.6502849677988034</v>
      </c>
      <c r="I199" s="303"/>
      <c r="J199" s="302">
        <v>2.4583547387693483</v>
      </c>
      <c r="K199" s="302">
        <v>1.0318293317599319</v>
      </c>
      <c r="L199" s="302">
        <f t="shared" si="63"/>
        <v>3.4901840705292804</v>
      </c>
      <c r="M199" s="236"/>
      <c r="N199" s="236"/>
    </row>
    <row r="200" spans="1:14" x14ac:dyDescent="0.2">
      <c r="A200" s="237" t="str">
        <f>name!E$8</f>
        <v>Skilled trades occupations</v>
      </c>
      <c r="B200" s="302">
        <v>2.4561773775874309</v>
      </c>
      <c r="C200" s="302">
        <v>7.7982650532124609</v>
      </c>
      <c r="D200" s="302">
        <f t="shared" si="61"/>
        <v>10.254442430799891</v>
      </c>
      <c r="E200" s="303"/>
      <c r="F200" s="302">
        <v>2.2639830717102121</v>
      </c>
      <c r="G200" s="302">
        <v>5.8029992934739738</v>
      </c>
      <c r="H200" s="302">
        <f t="shared" si="62"/>
        <v>8.0669823651841863</v>
      </c>
      <c r="I200" s="303"/>
      <c r="J200" s="302">
        <v>2.1515276896571125</v>
      </c>
      <c r="K200" s="302">
        <v>6.3950423258135611</v>
      </c>
      <c r="L200" s="302">
        <f t="shared" si="63"/>
        <v>8.5465700154706745</v>
      </c>
      <c r="M200" s="236"/>
      <c r="N200" s="236"/>
    </row>
    <row r="201" spans="1:14" x14ac:dyDescent="0.2">
      <c r="A201" s="237" t="str">
        <f>name!E$9</f>
        <v>Caring, leisure and other service occupations</v>
      </c>
      <c r="B201" s="302">
        <v>2.0570694125152222</v>
      </c>
      <c r="C201" s="302">
        <v>0.43906535671095515</v>
      </c>
      <c r="D201" s="302">
        <f t="shared" si="61"/>
        <v>2.4961347692261775</v>
      </c>
      <c r="E201" s="303"/>
      <c r="F201" s="302">
        <v>1.9666225124076613</v>
      </c>
      <c r="G201" s="302">
        <v>0.54246288412157562</v>
      </c>
      <c r="H201" s="302">
        <f t="shared" si="62"/>
        <v>2.5090853965292368</v>
      </c>
      <c r="I201" s="303"/>
      <c r="J201" s="302">
        <v>2.6254759257582725</v>
      </c>
      <c r="K201" s="302">
        <v>0.67071257106227433</v>
      </c>
      <c r="L201" s="302">
        <f t="shared" si="63"/>
        <v>3.2961884968205468</v>
      </c>
      <c r="M201" s="236"/>
      <c r="N201" s="236"/>
    </row>
    <row r="202" spans="1:14" x14ac:dyDescent="0.2">
      <c r="A202" s="237" t="str">
        <f>name!E$10</f>
        <v>Sales and customer service occupations</v>
      </c>
      <c r="B202" s="302">
        <v>1.659413390234183</v>
      </c>
      <c r="C202" s="302">
        <v>1.6122703142098722</v>
      </c>
      <c r="D202" s="302">
        <f t="shared" si="61"/>
        <v>3.2716837044440554</v>
      </c>
      <c r="E202" s="303"/>
      <c r="F202" s="302">
        <v>1.6915340949003328</v>
      </c>
      <c r="G202" s="302">
        <v>1.827084645455884</v>
      </c>
      <c r="H202" s="302">
        <f t="shared" si="62"/>
        <v>3.5186187403562168</v>
      </c>
      <c r="I202" s="303"/>
      <c r="J202" s="302">
        <v>2.2033080894975794</v>
      </c>
      <c r="K202" s="302">
        <v>2.2774407467457185</v>
      </c>
      <c r="L202" s="302">
        <f t="shared" si="63"/>
        <v>4.4807488362432979</v>
      </c>
      <c r="M202" s="236"/>
      <c r="N202" s="236"/>
    </row>
    <row r="203" spans="1:14" x14ac:dyDescent="0.2">
      <c r="A203" s="237" t="str">
        <f>name!E$11</f>
        <v>Process, plant and machine operatives</v>
      </c>
      <c r="B203" s="302">
        <v>0.17347447674604122</v>
      </c>
      <c r="C203" s="302">
        <v>1.1293028190815926</v>
      </c>
      <c r="D203" s="302">
        <f t="shared" si="61"/>
        <v>1.3027772958276338</v>
      </c>
      <c r="E203" s="303"/>
      <c r="F203" s="302">
        <v>0.1465562659615208</v>
      </c>
      <c r="G203" s="302">
        <v>1.2750657825402925</v>
      </c>
      <c r="H203" s="302">
        <f t="shared" si="62"/>
        <v>1.4216220485018132</v>
      </c>
      <c r="I203" s="303"/>
      <c r="J203" s="302">
        <v>0.45186013263065494</v>
      </c>
      <c r="K203" s="302">
        <v>1.8184205004307303</v>
      </c>
      <c r="L203" s="302">
        <f t="shared" si="63"/>
        <v>2.2702806330613852</v>
      </c>
      <c r="M203" s="236"/>
      <c r="N203" s="236"/>
    </row>
    <row r="204" spans="1:14" x14ac:dyDescent="0.2">
      <c r="A204" s="237" t="str">
        <f>name!E$12</f>
        <v>Elementary occupations</v>
      </c>
      <c r="B204" s="302">
        <v>17.55328196291774</v>
      </c>
      <c r="C204" s="302">
        <v>11.485200871925842</v>
      </c>
      <c r="D204" s="302">
        <f t="shared" si="61"/>
        <v>29.038482834843585</v>
      </c>
      <c r="E204" s="303"/>
      <c r="F204" s="302">
        <v>17.113736155599842</v>
      </c>
      <c r="G204" s="302">
        <v>11.86066872426365</v>
      </c>
      <c r="H204" s="302">
        <f t="shared" si="62"/>
        <v>28.974404879863492</v>
      </c>
      <c r="I204" s="303"/>
      <c r="J204" s="302">
        <v>19.82979999812687</v>
      </c>
      <c r="K204" s="302">
        <v>13.882890124197473</v>
      </c>
      <c r="L204" s="302">
        <f t="shared" si="63"/>
        <v>33.712690122324346</v>
      </c>
      <c r="M204" s="236"/>
      <c r="N204" s="236"/>
    </row>
    <row r="205" spans="1:14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  <c r="N205" s="236"/>
    </row>
    <row r="206" spans="1:14" x14ac:dyDescent="0.2">
      <c r="A206" s="244" t="s">
        <v>33</v>
      </c>
      <c r="B206" s="311">
        <f>SUM(B196:B204)</f>
        <v>29.704143903358361</v>
      </c>
      <c r="C206" s="311">
        <f t="shared" ref="C206:D206" si="64">SUM(C196:C204)</f>
        <v>26.948856096641638</v>
      </c>
      <c r="D206" s="311">
        <f t="shared" si="64"/>
        <v>56.653000000000006</v>
      </c>
      <c r="E206" s="311"/>
      <c r="F206" s="311">
        <f t="shared" ref="F206:H206" si="65">SUM(F196:F204)</f>
        <v>30.004198324595677</v>
      </c>
      <c r="G206" s="311">
        <f t="shared" si="65"/>
        <v>26.350801675404213</v>
      </c>
      <c r="H206" s="311">
        <f t="shared" si="65"/>
        <v>56.35499999999989</v>
      </c>
      <c r="I206" s="311"/>
      <c r="J206" s="311">
        <f t="shared" ref="J206:L206" si="66">SUM(J196:J204)</f>
        <v>36.44864496659271</v>
      </c>
      <c r="K206" s="311">
        <f t="shared" si="66"/>
        <v>32.209355033407263</v>
      </c>
      <c r="L206" s="311">
        <f t="shared" si="66"/>
        <v>68.657999999999973</v>
      </c>
      <c r="M206" s="236"/>
      <c r="N206" s="236"/>
    </row>
    <row r="207" spans="1:14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  <c r="N207" s="236"/>
    </row>
    <row r="208" spans="1:14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56" t="s">
        <v>36</v>
      </c>
      <c r="M208" s="236"/>
      <c r="N208" s="236"/>
    </row>
    <row r="209" spans="1:14" x14ac:dyDescent="0.2">
      <c r="A209" s="242"/>
      <c r="B209" s="250"/>
      <c r="C209" s="250"/>
      <c r="D209" s="250"/>
      <c r="E209" s="250"/>
      <c r="F209" s="250"/>
      <c r="G209" s="250"/>
      <c r="H209" s="250"/>
      <c r="I209" s="250"/>
      <c r="J209" s="250"/>
      <c r="K209" s="250"/>
      <c r="L209" s="236"/>
      <c r="M209" s="236"/>
      <c r="N209" s="236"/>
    </row>
    <row r="210" spans="1:14" x14ac:dyDescent="0.2">
      <c r="A210" s="241" t="str">
        <f>name!B15</f>
        <v>Media</v>
      </c>
      <c r="B210" s="375">
        <f>B$6</f>
        <v>2015</v>
      </c>
      <c r="C210" s="375"/>
      <c r="D210" s="375"/>
      <c r="E210" s="253"/>
      <c r="F210" s="375">
        <f>F193</f>
        <v>2020</v>
      </c>
      <c r="G210" s="375"/>
      <c r="H210" s="375"/>
      <c r="I210" s="253"/>
      <c r="J210" s="375">
        <f>J193</f>
        <v>2035</v>
      </c>
      <c r="K210" s="375"/>
      <c r="L210" s="375"/>
      <c r="M210" s="236"/>
      <c r="N210" s="236"/>
    </row>
    <row r="211" spans="1:14" x14ac:dyDescent="0.2">
      <c r="A211" s="254"/>
      <c r="B211" s="255" t="s">
        <v>361</v>
      </c>
      <c r="C211" s="255" t="s">
        <v>362</v>
      </c>
      <c r="D211" s="255" t="s">
        <v>33</v>
      </c>
      <c r="E211" s="255"/>
      <c r="F211" s="255" t="s">
        <v>361</v>
      </c>
      <c r="G211" s="255" t="s">
        <v>362</v>
      </c>
      <c r="H211" s="255" t="s">
        <v>33</v>
      </c>
      <c r="I211" s="255"/>
      <c r="J211" s="255" t="s">
        <v>361</v>
      </c>
      <c r="K211" s="255" t="s">
        <v>362</v>
      </c>
      <c r="L211" s="255" t="s">
        <v>33</v>
      </c>
      <c r="M211" s="236"/>
      <c r="N211" s="236"/>
    </row>
    <row r="212" spans="1:14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  <c r="N212" s="236"/>
    </row>
    <row r="213" spans="1:14" x14ac:dyDescent="0.2">
      <c r="A213" s="237" t="str">
        <f>name!E$4</f>
        <v>Managers, directors and senior officials</v>
      </c>
      <c r="B213" s="302">
        <v>0.57929989312718044</v>
      </c>
      <c r="C213" s="302">
        <v>0.8530743632773039</v>
      </c>
      <c r="D213" s="302">
        <f>SUM(B213:C213)</f>
        <v>1.4323742564044843</v>
      </c>
      <c r="E213" s="303"/>
      <c r="F213" s="302">
        <v>0.52521533279951615</v>
      </c>
      <c r="G213" s="302">
        <v>0.50622394288092842</v>
      </c>
      <c r="H213" s="302">
        <f>SUM(F213:G213)</f>
        <v>1.0314392756804445</v>
      </c>
      <c r="I213" s="303"/>
      <c r="J213" s="302">
        <v>0.59978020457678027</v>
      </c>
      <c r="K213" s="302">
        <v>0.5083501856891488</v>
      </c>
      <c r="L213" s="302">
        <f>SUM(J213:K213)</f>
        <v>1.108130390265929</v>
      </c>
      <c r="M213" s="236"/>
      <c r="N213" s="236"/>
    </row>
    <row r="214" spans="1:14" x14ac:dyDescent="0.2">
      <c r="A214" s="237" t="str">
        <f>name!E$5</f>
        <v>Professional occupations</v>
      </c>
      <c r="B214" s="302">
        <v>0.58758980278014417</v>
      </c>
      <c r="C214" s="302">
        <v>1.301128595517677</v>
      </c>
      <c r="D214" s="302">
        <f t="shared" ref="D214:D221" si="67">SUM(B214:C214)</f>
        <v>1.8887183982978213</v>
      </c>
      <c r="E214" s="303"/>
      <c r="F214" s="302">
        <v>0.54427945339988137</v>
      </c>
      <c r="G214" s="302">
        <v>0.86297779779286266</v>
      </c>
      <c r="H214" s="302">
        <f t="shared" ref="H214:H221" si="68">SUM(F214:G214)</f>
        <v>1.4072572511927439</v>
      </c>
      <c r="I214" s="303"/>
      <c r="J214" s="302">
        <v>0.53590167570759417</v>
      </c>
      <c r="K214" s="302">
        <v>0.88724559402669023</v>
      </c>
      <c r="L214" s="302">
        <f t="shared" ref="L214:L221" si="69">SUM(J214:K214)</f>
        <v>1.4231472697342844</v>
      </c>
      <c r="M214" s="236"/>
      <c r="N214" s="236"/>
    </row>
    <row r="215" spans="1:14" x14ac:dyDescent="0.2">
      <c r="A215" s="237" t="str">
        <f>name!E$6</f>
        <v>Associate professional occupations</v>
      </c>
      <c r="B215" s="302">
        <v>0.92473654926825199</v>
      </c>
      <c r="C215" s="302">
        <v>1.1556598065101888</v>
      </c>
      <c r="D215" s="302">
        <f t="shared" si="67"/>
        <v>2.0803963557784408</v>
      </c>
      <c r="E215" s="303"/>
      <c r="F215" s="302">
        <v>0.99450790024570079</v>
      </c>
      <c r="G215" s="302">
        <v>0.69249827399213049</v>
      </c>
      <c r="H215" s="302">
        <f t="shared" si="68"/>
        <v>1.6870061742378313</v>
      </c>
      <c r="I215" s="303"/>
      <c r="J215" s="302">
        <v>0.94890604575751492</v>
      </c>
      <c r="K215" s="302">
        <v>0.62262585058701858</v>
      </c>
      <c r="L215" s="302">
        <f t="shared" si="69"/>
        <v>1.5715318963445335</v>
      </c>
      <c r="M215" s="236"/>
      <c r="N215" s="236"/>
    </row>
    <row r="216" spans="1:14" x14ac:dyDescent="0.2">
      <c r="A216" s="237" t="str">
        <f>name!E$7</f>
        <v>Administrative and secretarial occupations</v>
      </c>
      <c r="B216" s="302">
        <v>0.55812458209928872</v>
      </c>
      <c r="C216" s="302">
        <v>0.13547887472357467</v>
      </c>
      <c r="D216" s="302">
        <f t="shared" si="67"/>
        <v>0.6936034568228634</v>
      </c>
      <c r="E216" s="303"/>
      <c r="F216" s="302">
        <v>0.38124089430843444</v>
      </c>
      <c r="G216" s="302">
        <v>9.0162685533056952E-2</v>
      </c>
      <c r="H216" s="302">
        <f t="shared" si="68"/>
        <v>0.47140357984149139</v>
      </c>
      <c r="I216" s="303"/>
      <c r="J216" s="302">
        <v>0.22036825247945735</v>
      </c>
      <c r="K216" s="302">
        <v>6.902453150305829E-2</v>
      </c>
      <c r="L216" s="302">
        <f t="shared" si="69"/>
        <v>0.28939278398251567</v>
      </c>
      <c r="M216" s="236"/>
      <c r="N216" s="236"/>
    </row>
    <row r="217" spans="1:14" x14ac:dyDescent="0.2">
      <c r="A217" s="237" t="str">
        <f>name!E$8</f>
        <v>Skilled trades occupations</v>
      </c>
      <c r="B217" s="302">
        <v>0.15210371385242583</v>
      </c>
      <c r="C217" s="302">
        <v>0.4599689133045668</v>
      </c>
      <c r="D217" s="302">
        <f t="shared" si="67"/>
        <v>0.61207262715699262</v>
      </c>
      <c r="E217" s="303"/>
      <c r="F217" s="302">
        <v>0.12757342902521696</v>
      </c>
      <c r="G217" s="302">
        <v>0.20562464759912849</v>
      </c>
      <c r="H217" s="302">
        <f t="shared" si="68"/>
        <v>0.33319807662434542</v>
      </c>
      <c r="I217" s="303"/>
      <c r="J217" s="302">
        <v>0.14638547235573612</v>
      </c>
      <c r="K217" s="302">
        <v>0.15729139993574603</v>
      </c>
      <c r="L217" s="302">
        <f t="shared" si="69"/>
        <v>0.30367687229148216</v>
      </c>
      <c r="M217" s="236"/>
      <c r="N217" s="236"/>
    </row>
    <row r="218" spans="1:14" x14ac:dyDescent="0.2">
      <c r="A218" s="237" t="str">
        <f>name!E$9</f>
        <v>Caring, leisure and other service occupations</v>
      </c>
      <c r="B218" s="302">
        <v>0.1586336690041176</v>
      </c>
      <c r="C218" s="302">
        <v>8.8097257326327741E-2</v>
      </c>
      <c r="D218" s="302">
        <f t="shared" si="67"/>
        <v>0.24673092633044535</v>
      </c>
      <c r="E218" s="303"/>
      <c r="F218" s="302">
        <v>0.12551304911637731</v>
      </c>
      <c r="G218" s="302">
        <v>6.8890726468217839E-2</v>
      </c>
      <c r="H218" s="302">
        <f t="shared" si="68"/>
        <v>0.19440377558459515</v>
      </c>
      <c r="I218" s="303"/>
      <c r="J218" s="302">
        <v>0.108418917771108</v>
      </c>
      <c r="K218" s="302">
        <v>7.6897092593553054E-2</v>
      </c>
      <c r="L218" s="302">
        <f t="shared" si="69"/>
        <v>0.18531601036466105</v>
      </c>
      <c r="M218" s="236"/>
      <c r="N218" s="236"/>
    </row>
    <row r="219" spans="1:14" x14ac:dyDescent="0.2">
      <c r="A219" s="237" t="str">
        <f>name!E$10</f>
        <v>Sales and customer service occupations</v>
      </c>
      <c r="B219" s="302">
        <v>0.23749925797248903</v>
      </c>
      <c r="C219" s="302">
        <v>0.15068951939052994</v>
      </c>
      <c r="D219" s="302">
        <f t="shared" si="67"/>
        <v>0.38818877736301893</v>
      </c>
      <c r="E219" s="303"/>
      <c r="F219" s="302">
        <v>0.16322892449287116</v>
      </c>
      <c r="G219" s="302">
        <v>8.756526666548195E-2</v>
      </c>
      <c r="H219" s="302">
        <f t="shared" si="68"/>
        <v>0.25079419115835311</v>
      </c>
      <c r="I219" s="303"/>
      <c r="J219" s="302">
        <v>0.14833713892607739</v>
      </c>
      <c r="K219" s="302">
        <v>9.5669998179617424E-2</v>
      </c>
      <c r="L219" s="302">
        <f t="shared" si="69"/>
        <v>0.24400713710569483</v>
      </c>
      <c r="M219" s="236"/>
      <c r="N219" s="236"/>
    </row>
    <row r="220" spans="1:14" x14ac:dyDescent="0.2">
      <c r="A220" s="237" t="str">
        <f>name!E$11</f>
        <v>Process, plant and machine operatives</v>
      </c>
      <c r="B220" s="302">
        <v>3.2539645760847259E-2</v>
      </c>
      <c r="C220" s="302">
        <v>0.12355179209319242</v>
      </c>
      <c r="D220" s="302">
        <f t="shared" si="67"/>
        <v>0.15609143785403967</v>
      </c>
      <c r="E220" s="303"/>
      <c r="F220" s="302">
        <v>2.1394105336942509E-2</v>
      </c>
      <c r="G220" s="302">
        <v>6.5785451921744537E-2</v>
      </c>
      <c r="H220" s="302">
        <f t="shared" si="68"/>
        <v>8.7179557258687049E-2</v>
      </c>
      <c r="I220" s="303"/>
      <c r="J220" s="302">
        <v>1.3503588195367408E-2</v>
      </c>
      <c r="K220" s="302">
        <v>6.7812767766249782E-2</v>
      </c>
      <c r="L220" s="302">
        <f t="shared" si="69"/>
        <v>8.1316355961617195E-2</v>
      </c>
      <c r="M220" s="236"/>
      <c r="N220" s="236"/>
    </row>
    <row r="221" spans="1:14" x14ac:dyDescent="0.2">
      <c r="A221" s="237" t="str">
        <f>name!E$12</f>
        <v>Elementary occupations</v>
      </c>
      <c r="B221" s="302">
        <v>0.22433556263817206</v>
      </c>
      <c r="C221" s="302">
        <v>0.36548820135371679</v>
      </c>
      <c r="D221" s="302">
        <f t="shared" si="67"/>
        <v>0.58982376399188885</v>
      </c>
      <c r="E221" s="303"/>
      <c r="F221" s="302">
        <v>0.17520806967550068</v>
      </c>
      <c r="G221" s="302">
        <v>0.2191100487460084</v>
      </c>
      <c r="H221" s="302">
        <f t="shared" si="68"/>
        <v>0.3943181184215091</v>
      </c>
      <c r="I221" s="303"/>
      <c r="J221" s="302">
        <v>0.12333869911443553</v>
      </c>
      <c r="K221" s="302">
        <v>0.18914258483484947</v>
      </c>
      <c r="L221" s="302">
        <f t="shared" si="69"/>
        <v>0.31248128394928498</v>
      </c>
      <c r="M221" s="236"/>
      <c r="N221" s="236"/>
    </row>
    <row r="222" spans="1:14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  <c r="N222" s="236"/>
    </row>
    <row r="223" spans="1:14" x14ac:dyDescent="0.2">
      <c r="A223" s="244" t="s">
        <v>33</v>
      </c>
      <c r="B223" s="311">
        <f>SUM(B213:B221)</f>
        <v>3.4548626765029167</v>
      </c>
      <c r="C223" s="311">
        <f t="shared" ref="C223:D223" si="70">SUM(C213:C221)</f>
        <v>4.6331373234970785</v>
      </c>
      <c r="D223" s="311">
        <f t="shared" si="70"/>
        <v>8.0879999999999956</v>
      </c>
      <c r="E223" s="311"/>
      <c r="F223" s="311">
        <f t="shared" ref="F223:H223" si="71">SUM(F213:F221)</f>
        <v>3.0581611584004418</v>
      </c>
      <c r="G223" s="311">
        <f t="shared" si="71"/>
        <v>2.7988388415995589</v>
      </c>
      <c r="H223" s="311">
        <f t="shared" si="71"/>
        <v>5.8570000000000011</v>
      </c>
      <c r="I223" s="311"/>
      <c r="J223" s="311">
        <f t="shared" ref="J223:L223" si="72">SUM(J213:J221)</f>
        <v>2.8449399948840717</v>
      </c>
      <c r="K223" s="311">
        <f t="shared" si="72"/>
        <v>2.6740600051159316</v>
      </c>
      <c r="L223" s="311">
        <f t="shared" si="72"/>
        <v>5.5190000000000019</v>
      </c>
      <c r="M223" s="236"/>
      <c r="N223" s="236"/>
    </row>
    <row r="224" spans="1:14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  <c r="N224" s="236"/>
    </row>
    <row r="225" spans="1:14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56" t="s">
        <v>36</v>
      </c>
      <c r="M225" s="236"/>
      <c r="N225" s="236"/>
    </row>
    <row r="226" spans="1:14" x14ac:dyDescent="0.2">
      <c r="A226" s="242"/>
      <c r="B226" s="250"/>
      <c r="C226" s="250"/>
      <c r="D226" s="250"/>
      <c r="E226" s="250"/>
      <c r="F226" s="250"/>
      <c r="G226" s="250"/>
      <c r="H226" s="250"/>
      <c r="I226" s="250"/>
      <c r="J226" s="250"/>
      <c r="K226" s="250"/>
      <c r="L226" s="236"/>
      <c r="M226" s="236"/>
      <c r="N226" s="236"/>
    </row>
    <row r="227" spans="1:14" x14ac:dyDescent="0.2">
      <c r="A227" s="241" t="str">
        <f>name!B16</f>
        <v>Information technology</v>
      </c>
      <c r="B227" s="375">
        <f>B$6</f>
        <v>2015</v>
      </c>
      <c r="C227" s="375"/>
      <c r="D227" s="375"/>
      <c r="E227" s="253"/>
      <c r="F227" s="375">
        <f>F210</f>
        <v>2020</v>
      </c>
      <c r="G227" s="375"/>
      <c r="H227" s="375"/>
      <c r="I227" s="253"/>
      <c r="J227" s="375">
        <f>J210</f>
        <v>2035</v>
      </c>
      <c r="K227" s="375"/>
      <c r="L227" s="375"/>
      <c r="M227" s="236"/>
      <c r="N227" s="236"/>
    </row>
    <row r="228" spans="1:14" x14ac:dyDescent="0.2">
      <c r="A228" s="254"/>
      <c r="B228" s="255" t="s">
        <v>361</v>
      </c>
      <c r="C228" s="255" t="s">
        <v>362</v>
      </c>
      <c r="D228" s="255" t="s">
        <v>33</v>
      </c>
      <c r="E228" s="255"/>
      <c r="F228" s="255" t="s">
        <v>361</v>
      </c>
      <c r="G228" s="255" t="s">
        <v>362</v>
      </c>
      <c r="H228" s="255" t="s">
        <v>33</v>
      </c>
      <c r="I228" s="255"/>
      <c r="J228" s="255" t="s">
        <v>361</v>
      </c>
      <c r="K228" s="255" t="s">
        <v>362</v>
      </c>
      <c r="L228" s="255" t="s">
        <v>33</v>
      </c>
      <c r="M228" s="236"/>
      <c r="N228" s="236"/>
    </row>
    <row r="229" spans="1:14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  <c r="N229" s="236"/>
    </row>
    <row r="230" spans="1:14" x14ac:dyDescent="0.2">
      <c r="A230" s="237" t="str">
        <f>name!E$4</f>
        <v>Managers, directors and senior officials</v>
      </c>
      <c r="B230" s="302">
        <v>2.2733748992004368</v>
      </c>
      <c r="C230" s="302">
        <v>7.5592254251952244</v>
      </c>
      <c r="D230" s="302">
        <f>SUM(B230:C230)</f>
        <v>9.8326003243956617</v>
      </c>
      <c r="E230" s="303"/>
      <c r="F230" s="302">
        <v>2.6980073184976137</v>
      </c>
      <c r="G230" s="302">
        <v>7.3595510633146706</v>
      </c>
      <c r="H230" s="302">
        <f>SUM(F230:G230)</f>
        <v>10.057558381812285</v>
      </c>
      <c r="I230" s="303"/>
      <c r="J230" s="302">
        <v>3.4447267875412639</v>
      </c>
      <c r="K230" s="302">
        <v>8.0547617565516596</v>
      </c>
      <c r="L230" s="302">
        <f>SUM(J230:K230)</f>
        <v>11.499488544092923</v>
      </c>
      <c r="M230" s="236"/>
      <c r="N230" s="236"/>
    </row>
    <row r="231" spans="1:14" x14ac:dyDescent="0.2">
      <c r="A231" s="237" t="str">
        <f>name!E$5</f>
        <v>Professional occupations</v>
      </c>
      <c r="B231" s="302">
        <v>4.4672247582679976</v>
      </c>
      <c r="C231" s="302">
        <v>20.050986839081592</v>
      </c>
      <c r="D231" s="302">
        <f t="shared" ref="D231:D238" si="73">SUM(B231:C231)</f>
        <v>24.518211597349591</v>
      </c>
      <c r="E231" s="303"/>
      <c r="F231" s="302">
        <v>5.8814477812188128</v>
      </c>
      <c r="G231" s="302">
        <v>20.759479877012541</v>
      </c>
      <c r="H231" s="302">
        <f t="shared" ref="H231:H238" si="74">SUM(F231:G231)</f>
        <v>26.640927658231355</v>
      </c>
      <c r="I231" s="303"/>
      <c r="J231" s="302">
        <v>7.9031576782287791</v>
      </c>
      <c r="K231" s="302">
        <v>24.83876145888404</v>
      </c>
      <c r="L231" s="302">
        <f t="shared" ref="L231:L238" si="75">SUM(J231:K231)</f>
        <v>32.741919137112816</v>
      </c>
      <c r="M231" s="236"/>
      <c r="N231" s="236"/>
    </row>
    <row r="232" spans="1:14" x14ac:dyDescent="0.2">
      <c r="A232" s="237" t="str">
        <f>name!E$6</f>
        <v>Associate professional occupations</v>
      </c>
      <c r="B232" s="302">
        <v>2.9519554674679673</v>
      </c>
      <c r="C232" s="302">
        <v>6.5817447208570927</v>
      </c>
      <c r="D232" s="302">
        <f t="shared" si="73"/>
        <v>9.5337001883250601</v>
      </c>
      <c r="E232" s="303"/>
      <c r="F232" s="302">
        <v>3.4786524961413998</v>
      </c>
      <c r="G232" s="302">
        <v>6.486090266106233</v>
      </c>
      <c r="H232" s="302">
        <f t="shared" si="74"/>
        <v>9.9647427622476332</v>
      </c>
      <c r="I232" s="303"/>
      <c r="J232" s="302">
        <v>4.0770628279622345</v>
      </c>
      <c r="K232" s="302">
        <v>6.9268330213061393</v>
      </c>
      <c r="L232" s="302">
        <f t="shared" si="75"/>
        <v>11.003895849268375</v>
      </c>
      <c r="M232" s="236"/>
      <c r="N232" s="236"/>
    </row>
    <row r="233" spans="1:14" x14ac:dyDescent="0.2">
      <c r="A233" s="237" t="str">
        <f>name!E$7</f>
        <v>Administrative and secretarial occupations</v>
      </c>
      <c r="B233" s="302">
        <v>2.4864309885620761</v>
      </c>
      <c r="C233" s="302">
        <v>1.1306849771888328</v>
      </c>
      <c r="D233" s="302">
        <f t="shared" si="73"/>
        <v>3.6171159657509087</v>
      </c>
      <c r="E233" s="303"/>
      <c r="F233" s="302">
        <v>2.2847938404055421</v>
      </c>
      <c r="G233" s="302">
        <v>1.0661381393862044</v>
      </c>
      <c r="H233" s="302">
        <f t="shared" si="74"/>
        <v>3.3509319797917465</v>
      </c>
      <c r="I233" s="303"/>
      <c r="J233" s="302">
        <v>1.7892850057977643</v>
      </c>
      <c r="K233" s="302">
        <v>1.0683392658168394</v>
      </c>
      <c r="L233" s="302">
        <f t="shared" si="75"/>
        <v>2.8576242716146036</v>
      </c>
      <c r="M233" s="236"/>
      <c r="N233" s="236"/>
    </row>
    <row r="234" spans="1:14" x14ac:dyDescent="0.2">
      <c r="A234" s="237" t="str">
        <f>name!E$8</f>
        <v>Skilled trades occupations</v>
      </c>
      <c r="B234" s="302">
        <v>0.22572763603306112</v>
      </c>
      <c r="C234" s="302">
        <v>3.829948964343699</v>
      </c>
      <c r="D234" s="302">
        <f t="shared" si="73"/>
        <v>4.0556766003767599</v>
      </c>
      <c r="E234" s="303"/>
      <c r="F234" s="302">
        <v>0.25603331910426014</v>
      </c>
      <c r="G234" s="302">
        <v>2.579258116094957</v>
      </c>
      <c r="H234" s="302">
        <f t="shared" si="74"/>
        <v>2.8352914351992173</v>
      </c>
      <c r="I234" s="303"/>
      <c r="J234" s="302">
        <v>0.39027613730123689</v>
      </c>
      <c r="K234" s="302">
        <v>2.5318209446226372</v>
      </c>
      <c r="L234" s="302">
        <f t="shared" si="75"/>
        <v>2.9220970819238739</v>
      </c>
      <c r="M234" s="236"/>
      <c r="N234" s="236"/>
    </row>
    <row r="235" spans="1:14" x14ac:dyDescent="0.2">
      <c r="A235" s="237" t="str">
        <f>name!E$9</f>
        <v>Caring, leisure and other service occupations</v>
      </c>
      <c r="B235" s="302">
        <v>0.52895351734878893</v>
      </c>
      <c r="C235" s="302">
        <v>0.61883995929174462</v>
      </c>
      <c r="D235" s="302">
        <f t="shared" si="73"/>
        <v>1.1477934766405335</v>
      </c>
      <c r="E235" s="303"/>
      <c r="F235" s="302">
        <v>0.48990530522513304</v>
      </c>
      <c r="G235" s="302">
        <v>0.52783732352088086</v>
      </c>
      <c r="H235" s="302">
        <f t="shared" si="74"/>
        <v>1.0177426287460138</v>
      </c>
      <c r="I235" s="303"/>
      <c r="J235" s="302">
        <v>0.59400176740895316</v>
      </c>
      <c r="K235" s="302">
        <v>0.83243266012473327</v>
      </c>
      <c r="L235" s="302">
        <f t="shared" si="75"/>
        <v>1.4264344275336864</v>
      </c>
      <c r="M235" s="236"/>
      <c r="N235" s="236"/>
    </row>
    <row r="236" spans="1:14" x14ac:dyDescent="0.2">
      <c r="A236" s="237" t="str">
        <f>name!E$10</f>
        <v>Sales and customer service occupations</v>
      </c>
      <c r="B236" s="302">
        <v>1.2236339507426028</v>
      </c>
      <c r="C236" s="302">
        <v>1.1050593516383465</v>
      </c>
      <c r="D236" s="302">
        <f t="shared" si="73"/>
        <v>2.3286933023809491</v>
      </c>
      <c r="E236" s="303"/>
      <c r="F236" s="302">
        <v>0.95278543632454715</v>
      </c>
      <c r="G236" s="302">
        <v>0.81996059500675955</v>
      </c>
      <c r="H236" s="302">
        <f t="shared" si="74"/>
        <v>1.7727460313313066</v>
      </c>
      <c r="I236" s="303"/>
      <c r="J236" s="302">
        <v>1.1216798336125318</v>
      </c>
      <c r="K236" s="302">
        <v>1.1716938721129591</v>
      </c>
      <c r="L236" s="302">
        <f t="shared" si="75"/>
        <v>2.2933737057254908</v>
      </c>
      <c r="M236" s="236"/>
      <c r="N236" s="236"/>
    </row>
    <row r="237" spans="1:14" x14ac:dyDescent="0.2">
      <c r="A237" s="237" t="str">
        <f>name!E$11</f>
        <v>Process, plant and machine operatives</v>
      </c>
      <c r="B237" s="302">
        <v>0.13008724341005021</v>
      </c>
      <c r="C237" s="302">
        <v>0.4467764786668223</v>
      </c>
      <c r="D237" s="302">
        <f t="shared" si="73"/>
        <v>0.57686372207687253</v>
      </c>
      <c r="E237" s="303"/>
      <c r="F237" s="302">
        <v>0.10319139128195375</v>
      </c>
      <c r="G237" s="302">
        <v>0.39429051025501588</v>
      </c>
      <c r="H237" s="302">
        <f t="shared" si="74"/>
        <v>0.49748190153696964</v>
      </c>
      <c r="I237" s="303"/>
      <c r="J237" s="302">
        <v>0.15056363236284465</v>
      </c>
      <c r="K237" s="302">
        <v>0.52484258140439011</v>
      </c>
      <c r="L237" s="302">
        <f t="shared" si="75"/>
        <v>0.67540621376723475</v>
      </c>
      <c r="M237" s="236"/>
      <c r="N237" s="236"/>
    </row>
    <row r="238" spans="1:14" x14ac:dyDescent="0.2">
      <c r="A238" s="237" t="str">
        <f>name!E$12</f>
        <v>Elementary occupations</v>
      </c>
      <c r="B238" s="302">
        <v>0.27701586247677468</v>
      </c>
      <c r="C238" s="302">
        <v>0.52732896022687992</v>
      </c>
      <c r="D238" s="302">
        <f t="shared" si="73"/>
        <v>0.80434482270365459</v>
      </c>
      <c r="E238" s="303"/>
      <c r="F238" s="302">
        <v>0.19593617921118012</v>
      </c>
      <c r="G238" s="302">
        <v>0.3256410418923002</v>
      </c>
      <c r="H238" s="302">
        <f t="shared" si="74"/>
        <v>0.52157722110348037</v>
      </c>
      <c r="I238" s="303"/>
      <c r="J238" s="302">
        <v>0.22164208468993762</v>
      </c>
      <c r="K238" s="302">
        <v>0.31511868427118656</v>
      </c>
      <c r="L238" s="302">
        <f t="shared" si="75"/>
        <v>0.53676076896112423</v>
      </c>
      <c r="M238" s="236"/>
      <c r="N238" s="236"/>
    </row>
    <row r="239" spans="1:14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  <c r="N239" s="236"/>
    </row>
    <row r="240" spans="1:14" x14ac:dyDescent="0.2">
      <c r="A240" s="244" t="s">
        <v>33</v>
      </c>
      <c r="B240" s="311">
        <f>SUM(B230:B238)</f>
        <v>14.564404323509757</v>
      </c>
      <c r="C240" s="311">
        <f t="shared" ref="C240:D240" si="76">SUM(C230:C238)</f>
        <v>41.850595676490244</v>
      </c>
      <c r="D240" s="311">
        <f t="shared" si="76"/>
        <v>56.414999999999999</v>
      </c>
      <c r="E240" s="311"/>
      <c r="F240" s="311">
        <f t="shared" ref="F240:H240" si="77">SUM(F230:F238)</f>
        <v>16.340753067410443</v>
      </c>
      <c r="G240" s="311">
        <f t="shared" si="77"/>
        <v>40.31824693258956</v>
      </c>
      <c r="H240" s="311">
        <f t="shared" si="77"/>
        <v>56.659000000000006</v>
      </c>
      <c r="I240" s="311"/>
      <c r="J240" s="311">
        <f t="shared" ref="J240:L240" si="78">SUM(J230:J238)</f>
        <v>19.692395754905544</v>
      </c>
      <c r="K240" s="311">
        <f t="shared" si="78"/>
        <v>46.264604245094581</v>
      </c>
      <c r="L240" s="311">
        <f t="shared" si="78"/>
        <v>65.957000000000136</v>
      </c>
      <c r="M240" s="236"/>
      <c r="N240" s="236"/>
    </row>
    <row r="241" spans="1:14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  <c r="N241" s="236"/>
    </row>
    <row r="242" spans="1:14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56" t="s">
        <v>36</v>
      </c>
      <c r="M242" s="236"/>
      <c r="N242" s="236"/>
    </row>
    <row r="243" spans="1:14" x14ac:dyDescent="0.2">
      <c r="A243" s="242"/>
      <c r="B243" s="250"/>
      <c r="C243" s="250"/>
      <c r="D243" s="250"/>
      <c r="E243" s="250"/>
      <c r="F243" s="250"/>
      <c r="G243" s="250"/>
      <c r="H243" s="250"/>
      <c r="I243" s="250"/>
      <c r="J243" s="250"/>
      <c r="K243" s="250"/>
      <c r="L243" s="236"/>
      <c r="M243" s="236"/>
      <c r="N243" s="236"/>
    </row>
    <row r="244" spans="1:14" x14ac:dyDescent="0.2">
      <c r="A244" s="241" t="str">
        <f>name!B17</f>
        <v>Finance and insurance</v>
      </c>
      <c r="B244" s="375">
        <f>B$6</f>
        <v>2015</v>
      </c>
      <c r="C244" s="375"/>
      <c r="D244" s="375"/>
      <c r="E244" s="253"/>
      <c r="F244" s="375">
        <f>F227</f>
        <v>2020</v>
      </c>
      <c r="G244" s="375"/>
      <c r="H244" s="375"/>
      <c r="I244" s="253"/>
      <c r="J244" s="375">
        <f>J227</f>
        <v>2035</v>
      </c>
      <c r="K244" s="375"/>
      <c r="L244" s="375"/>
      <c r="M244" s="236"/>
      <c r="N244" s="236"/>
    </row>
    <row r="245" spans="1:14" x14ac:dyDescent="0.2">
      <c r="A245" s="254"/>
      <c r="B245" s="255" t="s">
        <v>361</v>
      </c>
      <c r="C245" s="255" t="s">
        <v>362</v>
      </c>
      <c r="D245" s="255" t="s">
        <v>33</v>
      </c>
      <c r="E245" s="255"/>
      <c r="F245" s="255" t="s">
        <v>361</v>
      </c>
      <c r="G245" s="255" t="s">
        <v>362</v>
      </c>
      <c r="H245" s="255" t="s">
        <v>33</v>
      </c>
      <c r="I245" s="255"/>
      <c r="J245" s="255" t="s">
        <v>361</v>
      </c>
      <c r="K245" s="255" t="s">
        <v>362</v>
      </c>
      <c r="L245" s="255" t="s">
        <v>33</v>
      </c>
      <c r="M245" s="236"/>
      <c r="N245" s="236"/>
    </row>
    <row r="246" spans="1:14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  <c r="N246" s="236"/>
    </row>
    <row r="247" spans="1:14" x14ac:dyDescent="0.2">
      <c r="A247" s="237" t="str">
        <f>name!E$4</f>
        <v>Managers, directors and senior officials</v>
      </c>
      <c r="B247" s="302">
        <v>1.2707003144064519</v>
      </c>
      <c r="C247" s="302">
        <v>2.8593184949089956</v>
      </c>
      <c r="D247" s="302">
        <f>SUM(B247:C247)</f>
        <v>4.1300188093154473</v>
      </c>
      <c r="E247" s="303"/>
      <c r="F247" s="302">
        <v>1.4342559582152421</v>
      </c>
      <c r="G247" s="302">
        <v>3.0155125545177577</v>
      </c>
      <c r="H247" s="302">
        <f>SUM(F247:G247)</f>
        <v>4.4497685127329998</v>
      </c>
      <c r="I247" s="303"/>
      <c r="J247" s="302">
        <v>1.4948190217180641</v>
      </c>
      <c r="K247" s="302">
        <v>2.6928534393143444</v>
      </c>
      <c r="L247" s="302">
        <f>SUM(J247:K247)</f>
        <v>4.1876724610324088</v>
      </c>
      <c r="M247" s="236"/>
      <c r="N247" s="236"/>
    </row>
    <row r="248" spans="1:14" x14ac:dyDescent="0.2">
      <c r="A248" s="237" t="str">
        <f>name!E$5</f>
        <v>Professional occupations</v>
      </c>
      <c r="B248" s="302">
        <v>1.7021163111637903</v>
      </c>
      <c r="C248" s="302">
        <v>3.0768122270301688</v>
      </c>
      <c r="D248" s="302">
        <f t="shared" ref="D248:D255" si="79">SUM(B248:C248)</f>
        <v>4.7789285381939592</v>
      </c>
      <c r="E248" s="303"/>
      <c r="F248" s="302">
        <v>2.1540141715655641</v>
      </c>
      <c r="G248" s="302">
        <v>3.5187525352672426</v>
      </c>
      <c r="H248" s="302">
        <f t="shared" ref="H248:H255" si="80">SUM(F248:G248)</f>
        <v>5.6727667068328067</v>
      </c>
      <c r="I248" s="303"/>
      <c r="J248" s="302">
        <v>2.4286678677190712</v>
      </c>
      <c r="K248" s="302">
        <v>3.7738700950791015</v>
      </c>
      <c r="L248" s="302">
        <f t="shared" ref="L248:L255" si="81">SUM(J248:K248)</f>
        <v>6.2025379627981732</v>
      </c>
      <c r="M248" s="236"/>
      <c r="N248" s="236"/>
    </row>
    <row r="249" spans="1:14" x14ac:dyDescent="0.2">
      <c r="A249" s="237" t="str">
        <f>name!E$6</f>
        <v>Associate professional occupations</v>
      </c>
      <c r="B249" s="302">
        <v>2.3494036899342681</v>
      </c>
      <c r="C249" s="302">
        <v>3.2542145813180268</v>
      </c>
      <c r="D249" s="302">
        <f t="shared" si="79"/>
        <v>5.6036182712522944</v>
      </c>
      <c r="E249" s="303"/>
      <c r="F249" s="302">
        <v>2.4236423445910158</v>
      </c>
      <c r="G249" s="302">
        <v>3.3999795582552759</v>
      </c>
      <c r="H249" s="302">
        <f t="shared" si="80"/>
        <v>5.8236219028462912</v>
      </c>
      <c r="I249" s="303"/>
      <c r="J249" s="302">
        <v>2.3129078822035547</v>
      </c>
      <c r="K249" s="302">
        <v>2.7678812224341374</v>
      </c>
      <c r="L249" s="302">
        <f t="shared" si="81"/>
        <v>5.0807891046376916</v>
      </c>
      <c r="M249" s="236"/>
      <c r="N249" s="236"/>
    </row>
    <row r="250" spans="1:14" x14ac:dyDescent="0.2">
      <c r="A250" s="237" t="str">
        <f>name!E$7</f>
        <v>Administrative and secretarial occupations</v>
      </c>
      <c r="B250" s="302">
        <v>4.4537200193101176</v>
      </c>
      <c r="C250" s="302">
        <v>1.6392798943006561</v>
      </c>
      <c r="D250" s="302">
        <f t="shared" si="79"/>
        <v>6.0929999136107735</v>
      </c>
      <c r="E250" s="303"/>
      <c r="F250" s="302">
        <v>3.6728566879516014</v>
      </c>
      <c r="G250" s="302">
        <v>1.5082197059562492</v>
      </c>
      <c r="H250" s="302">
        <f t="shared" si="80"/>
        <v>5.1810763939078504</v>
      </c>
      <c r="I250" s="303"/>
      <c r="J250" s="302">
        <v>2.3374183571188425</v>
      </c>
      <c r="K250" s="302">
        <v>1.2052026041311723</v>
      </c>
      <c r="L250" s="302">
        <f t="shared" si="81"/>
        <v>3.542620961250015</v>
      </c>
      <c r="M250" s="236"/>
      <c r="N250" s="236"/>
    </row>
    <row r="251" spans="1:14" x14ac:dyDescent="0.2">
      <c r="A251" s="237" t="str">
        <f>name!E$8</f>
        <v>Skilled trades occupations</v>
      </c>
      <c r="B251" s="302">
        <v>7.4313306959297928E-2</v>
      </c>
      <c r="C251" s="302">
        <v>0.41053209529040779</v>
      </c>
      <c r="D251" s="302">
        <f t="shared" si="79"/>
        <v>0.48484540224970574</v>
      </c>
      <c r="E251" s="303"/>
      <c r="F251" s="302">
        <v>6.1432104692222544E-2</v>
      </c>
      <c r="G251" s="302">
        <v>0.30433773604919584</v>
      </c>
      <c r="H251" s="302">
        <f t="shared" si="80"/>
        <v>0.36576984074141838</v>
      </c>
      <c r="I251" s="303"/>
      <c r="J251" s="302">
        <v>9.4216354726937998E-2</v>
      </c>
      <c r="K251" s="302">
        <v>0.2703335763874064</v>
      </c>
      <c r="L251" s="302">
        <f t="shared" si="81"/>
        <v>0.36454993111434442</v>
      </c>
      <c r="M251" s="236"/>
      <c r="N251" s="236"/>
    </row>
    <row r="252" spans="1:14" x14ac:dyDescent="0.2">
      <c r="A252" s="237" t="str">
        <f>name!E$9</f>
        <v>Caring, leisure and other service occupations</v>
      </c>
      <c r="B252" s="302">
        <v>0.17583681603084403</v>
      </c>
      <c r="C252" s="302">
        <v>0.11135202233724714</v>
      </c>
      <c r="D252" s="302">
        <f t="shared" si="79"/>
        <v>0.28718883836809117</v>
      </c>
      <c r="E252" s="303"/>
      <c r="F252" s="302">
        <v>0.12889781978936629</v>
      </c>
      <c r="G252" s="302">
        <v>9.3278464833362051E-2</v>
      </c>
      <c r="H252" s="302">
        <f t="shared" si="80"/>
        <v>0.22217628462272834</v>
      </c>
      <c r="I252" s="303"/>
      <c r="J252" s="302">
        <v>0.13140232428403667</v>
      </c>
      <c r="K252" s="302">
        <v>0.11741302180027025</v>
      </c>
      <c r="L252" s="302">
        <f t="shared" si="81"/>
        <v>0.24881534608430692</v>
      </c>
      <c r="M252" s="236"/>
      <c r="N252" s="236"/>
    </row>
    <row r="253" spans="1:14" x14ac:dyDescent="0.2">
      <c r="A253" s="237" t="str">
        <f>name!E$10</f>
        <v>Sales and customer service occupations</v>
      </c>
      <c r="B253" s="302">
        <v>1.2789927574702524</v>
      </c>
      <c r="C253" s="302">
        <v>0.5733294004628855</v>
      </c>
      <c r="D253" s="302">
        <f t="shared" si="79"/>
        <v>1.8523221579331379</v>
      </c>
      <c r="E253" s="303"/>
      <c r="F253" s="302">
        <v>0.97014214742686689</v>
      </c>
      <c r="G253" s="302">
        <v>0.47057786768238019</v>
      </c>
      <c r="H253" s="302">
        <f t="shared" si="80"/>
        <v>1.440720015109247</v>
      </c>
      <c r="I253" s="303"/>
      <c r="J253" s="302">
        <v>0.93456074363140307</v>
      </c>
      <c r="K253" s="302">
        <v>0.50848051675606787</v>
      </c>
      <c r="L253" s="302">
        <f t="shared" si="81"/>
        <v>1.4430412603874709</v>
      </c>
      <c r="M253" s="236"/>
      <c r="N253" s="236"/>
    </row>
    <row r="254" spans="1:14" x14ac:dyDescent="0.2">
      <c r="A254" s="237" t="str">
        <f>name!E$11</f>
        <v>Process, plant and machine operatives</v>
      </c>
      <c r="B254" s="302">
        <v>5.0762747262261113E-2</v>
      </c>
      <c r="C254" s="302">
        <v>0.11349113456981129</v>
      </c>
      <c r="D254" s="302">
        <f t="shared" si="79"/>
        <v>0.1642538818320724</v>
      </c>
      <c r="E254" s="303"/>
      <c r="F254" s="302">
        <v>3.4986139320484624E-2</v>
      </c>
      <c r="G254" s="302">
        <v>0.13963175652773271</v>
      </c>
      <c r="H254" s="302">
        <f t="shared" si="80"/>
        <v>0.17461789584821735</v>
      </c>
      <c r="I254" s="303"/>
      <c r="J254" s="302">
        <v>5.0873133893497222E-2</v>
      </c>
      <c r="K254" s="302">
        <v>0.18051338319445748</v>
      </c>
      <c r="L254" s="302">
        <f t="shared" si="81"/>
        <v>0.23138651708795471</v>
      </c>
      <c r="M254" s="236"/>
      <c r="N254" s="236"/>
    </row>
    <row r="255" spans="1:14" x14ac:dyDescent="0.2">
      <c r="A255" s="237" t="str">
        <f>name!E$12</f>
        <v>Elementary occupations</v>
      </c>
      <c r="B255" s="302">
        <v>0.16862539845011179</v>
      </c>
      <c r="C255" s="302">
        <v>0.17419878879442535</v>
      </c>
      <c r="D255" s="302">
        <f t="shared" si="79"/>
        <v>0.34282418724453712</v>
      </c>
      <c r="E255" s="303"/>
      <c r="F255" s="302">
        <v>0.1060394542097564</v>
      </c>
      <c r="G255" s="302">
        <v>0.13844299314873157</v>
      </c>
      <c r="H255" s="302">
        <f t="shared" si="80"/>
        <v>0.24448244735848795</v>
      </c>
      <c r="I255" s="303"/>
      <c r="J255" s="302">
        <v>9.3691119226824784E-2</v>
      </c>
      <c r="K255" s="302">
        <v>0.1328953363808186</v>
      </c>
      <c r="L255" s="302">
        <f t="shared" si="81"/>
        <v>0.2265864556076434</v>
      </c>
      <c r="M255" s="236"/>
      <c r="N255" s="236"/>
    </row>
    <row r="256" spans="1:14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  <c r="N256" s="236"/>
    </row>
    <row r="257" spans="1:14" x14ac:dyDescent="0.2">
      <c r="A257" s="244" t="s">
        <v>33</v>
      </c>
      <c r="B257" s="311">
        <f>SUM(B247:B255)</f>
        <v>11.524471360987395</v>
      </c>
      <c r="C257" s="311">
        <f t="shared" ref="C257:D257" si="82">SUM(C247:C255)</f>
        <v>12.212528639012627</v>
      </c>
      <c r="D257" s="311">
        <f t="shared" si="82"/>
        <v>23.73700000000002</v>
      </c>
      <c r="E257" s="311"/>
      <c r="F257" s="311">
        <f t="shared" ref="F257:H257" si="83">SUM(F247:F255)</f>
        <v>10.986266827762119</v>
      </c>
      <c r="G257" s="311">
        <f t="shared" si="83"/>
        <v>12.588733172237927</v>
      </c>
      <c r="H257" s="311">
        <f t="shared" si="83"/>
        <v>23.575000000000049</v>
      </c>
      <c r="I257" s="311"/>
      <c r="J257" s="311">
        <f t="shared" ref="J257:L257" si="84">SUM(J247:J255)</f>
        <v>9.8785568045222334</v>
      </c>
      <c r="K257" s="311">
        <f t="shared" si="84"/>
        <v>11.649443195477774</v>
      </c>
      <c r="L257" s="311">
        <f t="shared" si="84"/>
        <v>21.528000000000009</v>
      </c>
      <c r="M257" s="236"/>
      <c r="N257" s="236"/>
    </row>
    <row r="258" spans="1:14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  <c r="N258" s="236"/>
    </row>
    <row r="259" spans="1:14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56" t="s">
        <v>36</v>
      </c>
      <c r="M259" s="236"/>
      <c r="N259" s="236"/>
    </row>
    <row r="260" spans="1:14" x14ac:dyDescent="0.2">
      <c r="A260" s="242"/>
      <c r="B260" s="250"/>
      <c r="C260" s="250"/>
      <c r="D260" s="250"/>
      <c r="E260" s="250"/>
      <c r="F260" s="250"/>
      <c r="G260" s="250"/>
      <c r="H260" s="250"/>
      <c r="I260" s="250"/>
      <c r="J260" s="250"/>
      <c r="K260" s="250"/>
      <c r="L260" s="236"/>
      <c r="M260" s="236"/>
      <c r="N260" s="236"/>
    </row>
    <row r="261" spans="1:14" x14ac:dyDescent="0.2">
      <c r="A261" s="241" t="str">
        <f>name!B18</f>
        <v>Real estate</v>
      </c>
      <c r="B261" s="375">
        <f>B$6</f>
        <v>2015</v>
      </c>
      <c r="C261" s="375"/>
      <c r="D261" s="375"/>
      <c r="E261" s="253"/>
      <c r="F261" s="375">
        <f>F244</f>
        <v>2020</v>
      </c>
      <c r="G261" s="375"/>
      <c r="H261" s="375"/>
      <c r="I261" s="253"/>
      <c r="J261" s="375">
        <f>J244</f>
        <v>2035</v>
      </c>
      <c r="K261" s="375"/>
      <c r="L261" s="375"/>
      <c r="M261" s="236"/>
      <c r="N261" s="236"/>
    </row>
    <row r="262" spans="1:14" x14ac:dyDescent="0.2">
      <c r="A262" s="254"/>
      <c r="B262" s="255" t="s">
        <v>361</v>
      </c>
      <c r="C262" s="255" t="s">
        <v>362</v>
      </c>
      <c r="D262" s="255" t="s">
        <v>33</v>
      </c>
      <c r="E262" s="255"/>
      <c r="F262" s="255" t="s">
        <v>361</v>
      </c>
      <c r="G262" s="255" t="s">
        <v>362</v>
      </c>
      <c r="H262" s="255" t="s">
        <v>33</v>
      </c>
      <c r="I262" s="255"/>
      <c r="J262" s="255" t="s">
        <v>361</v>
      </c>
      <c r="K262" s="255" t="s">
        <v>362</v>
      </c>
      <c r="L262" s="255" t="s">
        <v>33</v>
      </c>
      <c r="M262" s="236"/>
      <c r="N262" s="236"/>
    </row>
    <row r="263" spans="1:14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  <c r="N263" s="236"/>
    </row>
    <row r="264" spans="1:14" x14ac:dyDescent="0.2">
      <c r="A264" s="237" t="str">
        <f>name!E$4</f>
        <v>Managers, directors and senior officials</v>
      </c>
      <c r="B264" s="302">
        <v>1.1730323551055115</v>
      </c>
      <c r="C264" s="302">
        <v>2.184033730205472</v>
      </c>
      <c r="D264" s="302">
        <f>SUM(B264:C264)</f>
        <v>3.3570660853109837</v>
      </c>
      <c r="E264" s="303"/>
      <c r="F264" s="302">
        <v>1.4766371947678363</v>
      </c>
      <c r="G264" s="302">
        <v>2.0243750883604812</v>
      </c>
      <c r="H264" s="302">
        <f>SUM(F264:G264)</f>
        <v>3.5010122831283175</v>
      </c>
      <c r="I264" s="303"/>
      <c r="J264" s="302">
        <v>1.8225220776521243</v>
      </c>
      <c r="K264" s="302">
        <v>2.418697431062621</v>
      </c>
      <c r="L264" s="302">
        <f>SUM(J264:K264)</f>
        <v>4.2412195087147451</v>
      </c>
      <c r="M264" s="236"/>
      <c r="N264" s="236"/>
    </row>
    <row r="265" spans="1:14" x14ac:dyDescent="0.2">
      <c r="A265" s="237" t="str">
        <f>name!E$5</f>
        <v>Professional occupations</v>
      </c>
      <c r="B265" s="302">
        <v>1.0125265053426524</v>
      </c>
      <c r="C265" s="302">
        <v>1.4174313920757342</v>
      </c>
      <c r="D265" s="302">
        <f t="shared" ref="D265:D272" si="85">SUM(B265:C265)</f>
        <v>2.4299578974183866</v>
      </c>
      <c r="E265" s="303"/>
      <c r="F265" s="302">
        <v>1.3226182455818165</v>
      </c>
      <c r="G265" s="302">
        <v>1.5328807374282187</v>
      </c>
      <c r="H265" s="302">
        <f t="shared" ref="H265:H272" si="86">SUM(F265:G265)</f>
        <v>2.855498983010035</v>
      </c>
      <c r="I265" s="303"/>
      <c r="J265" s="302">
        <v>1.6464935486368286</v>
      </c>
      <c r="K265" s="302">
        <v>1.8371957139421646</v>
      </c>
      <c r="L265" s="302">
        <f t="shared" ref="L265:L272" si="87">SUM(J265:K265)</f>
        <v>3.4836892625789933</v>
      </c>
      <c r="M265" s="236"/>
      <c r="N265" s="236"/>
    </row>
    <row r="266" spans="1:14" x14ac:dyDescent="0.2">
      <c r="A266" s="237" t="str">
        <f>name!E$6</f>
        <v>Associate professional occupations</v>
      </c>
      <c r="B266" s="302">
        <v>1.1331928215257301</v>
      </c>
      <c r="C266" s="302">
        <v>1.2435437934633338</v>
      </c>
      <c r="D266" s="302">
        <f t="shared" si="85"/>
        <v>2.3767366149890639</v>
      </c>
      <c r="E266" s="303"/>
      <c r="F266" s="302">
        <v>1.3604605256787672</v>
      </c>
      <c r="G266" s="302">
        <v>1.2039565209448151</v>
      </c>
      <c r="H266" s="302">
        <f t="shared" si="86"/>
        <v>2.5644170466235821</v>
      </c>
      <c r="I266" s="303"/>
      <c r="J266" s="302">
        <v>1.6457507137572291</v>
      </c>
      <c r="K266" s="302">
        <v>1.1285951325962917</v>
      </c>
      <c r="L266" s="302">
        <f t="shared" si="87"/>
        <v>2.7743458463535209</v>
      </c>
      <c r="M266" s="236"/>
      <c r="N266" s="236"/>
    </row>
    <row r="267" spans="1:14" x14ac:dyDescent="0.2">
      <c r="A267" s="237" t="str">
        <f>name!E$7</f>
        <v>Administrative and secretarial occupations</v>
      </c>
      <c r="B267" s="302">
        <v>2.4209683244337783</v>
      </c>
      <c r="C267" s="302">
        <v>0.37659100197013723</v>
      </c>
      <c r="D267" s="302">
        <f t="shared" si="85"/>
        <v>2.7975593264039156</v>
      </c>
      <c r="E267" s="303"/>
      <c r="F267" s="302">
        <v>2.6332687628389531</v>
      </c>
      <c r="G267" s="302">
        <v>0.33934718814523707</v>
      </c>
      <c r="H267" s="302">
        <f t="shared" si="86"/>
        <v>2.9726159509841903</v>
      </c>
      <c r="I267" s="303"/>
      <c r="J267" s="302">
        <v>2.2421180761031754</v>
      </c>
      <c r="K267" s="302">
        <v>0.38920804918294877</v>
      </c>
      <c r="L267" s="302">
        <f t="shared" si="87"/>
        <v>2.6313261252861242</v>
      </c>
      <c r="M267" s="236"/>
      <c r="N267" s="236"/>
    </row>
    <row r="268" spans="1:14" x14ac:dyDescent="0.2">
      <c r="A268" s="237" t="str">
        <f>name!E$8</f>
        <v>Skilled trades occupations</v>
      </c>
      <c r="B268" s="302">
        <v>0.18629929659061173</v>
      </c>
      <c r="C268" s="302">
        <v>0.94697159024145372</v>
      </c>
      <c r="D268" s="302">
        <f t="shared" si="85"/>
        <v>1.1332708868320656</v>
      </c>
      <c r="E268" s="303"/>
      <c r="F268" s="302">
        <v>0.24711187372042651</v>
      </c>
      <c r="G268" s="302">
        <v>0.54483914002587885</v>
      </c>
      <c r="H268" s="302">
        <f t="shared" si="86"/>
        <v>0.79195101374630539</v>
      </c>
      <c r="I268" s="303"/>
      <c r="J268" s="302">
        <v>0.48166372076046471</v>
      </c>
      <c r="K268" s="302">
        <v>0.60562525295857306</v>
      </c>
      <c r="L268" s="302">
        <f t="shared" si="87"/>
        <v>1.0872889737190379</v>
      </c>
      <c r="M268" s="236"/>
      <c r="N268" s="236"/>
    </row>
    <row r="269" spans="1:14" x14ac:dyDescent="0.2">
      <c r="A269" s="237" t="str">
        <f>name!E$9</f>
        <v>Caring, leisure and other service occupations</v>
      </c>
      <c r="B269" s="302">
        <v>0.30677077165156008</v>
      </c>
      <c r="C269" s="302">
        <v>0.18926735973090825</v>
      </c>
      <c r="D269" s="302">
        <f t="shared" si="85"/>
        <v>0.49603813138246833</v>
      </c>
      <c r="E269" s="303"/>
      <c r="F269" s="302">
        <v>0.30913279808541072</v>
      </c>
      <c r="G269" s="302">
        <v>0.1506419659228723</v>
      </c>
      <c r="H269" s="302">
        <f t="shared" si="86"/>
        <v>0.45977476400828299</v>
      </c>
      <c r="I269" s="303"/>
      <c r="J269" s="302">
        <v>0.40350957911112983</v>
      </c>
      <c r="K269" s="302">
        <v>0.16999035626890044</v>
      </c>
      <c r="L269" s="302">
        <f t="shared" si="87"/>
        <v>0.5734999353800303</v>
      </c>
      <c r="M269" s="236"/>
      <c r="N269" s="236"/>
    </row>
    <row r="270" spans="1:14" x14ac:dyDescent="0.2">
      <c r="A270" s="237" t="str">
        <f>name!E$10</f>
        <v>Sales and customer service occupations</v>
      </c>
      <c r="B270" s="302">
        <v>1.1033231120594551</v>
      </c>
      <c r="C270" s="302">
        <v>0.51392673076023632</v>
      </c>
      <c r="D270" s="302">
        <f t="shared" si="85"/>
        <v>1.6172498428196915</v>
      </c>
      <c r="E270" s="303"/>
      <c r="F270" s="302">
        <v>1.0420120355107634</v>
      </c>
      <c r="G270" s="302">
        <v>0.38124917039838591</v>
      </c>
      <c r="H270" s="302">
        <f t="shared" si="86"/>
        <v>1.4232612059091494</v>
      </c>
      <c r="I270" s="303"/>
      <c r="J270" s="302">
        <v>1.1354442581508783</v>
      </c>
      <c r="K270" s="302">
        <v>0.40747682424760817</v>
      </c>
      <c r="L270" s="302">
        <f t="shared" si="87"/>
        <v>1.5429210823984865</v>
      </c>
      <c r="M270" s="236"/>
      <c r="N270" s="236"/>
    </row>
    <row r="271" spans="1:14" x14ac:dyDescent="0.2">
      <c r="A271" s="237" t="str">
        <f>name!E$11</f>
        <v>Process, plant and machine operatives</v>
      </c>
      <c r="B271" s="302">
        <v>4.1320216712858827E-2</v>
      </c>
      <c r="C271" s="302">
        <v>0.13321684797789385</v>
      </c>
      <c r="D271" s="302">
        <f t="shared" si="85"/>
        <v>0.17453706469075267</v>
      </c>
      <c r="E271" s="303"/>
      <c r="F271" s="302">
        <v>3.5081314428990186E-2</v>
      </c>
      <c r="G271" s="302">
        <v>9.5665412606746492E-2</v>
      </c>
      <c r="H271" s="302">
        <f t="shared" si="86"/>
        <v>0.13074672703573667</v>
      </c>
      <c r="I271" s="303"/>
      <c r="J271" s="302">
        <v>7.6965933905543071E-2</v>
      </c>
      <c r="K271" s="302">
        <v>8.1867610034108598E-2</v>
      </c>
      <c r="L271" s="302">
        <f t="shared" si="87"/>
        <v>0.15883354393965166</v>
      </c>
      <c r="M271" s="236"/>
      <c r="N271" s="236"/>
    </row>
    <row r="272" spans="1:14" x14ac:dyDescent="0.2">
      <c r="A272" s="237" t="str">
        <f>name!E$12</f>
        <v>Elementary occupations</v>
      </c>
      <c r="B272" s="302">
        <v>0.39233019776908096</v>
      </c>
      <c r="C272" s="302">
        <v>0.23725395238360142</v>
      </c>
      <c r="D272" s="302">
        <f t="shared" si="85"/>
        <v>0.62958415015268243</v>
      </c>
      <c r="E272" s="303"/>
      <c r="F272" s="302">
        <v>0.38218432658329893</v>
      </c>
      <c r="G272" s="302">
        <v>0.14853769897109725</v>
      </c>
      <c r="H272" s="302">
        <f t="shared" si="86"/>
        <v>0.53072202555439618</v>
      </c>
      <c r="I272" s="303"/>
      <c r="J272" s="302">
        <v>0.31351702822603067</v>
      </c>
      <c r="K272" s="302">
        <v>0.14735869340336274</v>
      </c>
      <c r="L272" s="302">
        <f t="shared" si="87"/>
        <v>0.46087572162939339</v>
      </c>
      <c r="M272" s="236"/>
      <c r="N272" s="236"/>
    </row>
    <row r="273" spans="1:14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  <c r="N273" s="236"/>
    </row>
    <row r="274" spans="1:14" x14ac:dyDescent="0.2">
      <c r="A274" s="244" t="s">
        <v>33</v>
      </c>
      <c r="B274" s="311">
        <f>SUM(B264:B272)</f>
        <v>7.7697636011912401</v>
      </c>
      <c r="C274" s="311">
        <f t="shared" ref="C274:D274" si="88">SUM(C264:C272)</f>
        <v>7.2422363988087701</v>
      </c>
      <c r="D274" s="311">
        <f t="shared" si="88"/>
        <v>15.012000000000009</v>
      </c>
      <c r="E274" s="311"/>
      <c r="F274" s="311">
        <f t="shared" ref="F274:H274" si="89">SUM(F264:F272)</f>
        <v>8.8085070771962624</v>
      </c>
      <c r="G274" s="311">
        <f t="shared" si="89"/>
        <v>6.4214929228037327</v>
      </c>
      <c r="H274" s="311">
        <f t="shared" si="89"/>
        <v>15.229999999999995</v>
      </c>
      <c r="I274" s="311"/>
      <c r="J274" s="311">
        <f t="shared" ref="J274:L274" si="90">SUM(J264:J272)</f>
        <v>9.767984936303403</v>
      </c>
      <c r="K274" s="311">
        <f t="shared" si="90"/>
        <v>7.1860150636965781</v>
      </c>
      <c r="L274" s="311">
        <f t="shared" si="90"/>
        <v>16.953999999999983</v>
      </c>
      <c r="M274" s="236"/>
      <c r="N274" s="236"/>
    </row>
    <row r="275" spans="1:14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  <c r="N275" s="236"/>
    </row>
    <row r="276" spans="1:14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56" t="s">
        <v>36</v>
      </c>
      <c r="M276" s="236"/>
      <c r="N276" s="236"/>
    </row>
    <row r="277" spans="1:14" x14ac:dyDescent="0.2">
      <c r="A277" s="242"/>
      <c r="B277" s="250"/>
      <c r="C277" s="250"/>
      <c r="D277" s="250"/>
      <c r="E277" s="250"/>
      <c r="F277" s="250"/>
      <c r="G277" s="250"/>
      <c r="H277" s="250"/>
      <c r="I277" s="250"/>
      <c r="J277" s="250"/>
      <c r="K277" s="250"/>
      <c r="L277" s="236"/>
      <c r="M277" s="236"/>
      <c r="N277" s="236"/>
    </row>
    <row r="278" spans="1:14" x14ac:dyDescent="0.2">
      <c r="A278" s="241" t="str">
        <f>name!B19</f>
        <v>Professional services</v>
      </c>
      <c r="B278" s="375">
        <f>B$6</f>
        <v>2015</v>
      </c>
      <c r="C278" s="375"/>
      <c r="D278" s="375"/>
      <c r="E278" s="253"/>
      <c r="F278" s="375">
        <f>F261</f>
        <v>2020</v>
      </c>
      <c r="G278" s="375"/>
      <c r="H278" s="375"/>
      <c r="I278" s="253"/>
      <c r="J278" s="375">
        <f>J261</f>
        <v>2035</v>
      </c>
      <c r="K278" s="375"/>
      <c r="L278" s="375"/>
      <c r="M278" s="236"/>
      <c r="N278" s="236"/>
    </row>
    <row r="279" spans="1:14" x14ac:dyDescent="0.2">
      <c r="A279" s="254"/>
      <c r="B279" s="255" t="s">
        <v>361</v>
      </c>
      <c r="C279" s="255" t="s">
        <v>362</v>
      </c>
      <c r="D279" s="255" t="s">
        <v>33</v>
      </c>
      <c r="E279" s="255"/>
      <c r="F279" s="255" t="s">
        <v>361</v>
      </c>
      <c r="G279" s="255" t="s">
        <v>362</v>
      </c>
      <c r="H279" s="255" t="s">
        <v>33</v>
      </c>
      <c r="I279" s="255"/>
      <c r="J279" s="255" t="s">
        <v>361</v>
      </c>
      <c r="K279" s="255" t="s">
        <v>362</v>
      </c>
      <c r="L279" s="255" t="s">
        <v>33</v>
      </c>
      <c r="M279" s="236"/>
      <c r="N279" s="236"/>
    </row>
    <row r="280" spans="1:14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  <c r="N280" s="236"/>
    </row>
    <row r="281" spans="1:14" x14ac:dyDescent="0.2">
      <c r="A281" s="237" t="str">
        <f>name!E$4</f>
        <v>Managers, directors and senior officials</v>
      </c>
      <c r="B281" s="302">
        <v>5.1544004760902604</v>
      </c>
      <c r="C281" s="302">
        <v>8.9239373716860051</v>
      </c>
      <c r="D281" s="302">
        <f>SUM(B281:C281)</f>
        <v>14.078337847776265</v>
      </c>
      <c r="E281" s="303"/>
      <c r="F281" s="302">
        <v>5.2996194000698775</v>
      </c>
      <c r="G281" s="302">
        <v>8.8870316677944512</v>
      </c>
      <c r="H281" s="302">
        <f>SUM(F281:G281)</f>
        <v>14.186651067864329</v>
      </c>
      <c r="I281" s="303"/>
      <c r="J281" s="302">
        <v>6.5064012261528186</v>
      </c>
      <c r="K281" s="302">
        <v>9.5051832955196822</v>
      </c>
      <c r="L281" s="302">
        <f>SUM(J281:K281)</f>
        <v>16.0115845216725</v>
      </c>
      <c r="M281" s="236"/>
      <c r="N281" s="236"/>
    </row>
    <row r="282" spans="1:14" x14ac:dyDescent="0.2">
      <c r="A282" s="237" t="str">
        <f>name!E$5</f>
        <v>Professional occupations</v>
      </c>
      <c r="B282" s="302">
        <v>12.033847068894486</v>
      </c>
      <c r="C282" s="302">
        <v>24.286629508982813</v>
      </c>
      <c r="D282" s="302">
        <f t="shared" ref="D282:D289" si="91">SUM(B282:C282)</f>
        <v>36.320476577877301</v>
      </c>
      <c r="E282" s="303"/>
      <c r="F282" s="302">
        <v>13.92414208590335</v>
      </c>
      <c r="G282" s="302">
        <v>25.141833747595026</v>
      </c>
      <c r="H282" s="302">
        <f t="shared" ref="H282:H289" si="92">SUM(F282:G282)</f>
        <v>39.065975833498378</v>
      </c>
      <c r="I282" s="303"/>
      <c r="J282" s="302">
        <v>18.605181025440253</v>
      </c>
      <c r="K282" s="302">
        <v>29.000558576297763</v>
      </c>
      <c r="L282" s="302">
        <f t="shared" ref="L282:L289" si="93">SUM(J282:K282)</f>
        <v>47.605739601738016</v>
      </c>
      <c r="M282" s="236"/>
      <c r="N282" s="236"/>
    </row>
    <row r="283" spans="1:14" x14ac:dyDescent="0.2">
      <c r="A283" s="237" t="str">
        <f>name!E$6</f>
        <v>Associate professional occupations</v>
      </c>
      <c r="B283" s="302">
        <v>8.3742523720843742</v>
      </c>
      <c r="C283" s="302">
        <v>9.3651923420815759</v>
      </c>
      <c r="D283" s="302">
        <f t="shared" si="91"/>
        <v>17.739444714165948</v>
      </c>
      <c r="E283" s="303"/>
      <c r="F283" s="302">
        <v>8.0417963967228676</v>
      </c>
      <c r="G283" s="302">
        <v>9.5872430711974346</v>
      </c>
      <c r="H283" s="302">
        <f t="shared" si="92"/>
        <v>17.6290394679203</v>
      </c>
      <c r="I283" s="303"/>
      <c r="J283" s="302">
        <v>9.6359135286867676</v>
      </c>
      <c r="K283" s="302">
        <v>9.1115518485682294</v>
      </c>
      <c r="L283" s="302">
        <f t="shared" si="93"/>
        <v>18.747465377254997</v>
      </c>
      <c r="M283" s="236"/>
      <c r="N283" s="236"/>
    </row>
    <row r="284" spans="1:14" x14ac:dyDescent="0.2">
      <c r="A284" s="237" t="str">
        <f>name!E$7</f>
        <v>Administrative and secretarial occupations</v>
      </c>
      <c r="B284" s="302">
        <v>13.382859048997048</v>
      </c>
      <c r="C284" s="302">
        <v>2.6997715235934288</v>
      </c>
      <c r="D284" s="302">
        <f t="shared" si="91"/>
        <v>16.082630572590478</v>
      </c>
      <c r="E284" s="303"/>
      <c r="F284" s="302">
        <v>9.7261660202073852</v>
      </c>
      <c r="G284" s="302">
        <v>2.6787884235306021</v>
      </c>
      <c r="H284" s="302">
        <f t="shared" si="92"/>
        <v>12.404954443737987</v>
      </c>
      <c r="I284" s="303"/>
      <c r="J284" s="302">
        <v>7.4375386012560156</v>
      </c>
      <c r="K284" s="302">
        <v>2.3277094440668078</v>
      </c>
      <c r="L284" s="302">
        <f t="shared" si="93"/>
        <v>9.7652480453228243</v>
      </c>
      <c r="M284" s="236"/>
      <c r="N284" s="236"/>
    </row>
    <row r="285" spans="1:14" x14ac:dyDescent="0.2">
      <c r="A285" s="237" t="str">
        <f>name!E$8</f>
        <v>Skilled trades occupations</v>
      </c>
      <c r="B285" s="302">
        <v>0.38391333046158999</v>
      </c>
      <c r="C285" s="302">
        <v>2.4328831568967306</v>
      </c>
      <c r="D285" s="302">
        <f t="shared" si="91"/>
        <v>2.8167964873583204</v>
      </c>
      <c r="E285" s="303"/>
      <c r="F285" s="302">
        <v>0.34452255355380795</v>
      </c>
      <c r="G285" s="302">
        <v>1.6146727785960631</v>
      </c>
      <c r="H285" s="302">
        <f t="shared" si="92"/>
        <v>1.959195332149871</v>
      </c>
      <c r="I285" s="303"/>
      <c r="J285" s="302">
        <v>0.78529031833241758</v>
      </c>
      <c r="K285" s="302">
        <v>1.4676515845656137</v>
      </c>
      <c r="L285" s="302">
        <f t="shared" si="93"/>
        <v>2.2529419028980313</v>
      </c>
      <c r="M285" s="236"/>
      <c r="N285" s="236"/>
    </row>
    <row r="286" spans="1:14" x14ac:dyDescent="0.2">
      <c r="A286" s="237" t="str">
        <f>name!E$9</f>
        <v>Caring, leisure and other service occupations</v>
      </c>
      <c r="B286" s="302">
        <v>1.2283436282257487</v>
      </c>
      <c r="C286" s="302">
        <v>0.58382710706445839</v>
      </c>
      <c r="D286" s="302">
        <f t="shared" si="91"/>
        <v>1.812170735290207</v>
      </c>
      <c r="E286" s="303"/>
      <c r="F286" s="302">
        <v>1.9963735427296145</v>
      </c>
      <c r="G286" s="302">
        <v>0.91782940765686571</v>
      </c>
      <c r="H286" s="302">
        <f t="shared" si="92"/>
        <v>2.9142029503864801</v>
      </c>
      <c r="I286" s="303"/>
      <c r="J286" s="302">
        <v>2.648572478113393</v>
      </c>
      <c r="K286" s="302">
        <v>1.5193078909588398</v>
      </c>
      <c r="L286" s="302">
        <f t="shared" si="93"/>
        <v>4.1678803690722326</v>
      </c>
      <c r="M286" s="236"/>
      <c r="N286" s="236"/>
    </row>
    <row r="287" spans="1:14" x14ac:dyDescent="0.2">
      <c r="A287" s="237" t="str">
        <f>name!E$10</f>
        <v>Sales and customer service occupations</v>
      </c>
      <c r="B287" s="302">
        <v>2.2588258675865531</v>
      </c>
      <c r="C287" s="302">
        <v>1.0045391854500871</v>
      </c>
      <c r="D287" s="302">
        <f t="shared" si="91"/>
        <v>3.2633650530366403</v>
      </c>
      <c r="E287" s="303"/>
      <c r="F287" s="302">
        <v>1.6194775410029398</v>
      </c>
      <c r="G287" s="302">
        <v>0.86512470349353543</v>
      </c>
      <c r="H287" s="302">
        <f t="shared" si="92"/>
        <v>2.4846022444964753</v>
      </c>
      <c r="I287" s="303"/>
      <c r="J287" s="302">
        <v>1.6786420068738968</v>
      </c>
      <c r="K287" s="302">
        <v>1.0683924271213754</v>
      </c>
      <c r="L287" s="302">
        <f t="shared" si="93"/>
        <v>2.7470344339952719</v>
      </c>
      <c r="M287" s="236"/>
      <c r="N287" s="236"/>
    </row>
    <row r="288" spans="1:14" x14ac:dyDescent="0.2">
      <c r="A288" s="237" t="str">
        <f>name!E$11</f>
        <v>Process, plant and machine operatives</v>
      </c>
      <c r="B288" s="302">
        <v>0.30218798698156651</v>
      </c>
      <c r="C288" s="302">
        <v>0.73748880806929928</v>
      </c>
      <c r="D288" s="302">
        <f t="shared" si="91"/>
        <v>1.0396767950508659</v>
      </c>
      <c r="E288" s="303"/>
      <c r="F288" s="302">
        <v>0.18088642716900188</v>
      </c>
      <c r="G288" s="302">
        <v>0.57753463070773581</v>
      </c>
      <c r="H288" s="302">
        <f t="shared" si="92"/>
        <v>0.75842105787673764</v>
      </c>
      <c r="I288" s="303"/>
      <c r="J288" s="302">
        <v>0.30967408941479374</v>
      </c>
      <c r="K288" s="302">
        <v>0.63854027028510163</v>
      </c>
      <c r="L288" s="302">
        <f t="shared" si="93"/>
        <v>0.94821435969989532</v>
      </c>
      <c r="M288" s="236"/>
      <c r="N288" s="236"/>
    </row>
    <row r="289" spans="1:14" x14ac:dyDescent="0.2">
      <c r="A289" s="237" t="str">
        <f>name!E$12</f>
        <v>Elementary occupations</v>
      </c>
      <c r="B289" s="302">
        <v>1.2917332369627752</v>
      </c>
      <c r="C289" s="302">
        <v>1.0763679798912102</v>
      </c>
      <c r="D289" s="302">
        <f t="shared" si="91"/>
        <v>2.3681012168539857</v>
      </c>
      <c r="E289" s="303"/>
      <c r="F289" s="302">
        <v>0.88141293508982055</v>
      </c>
      <c r="G289" s="302">
        <v>0.86754466697961652</v>
      </c>
      <c r="H289" s="302">
        <f t="shared" si="92"/>
        <v>1.7489576020694371</v>
      </c>
      <c r="I289" s="303"/>
      <c r="J289" s="302">
        <v>0.86207514041596955</v>
      </c>
      <c r="K289" s="302">
        <v>0.85181624793045696</v>
      </c>
      <c r="L289" s="302">
        <f t="shared" si="93"/>
        <v>1.7138913883464264</v>
      </c>
      <c r="M289" s="236"/>
      <c r="N289" s="236"/>
    </row>
    <row r="290" spans="1:14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  <c r="N290" s="236"/>
    </row>
    <row r="291" spans="1:14" x14ac:dyDescent="0.2">
      <c r="A291" s="244" t="s">
        <v>33</v>
      </c>
      <c r="B291" s="311">
        <f>SUM(B281:B289)</f>
        <v>44.4103630162844</v>
      </c>
      <c r="C291" s="311">
        <f t="shared" ref="C291:D291" si="94">SUM(C281:C289)</f>
        <v>51.110636983715608</v>
      </c>
      <c r="D291" s="311">
        <f t="shared" si="94"/>
        <v>95.521000000000015</v>
      </c>
      <c r="E291" s="311"/>
      <c r="F291" s="311">
        <f t="shared" ref="F291:H291" si="95">SUM(F281:F289)</f>
        <v>42.014396902448659</v>
      </c>
      <c r="G291" s="311">
        <f t="shared" si="95"/>
        <v>51.137603097551342</v>
      </c>
      <c r="H291" s="311">
        <f t="shared" si="95"/>
        <v>93.152000000000001</v>
      </c>
      <c r="I291" s="311"/>
      <c r="J291" s="311">
        <f t="shared" ref="J291:L291" si="96">SUM(J281:J289)</f>
        <v>48.469288414686311</v>
      </c>
      <c r="K291" s="311">
        <f t="shared" si="96"/>
        <v>55.490711585313868</v>
      </c>
      <c r="L291" s="311">
        <f t="shared" si="96"/>
        <v>103.96000000000018</v>
      </c>
      <c r="M291" s="236"/>
      <c r="N291" s="236"/>
    </row>
    <row r="292" spans="1:14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  <c r="N292" s="236"/>
    </row>
    <row r="293" spans="1:14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56" t="s">
        <v>36</v>
      </c>
      <c r="M293" s="236"/>
      <c r="N293" s="236"/>
    </row>
    <row r="294" spans="1:14" x14ac:dyDescent="0.2">
      <c r="A294" s="242"/>
      <c r="B294" s="250"/>
      <c r="C294" s="250"/>
      <c r="D294" s="250"/>
      <c r="E294" s="250"/>
      <c r="F294" s="250"/>
      <c r="G294" s="250"/>
      <c r="H294" s="250"/>
      <c r="I294" s="250"/>
      <c r="J294" s="250"/>
      <c r="K294" s="250"/>
      <c r="L294" s="236"/>
      <c r="M294" s="236"/>
      <c r="N294" s="236"/>
    </row>
    <row r="295" spans="1:14" x14ac:dyDescent="0.2">
      <c r="A295" s="241" t="str">
        <f>name!B20</f>
        <v>Support services</v>
      </c>
      <c r="B295" s="375">
        <f>B$6</f>
        <v>2015</v>
      </c>
      <c r="C295" s="375"/>
      <c r="D295" s="375"/>
      <c r="E295" s="253"/>
      <c r="F295" s="375">
        <f>F278</f>
        <v>2020</v>
      </c>
      <c r="G295" s="375"/>
      <c r="H295" s="375"/>
      <c r="I295" s="253"/>
      <c r="J295" s="375">
        <f>J278</f>
        <v>2035</v>
      </c>
      <c r="K295" s="375"/>
      <c r="L295" s="375"/>
      <c r="M295" s="236"/>
      <c r="N295" s="236"/>
    </row>
    <row r="296" spans="1:14" x14ac:dyDescent="0.2">
      <c r="A296" s="254"/>
      <c r="B296" s="255" t="s">
        <v>361</v>
      </c>
      <c r="C296" s="255" t="s">
        <v>362</v>
      </c>
      <c r="D296" s="255" t="s">
        <v>33</v>
      </c>
      <c r="E296" s="255"/>
      <c r="F296" s="255" t="s">
        <v>361</v>
      </c>
      <c r="G296" s="255" t="s">
        <v>362</v>
      </c>
      <c r="H296" s="255" t="s">
        <v>33</v>
      </c>
      <c r="I296" s="255"/>
      <c r="J296" s="255" t="s">
        <v>361</v>
      </c>
      <c r="K296" s="255" t="s">
        <v>362</v>
      </c>
      <c r="L296" s="255" t="s">
        <v>33</v>
      </c>
      <c r="M296" s="236"/>
      <c r="N296" s="236"/>
    </row>
    <row r="297" spans="1:14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  <c r="N297" s="236"/>
    </row>
    <row r="298" spans="1:14" x14ac:dyDescent="0.2">
      <c r="A298" s="237" t="str">
        <f>name!E$4</f>
        <v>Managers, directors and senior officials</v>
      </c>
      <c r="B298" s="302">
        <v>2.5485765016462754</v>
      </c>
      <c r="C298" s="302">
        <v>5.5041859150409582</v>
      </c>
      <c r="D298" s="302">
        <f>SUM(B298:C298)</f>
        <v>8.0527624166872336</v>
      </c>
      <c r="E298" s="303"/>
      <c r="F298" s="302">
        <v>2.7705671781084811</v>
      </c>
      <c r="G298" s="302">
        <v>5.4298855576390253</v>
      </c>
      <c r="H298" s="302">
        <f>SUM(F298:G298)</f>
        <v>8.2004527357475059</v>
      </c>
      <c r="I298" s="303"/>
      <c r="J298" s="302">
        <v>3.4785044743808413</v>
      </c>
      <c r="K298" s="302">
        <v>6.2688812653388393</v>
      </c>
      <c r="L298" s="302">
        <f>SUM(J298:K298)</f>
        <v>9.7473857397196806</v>
      </c>
      <c r="M298" s="236"/>
      <c r="N298" s="236"/>
    </row>
    <row r="299" spans="1:14" x14ac:dyDescent="0.2">
      <c r="A299" s="237" t="str">
        <f>name!E$5</f>
        <v>Professional occupations</v>
      </c>
      <c r="B299" s="302">
        <v>2.7847931245693252</v>
      </c>
      <c r="C299" s="302">
        <v>4.8255227624367709</v>
      </c>
      <c r="D299" s="302">
        <f t="shared" ref="D299:D306" si="97">SUM(B299:C299)</f>
        <v>7.6103158870060961</v>
      </c>
      <c r="E299" s="303"/>
      <c r="F299" s="302">
        <v>3.1442817230957831</v>
      </c>
      <c r="G299" s="302">
        <v>5.2337485746301171</v>
      </c>
      <c r="H299" s="302">
        <f t="shared" ref="H299:H306" si="98">SUM(F299:G299)</f>
        <v>8.3780302977258998</v>
      </c>
      <c r="I299" s="303"/>
      <c r="J299" s="302">
        <v>3.8482058039175335</v>
      </c>
      <c r="K299" s="302">
        <v>6.6817797392490936</v>
      </c>
      <c r="L299" s="302">
        <f t="shared" ref="L299:L306" si="99">SUM(J299:K299)</f>
        <v>10.529985543166628</v>
      </c>
      <c r="M299" s="236"/>
      <c r="N299" s="236"/>
    </row>
    <row r="300" spans="1:14" x14ac:dyDescent="0.2">
      <c r="A300" s="237" t="str">
        <f>name!E$6</f>
        <v>Associate professional occupations</v>
      </c>
      <c r="B300" s="302">
        <v>4.2856629055235462</v>
      </c>
      <c r="C300" s="302">
        <v>6.6032139877118441</v>
      </c>
      <c r="D300" s="302">
        <f t="shared" si="97"/>
        <v>10.888876893235391</v>
      </c>
      <c r="E300" s="303"/>
      <c r="F300" s="302">
        <v>4.4448795080085288</v>
      </c>
      <c r="G300" s="302">
        <v>6.3625514694555747</v>
      </c>
      <c r="H300" s="302">
        <f t="shared" si="98"/>
        <v>10.807430977464104</v>
      </c>
      <c r="I300" s="303"/>
      <c r="J300" s="302">
        <v>4.9323454564021691</v>
      </c>
      <c r="K300" s="302">
        <v>6.423684071036627</v>
      </c>
      <c r="L300" s="302">
        <f t="shared" si="99"/>
        <v>11.356029527438796</v>
      </c>
      <c r="M300" s="236"/>
      <c r="N300" s="236"/>
    </row>
    <row r="301" spans="1:14" x14ac:dyDescent="0.2">
      <c r="A301" s="237" t="str">
        <f>name!E$7</f>
        <v>Administrative and secretarial occupations</v>
      </c>
      <c r="B301" s="302">
        <v>5.3496413470045958</v>
      </c>
      <c r="C301" s="302">
        <v>2.2816422887241035</v>
      </c>
      <c r="D301" s="302">
        <f t="shared" si="97"/>
        <v>7.6312836357286997</v>
      </c>
      <c r="E301" s="303"/>
      <c r="F301" s="302">
        <v>4.7666334364422651</v>
      </c>
      <c r="G301" s="302">
        <v>2.2185622521726667</v>
      </c>
      <c r="H301" s="302">
        <f t="shared" si="98"/>
        <v>6.9851956886149313</v>
      </c>
      <c r="I301" s="303"/>
      <c r="J301" s="302">
        <v>4.2750613621668814</v>
      </c>
      <c r="K301" s="302">
        <v>2.7875021892327472</v>
      </c>
      <c r="L301" s="302">
        <f t="shared" si="99"/>
        <v>7.062563551399629</v>
      </c>
      <c r="M301" s="236"/>
      <c r="N301" s="236"/>
    </row>
    <row r="302" spans="1:14" x14ac:dyDescent="0.2">
      <c r="A302" s="237" t="str">
        <f>name!E$8</f>
        <v>Skilled trades occupations</v>
      </c>
      <c r="B302" s="302">
        <v>0.45693046503627849</v>
      </c>
      <c r="C302" s="302">
        <v>2.5461867152311033</v>
      </c>
      <c r="D302" s="302">
        <f t="shared" si="97"/>
        <v>3.0031171802673819</v>
      </c>
      <c r="E302" s="303"/>
      <c r="F302" s="302">
        <v>0.49808700458316224</v>
      </c>
      <c r="G302" s="302">
        <v>1.6687577090644381</v>
      </c>
      <c r="H302" s="302">
        <f t="shared" si="98"/>
        <v>2.1668447136476003</v>
      </c>
      <c r="I302" s="303"/>
      <c r="J302" s="302">
        <v>0.94031053996257108</v>
      </c>
      <c r="K302" s="302">
        <v>1.4919968995899657</v>
      </c>
      <c r="L302" s="302">
        <f t="shared" si="99"/>
        <v>2.4323074395525368</v>
      </c>
      <c r="M302" s="236"/>
      <c r="N302" s="236"/>
    </row>
    <row r="303" spans="1:14" x14ac:dyDescent="0.2">
      <c r="A303" s="237" t="str">
        <f>name!E$9</f>
        <v>Caring, leisure and other service occupations</v>
      </c>
      <c r="B303" s="302">
        <v>3.6773390317083963</v>
      </c>
      <c r="C303" s="302">
        <v>1.3671424050218279</v>
      </c>
      <c r="D303" s="302">
        <f t="shared" si="97"/>
        <v>5.0444814367302246</v>
      </c>
      <c r="E303" s="303"/>
      <c r="F303" s="302">
        <v>3.6231713303033959</v>
      </c>
      <c r="G303" s="302">
        <v>1.4990228014176992</v>
      </c>
      <c r="H303" s="302">
        <f t="shared" si="98"/>
        <v>5.1221941317210948</v>
      </c>
      <c r="I303" s="303"/>
      <c r="J303" s="302">
        <v>4.1441533234253018</v>
      </c>
      <c r="K303" s="302">
        <v>1.958701364907359</v>
      </c>
      <c r="L303" s="302">
        <f t="shared" si="99"/>
        <v>6.1028546883326609</v>
      </c>
      <c r="M303" s="236"/>
      <c r="N303" s="236"/>
    </row>
    <row r="304" spans="1:14" x14ac:dyDescent="0.2">
      <c r="A304" s="237" t="str">
        <f>name!E$10</f>
        <v>Sales and customer service occupations</v>
      </c>
      <c r="B304" s="302">
        <v>1.9818259654100012</v>
      </c>
      <c r="C304" s="302">
        <v>2.1089831879852348</v>
      </c>
      <c r="D304" s="302">
        <f t="shared" si="97"/>
        <v>4.0908091533952362</v>
      </c>
      <c r="E304" s="303"/>
      <c r="F304" s="302">
        <v>1.8047634735217131</v>
      </c>
      <c r="G304" s="302">
        <v>1.833405230731225</v>
      </c>
      <c r="H304" s="302">
        <f t="shared" si="98"/>
        <v>3.638168704252938</v>
      </c>
      <c r="I304" s="303"/>
      <c r="J304" s="302">
        <v>2.4245730040516085</v>
      </c>
      <c r="K304" s="302">
        <v>2.334717711755061</v>
      </c>
      <c r="L304" s="302">
        <f t="shared" si="99"/>
        <v>4.7592907158066691</v>
      </c>
      <c r="M304" s="236"/>
      <c r="N304" s="236"/>
    </row>
    <row r="305" spans="1:14" x14ac:dyDescent="0.2">
      <c r="A305" s="237" t="str">
        <f>name!E$11</f>
        <v>Process, plant and machine operatives</v>
      </c>
      <c r="B305" s="302">
        <v>0.45322383596076249</v>
      </c>
      <c r="C305" s="302">
        <v>2.3361796687869165</v>
      </c>
      <c r="D305" s="302">
        <f t="shared" si="97"/>
        <v>2.7894035047476788</v>
      </c>
      <c r="E305" s="303"/>
      <c r="F305" s="302">
        <v>0.33350453901179089</v>
      </c>
      <c r="G305" s="302">
        <v>2.2464106956518379</v>
      </c>
      <c r="H305" s="302">
        <f t="shared" si="98"/>
        <v>2.5799152346636287</v>
      </c>
      <c r="I305" s="303"/>
      <c r="J305" s="302">
        <v>0.60133518979726996</v>
      </c>
      <c r="K305" s="302">
        <v>2.3267603188110826</v>
      </c>
      <c r="L305" s="302">
        <f t="shared" si="99"/>
        <v>2.9280955086083527</v>
      </c>
      <c r="M305" s="236"/>
      <c r="N305" s="236"/>
    </row>
    <row r="306" spans="1:14" x14ac:dyDescent="0.2">
      <c r="A306" s="237" t="str">
        <f>name!E$12</f>
        <v>Elementary occupations</v>
      </c>
      <c r="B306" s="302">
        <v>8.9918779565520417</v>
      </c>
      <c r="C306" s="302">
        <v>11.912071935649916</v>
      </c>
      <c r="D306" s="302">
        <f t="shared" si="97"/>
        <v>20.903949892201958</v>
      </c>
      <c r="E306" s="303"/>
      <c r="F306" s="302">
        <v>7.4112219017368188</v>
      </c>
      <c r="G306" s="302">
        <v>9.7605456144253715</v>
      </c>
      <c r="H306" s="302">
        <f t="shared" si="98"/>
        <v>17.171767516162191</v>
      </c>
      <c r="I306" s="303"/>
      <c r="J306" s="302">
        <v>7.5747311177026084</v>
      </c>
      <c r="K306" s="302">
        <v>10.358756168272409</v>
      </c>
      <c r="L306" s="302">
        <f t="shared" si="99"/>
        <v>17.933487285975019</v>
      </c>
      <c r="M306" s="236"/>
      <c r="N306" s="236"/>
    </row>
    <row r="307" spans="1:14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  <c r="N307" s="236"/>
    </row>
    <row r="308" spans="1:14" x14ac:dyDescent="0.2">
      <c r="A308" s="244" t="s">
        <v>33</v>
      </c>
      <c r="B308" s="311">
        <f>SUM(B298:B306)</f>
        <v>30.529871133411223</v>
      </c>
      <c r="C308" s="311">
        <f t="shared" ref="C308:D308" si="100">SUM(C298:C306)</f>
        <v>39.485128866588674</v>
      </c>
      <c r="D308" s="311">
        <f t="shared" si="100"/>
        <v>70.014999999999901</v>
      </c>
      <c r="E308" s="311"/>
      <c r="F308" s="311">
        <f t="shared" ref="F308:H308" si="101">SUM(F298:F306)</f>
        <v>28.797110094811941</v>
      </c>
      <c r="G308" s="311">
        <f t="shared" si="101"/>
        <v>36.252889905187956</v>
      </c>
      <c r="H308" s="311">
        <f t="shared" si="101"/>
        <v>65.049999999999898</v>
      </c>
      <c r="I308" s="311"/>
      <c r="J308" s="311">
        <f t="shared" ref="J308:L308" si="102">SUM(J298:J306)</f>
        <v>32.21922027180679</v>
      </c>
      <c r="K308" s="311">
        <f t="shared" si="102"/>
        <v>40.632779728193185</v>
      </c>
      <c r="L308" s="311">
        <f t="shared" si="102"/>
        <v>72.851999999999975</v>
      </c>
      <c r="M308" s="236"/>
      <c r="N308" s="236"/>
    </row>
    <row r="309" spans="1:14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  <c r="N309" s="236"/>
    </row>
    <row r="310" spans="1:14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56" t="s">
        <v>36</v>
      </c>
      <c r="M310" s="236"/>
      <c r="N310" s="236"/>
    </row>
    <row r="311" spans="1:14" x14ac:dyDescent="0.2">
      <c r="A311" s="242"/>
      <c r="B311" s="250"/>
      <c r="C311" s="250"/>
      <c r="D311" s="250"/>
      <c r="E311" s="250"/>
      <c r="F311" s="250"/>
      <c r="G311" s="250"/>
      <c r="H311" s="250"/>
      <c r="I311" s="250"/>
      <c r="J311" s="250"/>
      <c r="K311" s="250"/>
      <c r="L311" s="236"/>
      <c r="M311" s="236"/>
      <c r="N311" s="236"/>
    </row>
    <row r="312" spans="1:14" x14ac:dyDescent="0.2">
      <c r="A312" s="241" t="str">
        <f>name!B21</f>
        <v>Public admin. and defence</v>
      </c>
      <c r="B312" s="375">
        <f>B$6</f>
        <v>2015</v>
      </c>
      <c r="C312" s="375"/>
      <c r="D312" s="375"/>
      <c r="E312" s="253"/>
      <c r="F312" s="375">
        <f>F295</f>
        <v>2020</v>
      </c>
      <c r="G312" s="375"/>
      <c r="H312" s="375"/>
      <c r="I312" s="253"/>
      <c r="J312" s="375">
        <f>J295</f>
        <v>2035</v>
      </c>
      <c r="K312" s="375"/>
      <c r="L312" s="375"/>
      <c r="M312" s="236"/>
      <c r="N312" s="236"/>
    </row>
    <row r="313" spans="1:14" x14ac:dyDescent="0.2">
      <c r="A313" s="254"/>
      <c r="B313" s="255" t="s">
        <v>361</v>
      </c>
      <c r="C313" s="255" t="s">
        <v>362</v>
      </c>
      <c r="D313" s="255" t="s">
        <v>33</v>
      </c>
      <c r="E313" s="255"/>
      <c r="F313" s="255" t="s">
        <v>361</v>
      </c>
      <c r="G313" s="255" t="s">
        <v>362</v>
      </c>
      <c r="H313" s="255" t="s">
        <v>33</v>
      </c>
      <c r="I313" s="255"/>
      <c r="J313" s="255" t="s">
        <v>361</v>
      </c>
      <c r="K313" s="255" t="s">
        <v>362</v>
      </c>
      <c r="L313" s="255" t="s">
        <v>33</v>
      </c>
      <c r="M313" s="236"/>
      <c r="N313" s="236"/>
    </row>
    <row r="314" spans="1:14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  <c r="N314" s="236"/>
    </row>
    <row r="315" spans="1:14" x14ac:dyDescent="0.2">
      <c r="A315" s="237" t="str">
        <f>name!E$4</f>
        <v>Managers, directors and senior officials</v>
      </c>
      <c r="B315" s="302">
        <v>0.79623677209356813</v>
      </c>
      <c r="C315" s="302">
        <v>1.5593786468416559</v>
      </c>
      <c r="D315" s="302">
        <f>SUM(B315:C315)</f>
        <v>2.3556154189352241</v>
      </c>
      <c r="E315" s="303"/>
      <c r="F315" s="302">
        <v>0.93003359449060519</v>
      </c>
      <c r="G315" s="302">
        <v>1.5043998972541694</v>
      </c>
      <c r="H315" s="302">
        <f>SUM(F315:G315)</f>
        <v>2.4344334917447745</v>
      </c>
      <c r="I315" s="303"/>
      <c r="J315" s="302">
        <v>0.97257950566156592</v>
      </c>
      <c r="K315" s="302">
        <v>1.4482115579071091</v>
      </c>
      <c r="L315" s="302">
        <f>SUM(J315:K315)</f>
        <v>2.4207910635686751</v>
      </c>
      <c r="M315" s="236"/>
      <c r="N315" s="236"/>
    </row>
    <row r="316" spans="1:14" x14ac:dyDescent="0.2">
      <c r="A316" s="237" t="str">
        <f>name!E$5</f>
        <v>Professional occupations</v>
      </c>
      <c r="B316" s="302">
        <v>2.7244703659030378</v>
      </c>
      <c r="C316" s="302">
        <v>1.9381603333707067</v>
      </c>
      <c r="D316" s="302">
        <f t="shared" ref="D316:D323" si="103">SUM(B316:C316)</f>
        <v>4.6626306992737447</v>
      </c>
      <c r="E316" s="303"/>
      <c r="F316" s="302">
        <v>3.2672179164629447</v>
      </c>
      <c r="G316" s="302">
        <v>2.1052260085414374</v>
      </c>
      <c r="H316" s="302">
        <f t="shared" ref="H316:H323" si="104">SUM(F316:G316)</f>
        <v>5.3724439250043821</v>
      </c>
      <c r="I316" s="303"/>
      <c r="J316" s="302">
        <v>3.5803044343714228</v>
      </c>
      <c r="K316" s="302">
        <v>2.3398270630165205</v>
      </c>
      <c r="L316" s="302">
        <f t="shared" ref="L316:L323" si="105">SUM(J316:K316)</f>
        <v>5.9201314973879438</v>
      </c>
      <c r="M316" s="236"/>
      <c r="N316" s="236"/>
    </row>
    <row r="317" spans="1:14" x14ac:dyDescent="0.2">
      <c r="A317" s="237" t="str">
        <f>name!E$6</f>
        <v>Associate professional occupations</v>
      </c>
      <c r="B317" s="302">
        <v>3.3481774050882751</v>
      </c>
      <c r="C317" s="302">
        <v>5.96644377321359</v>
      </c>
      <c r="D317" s="302">
        <f t="shared" si="103"/>
        <v>9.3146211783018646</v>
      </c>
      <c r="E317" s="303"/>
      <c r="F317" s="302">
        <v>3.6551497259211518</v>
      </c>
      <c r="G317" s="302">
        <v>5.5699669992935235</v>
      </c>
      <c r="H317" s="302">
        <f t="shared" si="104"/>
        <v>9.2251167252146757</v>
      </c>
      <c r="I317" s="303"/>
      <c r="J317" s="302">
        <v>4.7152982569835968</v>
      </c>
      <c r="K317" s="302">
        <v>5.6858218040865651</v>
      </c>
      <c r="L317" s="302">
        <f t="shared" si="105"/>
        <v>10.401120061070163</v>
      </c>
      <c r="M317" s="236"/>
      <c r="N317" s="236"/>
    </row>
    <row r="318" spans="1:14" x14ac:dyDescent="0.2">
      <c r="A318" s="237" t="str">
        <f>name!E$7</f>
        <v>Administrative and secretarial occupations</v>
      </c>
      <c r="B318" s="302">
        <v>6.3945455187810252</v>
      </c>
      <c r="C318" s="302">
        <v>0.97596306880504169</v>
      </c>
      <c r="D318" s="302">
        <f t="shared" si="103"/>
        <v>7.370508587586067</v>
      </c>
      <c r="E318" s="303"/>
      <c r="F318" s="302">
        <v>5.4440373648941955</v>
      </c>
      <c r="G318" s="302">
        <v>0.87241228708922547</v>
      </c>
      <c r="H318" s="302">
        <f t="shared" si="104"/>
        <v>6.3164496519834206</v>
      </c>
      <c r="I318" s="303"/>
      <c r="J318" s="302">
        <v>4.1031509967059812</v>
      </c>
      <c r="K318" s="302">
        <v>0.63005234999062565</v>
      </c>
      <c r="L318" s="302">
        <f t="shared" si="105"/>
        <v>4.733203346696607</v>
      </c>
      <c r="M318" s="236"/>
      <c r="N318" s="236"/>
    </row>
    <row r="319" spans="1:14" x14ac:dyDescent="0.2">
      <c r="A319" s="237" t="str">
        <f>name!E$8</f>
        <v>Skilled trades occupations</v>
      </c>
      <c r="B319" s="302">
        <v>5.6028505041139175E-2</v>
      </c>
      <c r="C319" s="302">
        <v>0.44508896326752784</v>
      </c>
      <c r="D319" s="302">
        <f t="shared" si="103"/>
        <v>0.50111746830866699</v>
      </c>
      <c r="E319" s="303"/>
      <c r="F319" s="302">
        <v>5.8018011861413019E-2</v>
      </c>
      <c r="G319" s="302">
        <v>0.2686930139115386</v>
      </c>
      <c r="H319" s="302">
        <f t="shared" si="104"/>
        <v>0.32671102577295164</v>
      </c>
      <c r="I319" s="303"/>
      <c r="J319" s="302">
        <v>0.1537211901495579</v>
      </c>
      <c r="K319" s="302">
        <v>0.23983723271700824</v>
      </c>
      <c r="L319" s="302">
        <f t="shared" si="105"/>
        <v>0.39355842286656617</v>
      </c>
      <c r="M319" s="236"/>
      <c r="N319" s="236"/>
    </row>
    <row r="320" spans="1:14" x14ac:dyDescent="0.2">
      <c r="A320" s="237" t="str">
        <f>name!E$9</f>
        <v>Caring, leisure and other service occupations</v>
      </c>
      <c r="B320" s="302">
        <v>0.53227836312457577</v>
      </c>
      <c r="C320" s="302">
        <v>0.38334436865357829</v>
      </c>
      <c r="D320" s="302">
        <f t="shared" si="103"/>
        <v>0.91562273177815401</v>
      </c>
      <c r="E320" s="303"/>
      <c r="F320" s="302">
        <v>0.48467570743852412</v>
      </c>
      <c r="G320" s="302">
        <v>0.33793065244835974</v>
      </c>
      <c r="H320" s="302">
        <f t="shared" si="104"/>
        <v>0.8226063598868838</v>
      </c>
      <c r="I320" s="303"/>
      <c r="J320" s="302">
        <v>0.50995084574939353</v>
      </c>
      <c r="K320" s="302">
        <v>0.35519984009014249</v>
      </c>
      <c r="L320" s="302">
        <f t="shared" si="105"/>
        <v>0.86515068583953603</v>
      </c>
      <c r="M320" s="236"/>
      <c r="N320" s="236"/>
    </row>
    <row r="321" spans="1:14" x14ac:dyDescent="0.2">
      <c r="A321" s="237" t="str">
        <f>name!E$10</f>
        <v>Sales and customer service occupations</v>
      </c>
      <c r="B321" s="302">
        <v>0.53860823046248152</v>
      </c>
      <c r="C321" s="302">
        <v>0.16301590871773608</v>
      </c>
      <c r="D321" s="302">
        <f t="shared" si="103"/>
        <v>0.7016241391802176</v>
      </c>
      <c r="E321" s="303"/>
      <c r="F321" s="302">
        <v>0.49780233919123829</v>
      </c>
      <c r="G321" s="302">
        <v>0.13091078460871977</v>
      </c>
      <c r="H321" s="302">
        <f t="shared" si="104"/>
        <v>0.62871312379995803</v>
      </c>
      <c r="I321" s="303"/>
      <c r="J321" s="302">
        <v>0.56973540658103594</v>
      </c>
      <c r="K321" s="302">
        <v>0.16687846202172427</v>
      </c>
      <c r="L321" s="302">
        <f t="shared" si="105"/>
        <v>0.73661386860276024</v>
      </c>
      <c r="M321" s="236"/>
      <c r="N321" s="236"/>
    </row>
    <row r="322" spans="1:14" x14ac:dyDescent="0.2">
      <c r="A322" s="237" t="str">
        <f>name!E$11</f>
        <v>Process, plant and machine operatives</v>
      </c>
      <c r="B322" s="302">
        <v>5.4996687490081866E-2</v>
      </c>
      <c r="C322" s="302">
        <v>0.2834793446130523</v>
      </c>
      <c r="D322" s="302">
        <f t="shared" si="103"/>
        <v>0.33847603210313415</v>
      </c>
      <c r="E322" s="303"/>
      <c r="F322" s="302">
        <v>4.3253779493852521E-2</v>
      </c>
      <c r="G322" s="302">
        <v>0.20124364996972385</v>
      </c>
      <c r="H322" s="302">
        <f t="shared" si="104"/>
        <v>0.24449742946357639</v>
      </c>
      <c r="I322" s="303"/>
      <c r="J322" s="302">
        <v>0.10565000473559977</v>
      </c>
      <c r="K322" s="302">
        <v>0.2078151472940537</v>
      </c>
      <c r="L322" s="302">
        <f t="shared" si="105"/>
        <v>0.31346515202965347</v>
      </c>
      <c r="M322" s="236"/>
      <c r="N322" s="236"/>
    </row>
    <row r="323" spans="1:14" x14ac:dyDescent="0.2">
      <c r="A323" s="237" t="str">
        <f>name!E$12</f>
        <v>Elementary occupations</v>
      </c>
      <c r="B323" s="302">
        <v>0.86270757493178873</v>
      </c>
      <c r="C323" s="302">
        <v>0.56107616960114737</v>
      </c>
      <c r="D323" s="302">
        <f t="shared" si="103"/>
        <v>1.423783744532936</v>
      </c>
      <c r="E323" s="303"/>
      <c r="F323" s="302">
        <v>0.66886866575065029</v>
      </c>
      <c r="G323" s="302">
        <v>0.39115960137868844</v>
      </c>
      <c r="H323" s="302">
        <f t="shared" si="104"/>
        <v>1.0600282671293386</v>
      </c>
      <c r="I323" s="303"/>
      <c r="J323" s="302">
        <v>0.87070094377975293</v>
      </c>
      <c r="K323" s="302">
        <v>0.33826495815836527</v>
      </c>
      <c r="L323" s="302">
        <f t="shared" si="105"/>
        <v>1.2089659019381183</v>
      </c>
      <c r="M323" s="236"/>
      <c r="N323" s="236"/>
    </row>
    <row r="324" spans="1:14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  <c r="N324" s="236"/>
    </row>
    <row r="325" spans="1:14" x14ac:dyDescent="0.2">
      <c r="A325" s="244" t="s">
        <v>33</v>
      </c>
      <c r="B325" s="311">
        <f>SUM(B315:B323)</f>
        <v>15.308049422915975</v>
      </c>
      <c r="C325" s="311">
        <f t="shared" ref="C325:D325" si="106">SUM(C315:C323)</f>
        <v>12.275950577084036</v>
      </c>
      <c r="D325" s="311">
        <f t="shared" si="106"/>
        <v>27.58400000000001</v>
      </c>
      <c r="E325" s="311"/>
      <c r="F325" s="311">
        <f t="shared" ref="F325:H325" si="107">SUM(F315:F323)</f>
        <v>15.049057105504579</v>
      </c>
      <c r="G325" s="311">
        <f t="shared" si="107"/>
        <v>11.381942894495388</v>
      </c>
      <c r="H325" s="311">
        <f t="shared" si="107"/>
        <v>26.430999999999962</v>
      </c>
      <c r="I325" s="311"/>
      <c r="J325" s="311">
        <f t="shared" ref="J325:L325" si="108">SUM(J315:J323)</f>
        <v>15.581091584717905</v>
      </c>
      <c r="K325" s="311">
        <f t="shared" si="108"/>
        <v>11.411908415282115</v>
      </c>
      <c r="L325" s="311">
        <f t="shared" si="108"/>
        <v>26.993000000000016</v>
      </c>
      <c r="M325" s="236"/>
      <c r="N325" s="236"/>
    </row>
    <row r="326" spans="1:14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  <c r="N326" s="236"/>
    </row>
    <row r="327" spans="1:14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56" t="s">
        <v>36</v>
      </c>
      <c r="M327" s="236"/>
      <c r="N327" s="236"/>
    </row>
    <row r="328" spans="1:14" x14ac:dyDescent="0.2">
      <c r="A328" s="242"/>
      <c r="B328" s="250"/>
      <c r="C328" s="250"/>
      <c r="D328" s="250"/>
      <c r="E328" s="250"/>
      <c r="F328" s="250"/>
      <c r="G328" s="250"/>
      <c r="H328" s="250"/>
      <c r="I328" s="250"/>
      <c r="J328" s="250"/>
      <c r="K328" s="250"/>
      <c r="L328" s="236"/>
      <c r="M328" s="236"/>
      <c r="N328" s="236"/>
    </row>
    <row r="329" spans="1:14" x14ac:dyDescent="0.2">
      <c r="A329" s="241" t="str">
        <f>name!B22</f>
        <v>Education</v>
      </c>
      <c r="B329" s="375">
        <f>B$6</f>
        <v>2015</v>
      </c>
      <c r="C329" s="375"/>
      <c r="D329" s="375"/>
      <c r="E329" s="253"/>
      <c r="F329" s="375">
        <f>F312</f>
        <v>2020</v>
      </c>
      <c r="G329" s="375"/>
      <c r="H329" s="375"/>
      <c r="I329" s="253"/>
      <c r="J329" s="375">
        <f>J312</f>
        <v>2035</v>
      </c>
      <c r="K329" s="375"/>
      <c r="L329" s="375"/>
      <c r="M329" s="236"/>
      <c r="N329" s="236"/>
    </row>
    <row r="330" spans="1:14" x14ac:dyDescent="0.2">
      <c r="A330" s="254"/>
      <c r="B330" s="255" t="s">
        <v>361</v>
      </c>
      <c r="C330" s="255" t="s">
        <v>362</v>
      </c>
      <c r="D330" s="255" t="s">
        <v>33</v>
      </c>
      <c r="E330" s="255"/>
      <c r="F330" s="255" t="s">
        <v>361</v>
      </c>
      <c r="G330" s="255" t="s">
        <v>362</v>
      </c>
      <c r="H330" s="255" t="s">
        <v>33</v>
      </c>
      <c r="I330" s="255"/>
      <c r="J330" s="255" t="s">
        <v>361</v>
      </c>
      <c r="K330" s="255" t="s">
        <v>362</v>
      </c>
      <c r="L330" s="255" t="s">
        <v>33</v>
      </c>
      <c r="M330" s="236"/>
      <c r="N330" s="236"/>
    </row>
    <row r="331" spans="1:14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  <c r="N331" s="236"/>
    </row>
    <row r="332" spans="1:14" x14ac:dyDescent="0.2">
      <c r="A332" s="237" t="str">
        <f>name!E$4</f>
        <v>Managers, directors and senior officials</v>
      </c>
      <c r="B332" s="302">
        <v>1.3402975139771531</v>
      </c>
      <c r="C332" s="302">
        <v>1.3663689139569606</v>
      </c>
      <c r="D332" s="302">
        <f>SUM(B332:C332)</f>
        <v>2.7066664279341137</v>
      </c>
      <c r="E332" s="303"/>
      <c r="F332" s="302">
        <v>1.3868795540453454</v>
      </c>
      <c r="G332" s="302">
        <v>1.3566364618474873</v>
      </c>
      <c r="H332" s="302">
        <f>SUM(F332:G332)</f>
        <v>2.7435160158928324</v>
      </c>
      <c r="I332" s="303"/>
      <c r="J332" s="302">
        <v>1.5858606647597637</v>
      </c>
      <c r="K332" s="302">
        <v>1.3669006709222353</v>
      </c>
      <c r="L332" s="302">
        <f>SUM(J332:K332)</f>
        <v>2.9527613356819993</v>
      </c>
      <c r="M332" s="236"/>
      <c r="N332" s="236"/>
    </row>
    <row r="333" spans="1:14" x14ac:dyDescent="0.2">
      <c r="A333" s="237" t="str">
        <f>name!E$5</f>
        <v>Professional occupations</v>
      </c>
      <c r="B333" s="302">
        <v>25.662300124858024</v>
      </c>
      <c r="C333" s="302">
        <v>12.735872447153502</v>
      </c>
      <c r="D333" s="302">
        <f t="shared" ref="D333:D340" si="109">SUM(B333:C333)</f>
        <v>38.398172572011525</v>
      </c>
      <c r="E333" s="303"/>
      <c r="F333" s="302">
        <v>26.170750015102463</v>
      </c>
      <c r="G333" s="302">
        <v>12.962068061149887</v>
      </c>
      <c r="H333" s="302">
        <f t="shared" ref="H333:H340" si="110">SUM(F333:G333)</f>
        <v>39.132818076252349</v>
      </c>
      <c r="I333" s="303"/>
      <c r="J333" s="302">
        <v>29.402482442918494</v>
      </c>
      <c r="K333" s="302">
        <v>13.832985158119858</v>
      </c>
      <c r="L333" s="302">
        <f t="shared" ref="L333:L340" si="111">SUM(J333:K333)</f>
        <v>43.235467601038351</v>
      </c>
      <c r="M333" s="236"/>
      <c r="N333" s="236"/>
    </row>
    <row r="334" spans="1:14" x14ac:dyDescent="0.2">
      <c r="A334" s="237" t="str">
        <f>name!E$6</f>
        <v>Associate professional occupations</v>
      </c>
      <c r="B334" s="302">
        <v>4.432717813954973</v>
      </c>
      <c r="C334" s="302">
        <v>2.6392550952544589</v>
      </c>
      <c r="D334" s="302">
        <f t="shared" si="109"/>
        <v>7.0719729092094319</v>
      </c>
      <c r="E334" s="303"/>
      <c r="F334" s="302">
        <v>4.0832069105936117</v>
      </c>
      <c r="G334" s="302">
        <v>2.6693444061296607</v>
      </c>
      <c r="H334" s="302">
        <f t="shared" si="110"/>
        <v>6.752551316723272</v>
      </c>
      <c r="I334" s="303"/>
      <c r="J334" s="302">
        <v>4.3318660164049012</v>
      </c>
      <c r="K334" s="302">
        <v>2.225385311283111</v>
      </c>
      <c r="L334" s="302">
        <f t="shared" si="111"/>
        <v>6.5572513276880127</v>
      </c>
      <c r="M334" s="236"/>
      <c r="N334" s="236"/>
    </row>
    <row r="335" spans="1:14" x14ac:dyDescent="0.2">
      <c r="A335" s="237" t="str">
        <f>name!E$7</f>
        <v>Administrative and secretarial occupations</v>
      </c>
      <c r="B335" s="302">
        <v>4.933620076037279</v>
      </c>
      <c r="C335" s="302">
        <v>0.74066166459821947</v>
      </c>
      <c r="D335" s="302">
        <f t="shared" si="109"/>
        <v>5.6742817406354984</v>
      </c>
      <c r="E335" s="303"/>
      <c r="F335" s="302">
        <v>3.9984412087604189</v>
      </c>
      <c r="G335" s="302">
        <v>0.62121723353357394</v>
      </c>
      <c r="H335" s="302">
        <f t="shared" si="110"/>
        <v>4.6196584422939928</v>
      </c>
      <c r="I335" s="303"/>
      <c r="J335" s="302">
        <v>1.9753181978429601</v>
      </c>
      <c r="K335" s="302">
        <v>0.53980060250657269</v>
      </c>
      <c r="L335" s="302">
        <f t="shared" si="111"/>
        <v>2.5151188003495326</v>
      </c>
      <c r="M335" s="236"/>
      <c r="N335" s="236"/>
    </row>
    <row r="336" spans="1:14" x14ac:dyDescent="0.2">
      <c r="A336" s="237" t="str">
        <f>name!E$8</f>
        <v>Skilled trades occupations</v>
      </c>
      <c r="B336" s="302">
        <v>0.59773153536987056</v>
      </c>
      <c r="C336" s="302">
        <v>0.7605987523184069</v>
      </c>
      <c r="D336" s="302">
        <f t="shared" si="109"/>
        <v>1.3583302876882775</v>
      </c>
      <c r="E336" s="303"/>
      <c r="F336" s="302">
        <v>0.45217502761553396</v>
      </c>
      <c r="G336" s="302">
        <v>0.47082152429801727</v>
      </c>
      <c r="H336" s="302">
        <f t="shared" si="110"/>
        <v>0.92299655191355123</v>
      </c>
      <c r="I336" s="303"/>
      <c r="J336" s="302">
        <v>0.30332635603346081</v>
      </c>
      <c r="K336" s="302">
        <v>0.36651372668557225</v>
      </c>
      <c r="L336" s="302">
        <f t="shared" si="111"/>
        <v>0.66984008271903306</v>
      </c>
      <c r="M336" s="236"/>
      <c r="N336" s="236"/>
    </row>
    <row r="337" spans="1:14" x14ac:dyDescent="0.2">
      <c r="A337" s="237" t="str">
        <f>name!E$9</f>
        <v>Caring, leisure and other service occupations</v>
      </c>
      <c r="B337" s="302">
        <v>14.640475431811678</v>
      </c>
      <c r="C337" s="302">
        <v>2.5570853321939402</v>
      </c>
      <c r="D337" s="302">
        <f t="shared" si="109"/>
        <v>17.197560764005619</v>
      </c>
      <c r="E337" s="303"/>
      <c r="F337" s="302">
        <v>12.404488969189231</v>
      </c>
      <c r="G337" s="302">
        <v>2.3204557240172963</v>
      </c>
      <c r="H337" s="302">
        <f t="shared" si="110"/>
        <v>14.724944693206528</v>
      </c>
      <c r="I337" s="303"/>
      <c r="J337" s="302">
        <v>13.154873880421624</v>
      </c>
      <c r="K337" s="302">
        <v>2.6483936357352449</v>
      </c>
      <c r="L337" s="302">
        <f t="shared" si="111"/>
        <v>15.803267516156868</v>
      </c>
      <c r="M337" s="236"/>
      <c r="N337" s="236"/>
    </row>
    <row r="338" spans="1:14" x14ac:dyDescent="0.2">
      <c r="A338" s="237" t="str">
        <f>name!E$10</f>
        <v>Sales and customer service occupations</v>
      </c>
      <c r="B338" s="302">
        <v>0.43822218711130678</v>
      </c>
      <c r="C338" s="302">
        <v>0.15559644216794402</v>
      </c>
      <c r="D338" s="302">
        <f t="shared" si="109"/>
        <v>0.59381862927925078</v>
      </c>
      <c r="E338" s="303"/>
      <c r="F338" s="302">
        <v>0.34306412469520658</v>
      </c>
      <c r="G338" s="302">
        <v>0.12742130002016586</v>
      </c>
      <c r="H338" s="302">
        <f t="shared" si="110"/>
        <v>0.47048542471537247</v>
      </c>
      <c r="I338" s="303"/>
      <c r="J338" s="302">
        <v>0.32827041739602858</v>
      </c>
      <c r="K338" s="302">
        <v>0.13659273600516308</v>
      </c>
      <c r="L338" s="302">
        <f t="shared" si="111"/>
        <v>0.46486315340119166</v>
      </c>
      <c r="M338" s="236"/>
      <c r="N338" s="236"/>
    </row>
    <row r="339" spans="1:14" x14ac:dyDescent="0.2">
      <c r="A339" s="237" t="str">
        <f>name!E$11</f>
        <v>Process, plant and machine operatives</v>
      </c>
      <c r="B339" s="302">
        <v>0.55968167265401281</v>
      </c>
      <c r="C339" s="302">
        <v>1.0911962575968497</v>
      </c>
      <c r="D339" s="302">
        <f t="shared" si="109"/>
        <v>1.6508779302508625</v>
      </c>
      <c r="E339" s="303"/>
      <c r="F339" s="302">
        <v>0.4638906678561589</v>
      </c>
      <c r="G339" s="302">
        <v>1.3850768979842827</v>
      </c>
      <c r="H339" s="302">
        <f t="shared" si="110"/>
        <v>1.8489675658404416</v>
      </c>
      <c r="I339" s="303"/>
      <c r="J339" s="302">
        <v>0.53529581860632713</v>
      </c>
      <c r="K339" s="302">
        <v>1.4993664270561933</v>
      </c>
      <c r="L339" s="302">
        <f t="shared" si="111"/>
        <v>2.0346622456625205</v>
      </c>
      <c r="M339" s="236"/>
      <c r="N339" s="236"/>
    </row>
    <row r="340" spans="1:14" x14ac:dyDescent="0.2">
      <c r="A340" s="237" t="str">
        <f>name!E$12</f>
        <v>Elementary occupations</v>
      </c>
      <c r="B340" s="302">
        <v>4.2296352576464402</v>
      </c>
      <c r="C340" s="302">
        <v>1.2306834813389225</v>
      </c>
      <c r="D340" s="302">
        <f t="shared" si="109"/>
        <v>5.4603187389853627</v>
      </c>
      <c r="E340" s="303"/>
      <c r="F340" s="302">
        <v>3.0680692278737238</v>
      </c>
      <c r="G340" s="302">
        <v>0.83199268528795267</v>
      </c>
      <c r="H340" s="302">
        <f t="shared" si="110"/>
        <v>3.9000619131616765</v>
      </c>
      <c r="I340" s="303"/>
      <c r="J340" s="302">
        <v>1.7111625818898852</v>
      </c>
      <c r="K340" s="302">
        <v>0.62460535541255791</v>
      </c>
      <c r="L340" s="302">
        <f t="shared" si="111"/>
        <v>2.3357679373024434</v>
      </c>
      <c r="M340" s="236"/>
      <c r="N340" s="236"/>
    </row>
    <row r="341" spans="1:14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  <c r="N341" s="236"/>
    </row>
    <row r="342" spans="1:14" x14ac:dyDescent="0.2">
      <c r="A342" s="244" t="s">
        <v>33</v>
      </c>
      <c r="B342" s="311">
        <f>SUM(B332:B340)</f>
        <v>56.834681613420742</v>
      </c>
      <c r="C342" s="311">
        <f t="shared" ref="C342:D342" si="112">SUM(C332:C340)</f>
        <v>23.277318386579203</v>
      </c>
      <c r="D342" s="311">
        <f t="shared" si="112"/>
        <v>80.111999999999952</v>
      </c>
      <c r="E342" s="311"/>
      <c r="F342" s="311">
        <f t="shared" ref="F342:H342" si="113">SUM(F332:F340)</f>
        <v>52.370965705731685</v>
      </c>
      <c r="G342" s="311">
        <f t="shared" si="113"/>
        <v>22.745034294268329</v>
      </c>
      <c r="H342" s="311">
        <f t="shared" si="113"/>
        <v>75.116000000000014</v>
      </c>
      <c r="I342" s="311"/>
      <c r="J342" s="311">
        <f t="shared" ref="J342:L342" si="114">SUM(J332:J340)</f>
        <v>53.328456376273444</v>
      </c>
      <c r="K342" s="311">
        <f t="shared" si="114"/>
        <v>23.240543623726513</v>
      </c>
      <c r="L342" s="311">
        <f t="shared" si="114"/>
        <v>76.56899999999996</v>
      </c>
      <c r="M342" s="236"/>
      <c r="N342" s="236"/>
    </row>
    <row r="343" spans="1:14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  <c r="N343" s="236"/>
    </row>
    <row r="344" spans="1:14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56" t="s">
        <v>36</v>
      </c>
      <c r="M344" s="236"/>
      <c r="N344" s="236"/>
    </row>
    <row r="345" spans="1:14" x14ac:dyDescent="0.2">
      <c r="A345" s="242"/>
      <c r="B345" s="250"/>
      <c r="C345" s="250"/>
      <c r="D345" s="250"/>
      <c r="E345" s="250"/>
      <c r="F345" s="250"/>
      <c r="G345" s="250"/>
      <c r="H345" s="250"/>
      <c r="I345" s="250"/>
      <c r="J345" s="250"/>
      <c r="K345" s="250"/>
      <c r="L345" s="236"/>
      <c r="M345" s="236"/>
      <c r="N345" s="236"/>
    </row>
    <row r="346" spans="1:14" x14ac:dyDescent="0.2">
      <c r="A346" s="241" t="str">
        <f>name!B23</f>
        <v>Health and social work</v>
      </c>
      <c r="B346" s="375">
        <f>B$6</f>
        <v>2015</v>
      </c>
      <c r="C346" s="375"/>
      <c r="D346" s="375"/>
      <c r="E346" s="253"/>
      <c r="F346" s="375">
        <f>F329</f>
        <v>2020</v>
      </c>
      <c r="G346" s="375"/>
      <c r="H346" s="375"/>
      <c r="I346" s="253"/>
      <c r="J346" s="375">
        <f>J329</f>
        <v>2035</v>
      </c>
      <c r="K346" s="375"/>
      <c r="L346" s="375"/>
      <c r="M346" s="236"/>
      <c r="N346" s="236"/>
    </row>
    <row r="347" spans="1:14" x14ac:dyDescent="0.2">
      <c r="A347" s="254"/>
      <c r="B347" s="255" t="s">
        <v>361</v>
      </c>
      <c r="C347" s="255" t="s">
        <v>362</v>
      </c>
      <c r="D347" s="255" t="s">
        <v>33</v>
      </c>
      <c r="E347" s="255"/>
      <c r="F347" s="255" t="s">
        <v>361</v>
      </c>
      <c r="G347" s="255" t="s">
        <v>362</v>
      </c>
      <c r="H347" s="255" t="s">
        <v>33</v>
      </c>
      <c r="I347" s="255"/>
      <c r="J347" s="255" t="s">
        <v>361</v>
      </c>
      <c r="K347" s="255" t="s">
        <v>362</v>
      </c>
      <c r="L347" s="255" t="s">
        <v>33</v>
      </c>
      <c r="M347" s="236"/>
      <c r="N347" s="236"/>
    </row>
    <row r="348" spans="1:14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  <c r="N348" s="236"/>
    </row>
    <row r="349" spans="1:14" x14ac:dyDescent="0.2">
      <c r="A349" s="237" t="str">
        <f>name!E$4</f>
        <v>Managers, directors and senior officials</v>
      </c>
      <c r="B349" s="302">
        <v>2.7840984856449857</v>
      </c>
      <c r="C349" s="302">
        <v>1.5189948629270089</v>
      </c>
      <c r="D349" s="302">
        <f>SUM(B349:C349)</f>
        <v>4.3030933485719949</v>
      </c>
      <c r="E349" s="303"/>
      <c r="F349" s="302">
        <v>3.4689319236671627</v>
      </c>
      <c r="G349" s="302">
        <v>1.5817838453916957</v>
      </c>
      <c r="H349" s="302">
        <f>SUM(F349:G349)</f>
        <v>5.0507157690588587</v>
      </c>
      <c r="I349" s="303"/>
      <c r="J349" s="302">
        <v>4.2641461885237479</v>
      </c>
      <c r="K349" s="302">
        <v>1.4672778673172697</v>
      </c>
      <c r="L349" s="302">
        <f>SUM(J349:K349)</f>
        <v>5.7314240558410177</v>
      </c>
      <c r="M349" s="236"/>
      <c r="N349" s="236"/>
    </row>
    <row r="350" spans="1:14" x14ac:dyDescent="0.2">
      <c r="A350" s="237" t="str">
        <f>name!E$5</f>
        <v>Professional occupations</v>
      </c>
      <c r="B350" s="302">
        <v>19.590409268454739</v>
      </c>
      <c r="C350" s="302">
        <v>5.2511038643237535</v>
      </c>
      <c r="D350" s="302">
        <f t="shared" ref="D350:D357" si="115">SUM(B350:C350)</f>
        <v>24.841513132778491</v>
      </c>
      <c r="E350" s="303"/>
      <c r="F350" s="302">
        <v>23.091923051815638</v>
      </c>
      <c r="G350" s="302">
        <v>6.1274882597467419</v>
      </c>
      <c r="H350" s="302">
        <f t="shared" ref="H350:H357" si="116">SUM(F350:G350)</f>
        <v>29.219411311562379</v>
      </c>
      <c r="I350" s="303"/>
      <c r="J350" s="302">
        <v>27.407235165212047</v>
      </c>
      <c r="K350" s="302">
        <v>6.1393823880944671</v>
      </c>
      <c r="L350" s="302">
        <f t="shared" ref="L350:L357" si="117">SUM(J350:K350)</f>
        <v>33.546617553306511</v>
      </c>
      <c r="M350" s="236"/>
      <c r="N350" s="236"/>
    </row>
    <row r="351" spans="1:14" x14ac:dyDescent="0.2">
      <c r="A351" s="237" t="str">
        <f>name!E$6</f>
        <v>Associate professional occupations</v>
      </c>
      <c r="B351" s="302">
        <v>9.4138994282757054</v>
      </c>
      <c r="C351" s="302">
        <v>2.6473337775286701</v>
      </c>
      <c r="D351" s="302">
        <f t="shared" si="115"/>
        <v>12.061233205804376</v>
      </c>
      <c r="E351" s="303"/>
      <c r="F351" s="302">
        <v>10.741029302992523</v>
      </c>
      <c r="G351" s="302">
        <v>2.749358117271099</v>
      </c>
      <c r="H351" s="302">
        <f t="shared" si="116"/>
        <v>13.490387420263621</v>
      </c>
      <c r="I351" s="303"/>
      <c r="J351" s="302">
        <v>11.867415754942517</v>
      </c>
      <c r="K351" s="302">
        <v>2.3677536385979074</v>
      </c>
      <c r="L351" s="302">
        <f t="shared" si="117"/>
        <v>14.235169393540424</v>
      </c>
      <c r="M351" s="236"/>
      <c r="N351" s="236"/>
    </row>
    <row r="352" spans="1:14" x14ac:dyDescent="0.2">
      <c r="A352" s="237" t="str">
        <f>name!E$7</f>
        <v>Administrative and secretarial occupations</v>
      </c>
      <c r="B352" s="302">
        <v>9.803956048912573</v>
      </c>
      <c r="C352" s="302">
        <v>1.0879807209058323</v>
      </c>
      <c r="D352" s="302">
        <f t="shared" si="115"/>
        <v>10.891936769818406</v>
      </c>
      <c r="E352" s="303"/>
      <c r="F352" s="302">
        <v>9.0943907018177885</v>
      </c>
      <c r="G352" s="302">
        <v>0.99494103795663147</v>
      </c>
      <c r="H352" s="302">
        <f t="shared" si="116"/>
        <v>10.089331739774419</v>
      </c>
      <c r="I352" s="303"/>
      <c r="J352" s="302">
        <v>5.700483920837585</v>
      </c>
      <c r="K352" s="302">
        <v>0.86310340413986697</v>
      </c>
      <c r="L352" s="302">
        <f t="shared" si="117"/>
        <v>6.5635873249774521</v>
      </c>
      <c r="M352" s="236"/>
      <c r="N352" s="236"/>
    </row>
    <row r="353" spans="1:14" x14ac:dyDescent="0.2">
      <c r="A353" s="237" t="str">
        <f>name!E$8</f>
        <v>Skilled trades occupations</v>
      </c>
      <c r="B353" s="302">
        <v>0.46045117892835657</v>
      </c>
      <c r="C353" s="302">
        <v>0.74642240308106855</v>
      </c>
      <c r="D353" s="302">
        <f t="shared" si="115"/>
        <v>1.2068735820094252</v>
      </c>
      <c r="E353" s="303"/>
      <c r="F353" s="302">
        <v>0.40042645294346546</v>
      </c>
      <c r="G353" s="302">
        <v>0.55437940490753124</v>
      </c>
      <c r="H353" s="302">
        <f t="shared" si="116"/>
        <v>0.9548058578509967</v>
      </c>
      <c r="I353" s="303"/>
      <c r="J353" s="302">
        <v>0.30940324943577369</v>
      </c>
      <c r="K353" s="302">
        <v>0.4214335791822022</v>
      </c>
      <c r="L353" s="302">
        <f t="shared" si="117"/>
        <v>0.73083682861797583</v>
      </c>
      <c r="M353" s="236"/>
      <c r="N353" s="236"/>
    </row>
    <row r="354" spans="1:14" x14ac:dyDescent="0.2">
      <c r="A354" s="237" t="str">
        <f>name!E$9</f>
        <v>Caring, leisure and other service occupations</v>
      </c>
      <c r="B354" s="302">
        <v>27.098516319789514</v>
      </c>
      <c r="C354" s="302">
        <v>6.8423540601997681</v>
      </c>
      <c r="D354" s="302">
        <f t="shared" si="115"/>
        <v>33.940870379989285</v>
      </c>
      <c r="E354" s="303"/>
      <c r="F354" s="302">
        <v>27.191047649089246</v>
      </c>
      <c r="G354" s="302">
        <v>6.4554655912246579</v>
      </c>
      <c r="H354" s="302">
        <f t="shared" si="116"/>
        <v>33.646513240313901</v>
      </c>
      <c r="I354" s="303"/>
      <c r="J354" s="302">
        <v>29.471304721825533</v>
      </c>
      <c r="K354" s="302">
        <v>8.9555792806007997</v>
      </c>
      <c r="L354" s="302">
        <f t="shared" si="117"/>
        <v>38.426884002426334</v>
      </c>
      <c r="M354" s="236"/>
      <c r="N354" s="236"/>
    </row>
    <row r="355" spans="1:14" x14ac:dyDescent="0.2">
      <c r="A355" s="237" t="str">
        <f>name!E$10</f>
        <v>Sales and customer service occupations</v>
      </c>
      <c r="B355" s="302">
        <v>1.0933862908603824</v>
      </c>
      <c r="C355" s="302">
        <v>0.28293206683700323</v>
      </c>
      <c r="D355" s="302">
        <f t="shared" si="115"/>
        <v>1.3763183576973856</v>
      </c>
      <c r="E355" s="303"/>
      <c r="F355" s="302">
        <v>1.0319637308798926</v>
      </c>
      <c r="G355" s="302">
        <v>0.23012627144352238</v>
      </c>
      <c r="H355" s="302">
        <f t="shared" si="116"/>
        <v>1.262090002323415</v>
      </c>
      <c r="I355" s="303"/>
      <c r="J355" s="302">
        <v>1.1341363830556088</v>
      </c>
      <c r="K355" s="302">
        <v>0.21945997074553331</v>
      </c>
      <c r="L355" s="302">
        <f t="shared" si="117"/>
        <v>1.3535963538011422</v>
      </c>
      <c r="M355" s="236"/>
      <c r="N355" s="236"/>
    </row>
    <row r="356" spans="1:14" x14ac:dyDescent="0.2">
      <c r="A356" s="237" t="str">
        <f>name!E$11</f>
        <v>Process, plant and machine operatives</v>
      </c>
      <c r="B356" s="302">
        <v>0.13929800590925265</v>
      </c>
      <c r="C356" s="302">
        <v>0.48523297890527906</v>
      </c>
      <c r="D356" s="302">
        <f t="shared" si="115"/>
        <v>0.62453098481453173</v>
      </c>
      <c r="E356" s="303"/>
      <c r="F356" s="302">
        <v>0.10557853318073911</v>
      </c>
      <c r="G356" s="302">
        <v>0.40443065258456917</v>
      </c>
      <c r="H356" s="302">
        <f t="shared" si="116"/>
        <v>0.51000918576530829</v>
      </c>
      <c r="I356" s="303"/>
      <c r="J356" s="302">
        <v>0.12132974963271206</v>
      </c>
      <c r="K356" s="302">
        <v>0.31041791779991418</v>
      </c>
      <c r="L356" s="302">
        <f t="shared" si="117"/>
        <v>0.43174766743262627</v>
      </c>
      <c r="M356" s="236"/>
      <c r="N356" s="236"/>
    </row>
    <row r="357" spans="1:14" x14ac:dyDescent="0.2">
      <c r="A357" s="237" t="str">
        <f>name!E$12</f>
        <v>Elementary occupations</v>
      </c>
      <c r="B357" s="302">
        <v>1.7005884139399585</v>
      </c>
      <c r="C357" s="302">
        <v>1.3920418245761883</v>
      </c>
      <c r="D357" s="302">
        <f t="shared" si="115"/>
        <v>3.092630238516147</v>
      </c>
      <c r="E357" s="303"/>
      <c r="F357" s="302">
        <v>1.3679991983401316</v>
      </c>
      <c r="G357" s="302">
        <v>0.97773627474706537</v>
      </c>
      <c r="H357" s="302">
        <f t="shared" si="116"/>
        <v>2.3457354730871969</v>
      </c>
      <c r="I357" s="303"/>
      <c r="J357" s="302">
        <v>0.75013624398594325</v>
      </c>
      <c r="K357" s="302">
        <v>0.62700057607060011</v>
      </c>
      <c r="L357" s="302">
        <f t="shared" si="117"/>
        <v>1.3771368200565433</v>
      </c>
      <c r="M357" s="236"/>
      <c r="N357" s="236"/>
    </row>
    <row r="358" spans="1:14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  <c r="N358" s="236"/>
    </row>
    <row r="359" spans="1:14" x14ac:dyDescent="0.2">
      <c r="A359" s="244" t="s">
        <v>33</v>
      </c>
      <c r="B359" s="311">
        <f>SUM(B349:B357)</f>
        <v>72.084603440715469</v>
      </c>
      <c r="C359" s="311">
        <f t="shared" ref="C359:D359" si="118">SUM(C349:C357)</f>
        <v>20.254396559284572</v>
      </c>
      <c r="D359" s="311">
        <f t="shared" si="118"/>
        <v>92.339000000000041</v>
      </c>
      <c r="E359" s="311"/>
      <c r="F359" s="311">
        <f t="shared" ref="F359:H359" si="119">SUM(F349:F357)</f>
        <v>76.493290544726577</v>
      </c>
      <c r="G359" s="311">
        <f t="shared" si="119"/>
        <v>20.075709455273515</v>
      </c>
      <c r="H359" s="311">
        <f t="shared" si="119"/>
        <v>96.569000000000116</v>
      </c>
      <c r="I359" s="311"/>
      <c r="J359" s="311">
        <f t="shared" ref="J359:L359" si="120">SUM(J349:J357)</f>
        <v>81.025591377451462</v>
      </c>
      <c r="K359" s="311">
        <f t="shared" si="120"/>
        <v>21.371408622548561</v>
      </c>
      <c r="L359" s="311">
        <f t="shared" si="120"/>
        <v>102.39700000000003</v>
      </c>
      <c r="M359" s="236"/>
      <c r="N359" s="236"/>
    </row>
    <row r="360" spans="1:14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  <c r="N360" s="236"/>
    </row>
    <row r="361" spans="1:14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56" t="s">
        <v>36</v>
      </c>
      <c r="M361" s="236"/>
      <c r="N361" s="236"/>
    </row>
    <row r="362" spans="1:14" x14ac:dyDescent="0.2">
      <c r="A362" s="242"/>
      <c r="B362" s="250"/>
      <c r="C362" s="250"/>
      <c r="D362" s="250"/>
      <c r="E362" s="250"/>
      <c r="F362" s="250"/>
      <c r="G362" s="250"/>
      <c r="H362" s="250"/>
      <c r="I362" s="250"/>
      <c r="J362" s="250"/>
      <c r="K362" s="250"/>
      <c r="L362" s="236"/>
      <c r="M362" s="236"/>
      <c r="N362" s="236"/>
    </row>
    <row r="363" spans="1:14" x14ac:dyDescent="0.2">
      <c r="A363" s="241" t="str">
        <f>name!B24</f>
        <v>Arts and entertainment</v>
      </c>
      <c r="B363" s="375">
        <f>B$6</f>
        <v>2015</v>
      </c>
      <c r="C363" s="375"/>
      <c r="D363" s="375"/>
      <c r="E363" s="253"/>
      <c r="F363" s="375">
        <f>F346</f>
        <v>2020</v>
      </c>
      <c r="G363" s="375"/>
      <c r="H363" s="375"/>
      <c r="I363" s="253"/>
      <c r="J363" s="375">
        <f>J346</f>
        <v>2035</v>
      </c>
      <c r="K363" s="375"/>
      <c r="L363" s="375"/>
      <c r="M363" s="236"/>
      <c r="N363" s="236"/>
    </row>
    <row r="364" spans="1:14" x14ac:dyDescent="0.2">
      <c r="A364" s="254"/>
      <c r="B364" s="255" t="s">
        <v>361</v>
      </c>
      <c r="C364" s="255" t="s">
        <v>362</v>
      </c>
      <c r="D364" s="255" t="s">
        <v>33</v>
      </c>
      <c r="E364" s="255"/>
      <c r="F364" s="255" t="s">
        <v>361</v>
      </c>
      <c r="G364" s="255" t="s">
        <v>362</v>
      </c>
      <c r="H364" s="255" t="s">
        <v>33</v>
      </c>
      <c r="I364" s="255"/>
      <c r="J364" s="255" t="s">
        <v>361</v>
      </c>
      <c r="K364" s="255" t="s">
        <v>362</v>
      </c>
      <c r="L364" s="255" t="s">
        <v>33</v>
      </c>
      <c r="M364" s="236"/>
      <c r="N364" s="236"/>
    </row>
    <row r="365" spans="1:14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  <c r="N365" s="236"/>
    </row>
    <row r="366" spans="1:14" x14ac:dyDescent="0.2">
      <c r="A366" s="237" t="str">
        <f>name!E$4</f>
        <v>Managers, directors and senior officials</v>
      </c>
      <c r="B366" s="302">
        <v>2.4202196027215552</v>
      </c>
      <c r="C366" s="302">
        <v>1.8466236854154723</v>
      </c>
      <c r="D366" s="302">
        <f>SUM(B366:C366)</f>
        <v>4.2668432881370277</v>
      </c>
      <c r="E366" s="303"/>
      <c r="F366" s="302">
        <v>2.6039040144869787</v>
      </c>
      <c r="G366" s="302">
        <v>1.4102152384061974</v>
      </c>
      <c r="H366" s="302">
        <f>SUM(F366:G366)</f>
        <v>4.0141192528931757</v>
      </c>
      <c r="I366" s="303"/>
      <c r="J366" s="302">
        <v>4.2193932674792736</v>
      </c>
      <c r="K366" s="302">
        <v>1.8800672157725344</v>
      </c>
      <c r="L366" s="302">
        <f>SUM(J366:K366)</f>
        <v>6.099460483251808</v>
      </c>
      <c r="M366" s="236"/>
      <c r="N366" s="236"/>
    </row>
    <row r="367" spans="1:14" x14ac:dyDescent="0.2">
      <c r="A367" s="237" t="str">
        <f>name!E$5</f>
        <v>Professional occupations</v>
      </c>
      <c r="B367" s="302">
        <v>1.7854990558009158</v>
      </c>
      <c r="C367" s="302">
        <v>2.7761440133534663</v>
      </c>
      <c r="D367" s="302">
        <f t="shared" ref="D367:D374" si="121">SUM(B367:C367)</f>
        <v>4.5616430691543819</v>
      </c>
      <c r="E367" s="303"/>
      <c r="F367" s="302">
        <v>1.9787284018104245</v>
      </c>
      <c r="G367" s="302">
        <v>2.2221151355669524</v>
      </c>
      <c r="H367" s="302">
        <f t="shared" ref="H367:H374" si="122">SUM(F367:G367)</f>
        <v>4.2008435373773771</v>
      </c>
      <c r="I367" s="303"/>
      <c r="J367" s="302">
        <v>2.0631888143400521</v>
      </c>
      <c r="K367" s="302">
        <v>3.2315783515357945</v>
      </c>
      <c r="L367" s="302">
        <f t="shared" ref="L367:L374" si="123">SUM(J367:K367)</f>
        <v>5.2947671658758466</v>
      </c>
      <c r="M367" s="236"/>
      <c r="N367" s="236"/>
    </row>
    <row r="368" spans="1:14" x14ac:dyDescent="0.2">
      <c r="A368" s="237" t="str">
        <f>name!E$6</f>
        <v>Associate professional occupations</v>
      </c>
      <c r="B368" s="302">
        <v>3.7100066878172795</v>
      </c>
      <c r="C368" s="302">
        <v>6.0184208315728327</v>
      </c>
      <c r="D368" s="302">
        <f t="shared" si="121"/>
        <v>9.7284275193901131</v>
      </c>
      <c r="E368" s="303"/>
      <c r="F368" s="302">
        <v>3.8572302529396101</v>
      </c>
      <c r="G368" s="302">
        <v>4.2544525434674538</v>
      </c>
      <c r="H368" s="302">
        <f t="shared" si="122"/>
        <v>8.111682796407063</v>
      </c>
      <c r="I368" s="303"/>
      <c r="J368" s="302">
        <v>4.2446678295728377</v>
      </c>
      <c r="K368" s="302">
        <v>5.2992752002646144</v>
      </c>
      <c r="L368" s="302">
        <f t="shared" si="123"/>
        <v>9.5439430298374521</v>
      </c>
      <c r="M368" s="236"/>
      <c r="N368" s="236"/>
    </row>
    <row r="369" spans="1:14" x14ac:dyDescent="0.2">
      <c r="A369" s="237" t="str">
        <f>name!E$7</f>
        <v>Administrative and secretarial occupations</v>
      </c>
      <c r="B369" s="302">
        <v>2.0211792983482781</v>
      </c>
      <c r="C369" s="302">
        <v>0.5878085954288792</v>
      </c>
      <c r="D369" s="302">
        <f t="shared" si="121"/>
        <v>2.6089878937771571</v>
      </c>
      <c r="E369" s="303"/>
      <c r="F369" s="302">
        <v>1.7416854901428389</v>
      </c>
      <c r="G369" s="302">
        <v>0.50789109113771935</v>
      </c>
      <c r="H369" s="302">
        <f t="shared" si="122"/>
        <v>2.2495765812805582</v>
      </c>
      <c r="I369" s="303"/>
      <c r="J369" s="302">
        <v>1.2857337552010366</v>
      </c>
      <c r="K369" s="302">
        <v>0.47298582749612167</v>
      </c>
      <c r="L369" s="302">
        <f t="shared" si="123"/>
        <v>1.7587195826971582</v>
      </c>
      <c r="M369" s="236"/>
      <c r="N369" s="236"/>
    </row>
    <row r="370" spans="1:14" x14ac:dyDescent="0.2">
      <c r="A370" s="237" t="str">
        <f>name!E$8</f>
        <v>Skilled trades occupations</v>
      </c>
      <c r="B370" s="302">
        <v>0.77535246047457829</v>
      </c>
      <c r="C370" s="302">
        <v>2.0126127688812132</v>
      </c>
      <c r="D370" s="302">
        <f t="shared" si="121"/>
        <v>2.7879652293557915</v>
      </c>
      <c r="E370" s="303"/>
      <c r="F370" s="302">
        <v>0.84592589432550291</v>
      </c>
      <c r="G370" s="302">
        <v>1.1873980368810044</v>
      </c>
      <c r="H370" s="302">
        <f t="shared" si="122"/>
        <v>2.0333239312065072</v>
      </c>
      <c r="I370" s="303"/>
      <c r="J370" s="302">
        <v>1.6011584865757726</v>
      </c>
      <c r="K370" s="302">
        <v>1.4023853267068869</v>
      </c>
      <c r="L370" s="302">
        <f t="shared" si="123"/>
        <v>3.0035438132826595</v>
      </c>
      <c r="M370" s="236"/>
      <c r="N370" s="236"/>
    </row>
    <row r="371" spans="1:14" x14ac:dyDescent="0.2">
      <c r="A371" s="237" t="str">
        <f>name!E$9</f>
        <v>Caring, leisure and other service occupations</v>
      </c>
      <c r="B371" s="302">
        <v>1.6357723271218676</v>
      </c>
      <c r="C371" s="302">
        <v>1.1753737912080173</v>
      </c>
      <c r="D371" s="302">
        <f t="shared" si="121"/>
        <v>2.8111461183298849</v>
      </c>
      <c r="E371" s="303"/>
      <c r="F371" s="302">
        <v>1.2687369855817736</v>
      </c>
      <c r="G371" s="302">
        <v>0.8954581935716156</v>
      </c>
      <c r="H371" s="302">
        <f t="shared" si="122"/>
        <v>2.1641951791533893</v>
      </c>
      <c r="I371" s="303"/>
      <c r="J371" s="302">
        <v>1.2492141139181148</v>
      </c>
      <c r="K371" s="302">
        <v>1.2887990406302849</v>
      </c>
      <c r="L371" s="302">
        <f t="shared" si="123"/>
        <v>2.5380131545483997</v>
      </c>
      <c r="M371" s="236"/>
      <c r="N371" s="236"/>
    </row>
    <row r="372" spans="1:14" x14ac:dyDescent="0.2">
      <c r="A372" s="237" t="str">
        <f>name!E$10</f>
        <v>Sales and customer service occupations</v>
      </c>
      <c r="B372" s="302">
        <v>0.83611420765437494</v>
      </c>
      <c r="C372" s="302">
        <v>0.70863815740657643</v>
      </c>
      <c r="D372" s="302">
        <f t="shared" si="121"/>
        <v>1.5447523650609514</v>
      </c>
      <c r="E372" s="303"/>
      <c r="F372" s="302">
        <v>0.69864293156074653</v>
      </c>
      <c r="G372" s="302">
        <v>0.52932247642808106</v>
      </c>
      <c r="H372" s="302">
        <f t="shared" si="122"/>
        <v>1.2279654079888276</v>
      </c>
      <c r="I372" s="303"/>
      <c r="J372" s="302">
        <v>0.83521347472624485</v>
      </c>
      <c r="K372" s="302">
        <v>0.69063007286482569</v>
      </c>
      <c r="L372" s="302">
        <f t="shared" si="123"/>
        <v>1.5258435475910705</v>
      </c>
      <c r="M372" s="236"/>
      <c r="N372" s="236"/>
    </row>
    <row r="373" spans="1:14" x14ac:dyDescent="0.2">
      <c r="A373" s="237" t="str">
        <f>name!E$11</f>
        <v>Process, plant and machine operatives</v>
      </c>
      <c r="B373" s="302">
        <v>5.3603082429504359E-2</v>
      </c>
      <c r="C373" s="302">
        <v>0.23882748114268232</v>
      </c>
      <c r="D373" s="302">
        <f t="shared" si="121"/>
        <v>0.29243056357218666</v>
      </c>
      <c r="E373" s="303"/>
      <c r="F373" s="302">
        <v>4.9596801748545867E-2</v>
      </c>
      <c r="G373" s="302">
        <v>0.16439244470555242</v>
      </c>
      <c r="H373" s="302">
        <f t="shared" si="122"/>
        <v>0.21398924645409828</v>
      </c>
      <c r="I373" s="303"/>
      <c r="J373" s="302">
        <v>7.4608118199447654E-2</v>
      </c>
      <c r="K373" s="302">
        <v>0.19769212166578842</v>
      </c>
      <c r="L373" s="302">
        <f t="shared" si="123"/>
        <v>0.2723002398652361</v>
      </c>
      <c r="M373" s="236"/>
      <c r="N373" s="236"/>
    </row>
    <row r="374" spans="1:14" x14ac:dyDescent="0.2">
      <c r="A374" s="237" t="str">
        <f>name!E$12</f>
        <v>Elementary occupations</v>
      </c>
      <c r="B374" s="302">
        <v>1.3750108269019339</v>
      </c>
      <c r="C374" s="302">
        <v>1.6457931263206398</v>
      </c>
      <c r="D374" s="302">
        <f t="shared" si="121"/>
        <v>3.0208039532225737</v>
      </c>
      <c r="E374" s="303"/>
      <c r="F374" s="302">
        <v>0.98497286114780125</v>
      </c>
      <c r="G374" s="302">
        <v>1.0613312060912223</v>
      </c>
      <c r="H374" s="302">
        <f t="shared" si="122"/>
        <v>2.0463040672390234</v>
      </c>
      <c r="I374" s="303"/>
      <c r="J374" s="302">
        <v>0.73413867032148039</v>
      </c>
      <c r="K374" s="302">
        <v>1.057270312728863</v>
      </c>
      <c r="L374" s="302">
        <f t="shared" si="123"/>
        <v>1.7914089830503435</v>
      </c>
      <c r="M374" s="236"/>
      <c r="N374" s="236"/>
    </row>
    <row r="375" spans="1:14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  <c r="N375" s="236"/>
    </row>
    <row r="376" spans="1:14" x14ac:dyDescent="0.2">
      <c r="A376" s="244" t="s">
        <v>33</v>
      </c>
      <c r="B376" s="311">
        <f>SUM(B366:B374)</f>
        <v>14.612757549270286</v>
      </c>
      <c r="C376" s="311">
        <f t="shared" ref="C376:D376" si="124">SUM(C366:C374)</f>
        <v>17.01024245072978</v>
      </c>
      <c r="D376" s="311">
        <f t="shared" si="124"/>
        <v>31.623000000000069</v>
      </c>
      <c r="E376" s="311"/>
      <c r="F376" s="311">
        <f t="shared" ref="F376:H376" si="125">SUM(F366:F374)</f>
        <v>14.029423633744221</v>
      </c>
      <c r="G376" s="311">
        <f t="shared" si="125"/>
        <v>12.232576366255799</v>
      </c>
      <c r="H376" s="311">
        <f t="shared" si="125"/>
        <v>26.262000000000015</v>
      </c>
      <c r="I376" s="311"/>
      <c r="J376" s="311">
        <f t="shared" ref="J376:L376" si="126">SUM(J366:J374)</f>
        <v>16.307316530334262</v>
      </c>
      <c r="K376" s="311">
        <f t="shared" si="126"/>
        <v>15.520683469665713</v>
      </c>
      <c r="L376" s="311">
        <f t="shared" si="126"/>
        <v>31.827999999999967</v>
      </c>
      <c r="M376" s="236"/>
      <c r="N376" s="236"/>
    </row>
    <row r="377" spans="1:14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  <c r="N377" s="236"/>
    </row>
    <row r="378" spans="1:14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56" t="s">
        <v>36</v>
      </c>
      <c r="M378" s="236"/>
      <c r="N378" s="236"/>
    </row>
    <row r="379" spans="1:14" x14ac:dyDescent="0.2">
      <c r="A379" s="242"/>
      <c r="B379" s="250"/>
      <c r="C379" s="250"/>
      <c r="D379" s="250"/>
      <c r="E379" s="250"/>
      <c r="F379" s="250"/>
      <c r="G379" s="250"/>
      <c r="H379" s="250"/>
      <c r="I379" s="250"/>
      <c r="J379" s="250"/>
      <c r="K379" s="250"/>
      <c r="L379" s="236"/>
      <c r="M379" s="236"/>
      <c r="N379" s="236"/>
    </row>
    <row r="380" spans="1:14" x14ac:dyDescent="0.2">
      <c r="A380" s="241" t="str">
        <f>name!B25</f>
        <v>Other services</v>
      </c>
      <c r="B380" s="375">
        <f>B$6</f>
        <v>2015</v>
      </c>
      <c r="C380" s="375"/>
      <c r="D380" s="375"/>
      <c r="E380" s="253"/>
      <c r="F380" s="375">
        <f>F363</f>
        <v>2020</v>
      </c>
      <c r="G380" s="375"/>
      <c r="H380" s="375"/>
      <c r="I380" s="253"/>
      <c r="J380" s="375">
        <f>J363</f>
        <v>2035</v>
      </c>
      <c r="K380" s="375"/>
      <c r="L380" s="375"/>
      <c r="M380" s="236"/>
      <c r="N380" s="236"/>
    </row>
    <row r="381" spans="1:14" x14ac:dyDescent="0.2">
      <c r="A381" s="254"/>
      <c r="B381" s="255" t="s">
        <v>361</v>
      </c>
      <c r="C381" s="255" t="s">
        <v>362</v>
      </c>
      <c r="D381" s="255" t="s">
        <v>33</v>
      </c>
      <c r="E381" s="255"/>
      <c r="F381" s="255" t="s">
        <v>361</v>
      </c>
      <c r="G381" s="255" t="s">
        <v>362</v>
      </c>
      <c r="H381" s="255" t="s">
        <v>33</v>
      </c>
      <c r="I381" s="255"/>
      <c r="J381" s="255" t="s">
        <v>361</v>
      </c>
      <c r="K381" s="255" t="s">
        <v>362</v>
      </c>
      <c r="L381" s="255" t="s">
        <v>33</v>
      </c>
      <c r="M381" s="236"/>
      <c r="N381" s="236"/>
    </row>
    <row r="382" spans="1:14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  <c r="N382" s="236"/>
    </row>
    <row r="383" spans="1:14" x14ac:dyDescent="0.2">
      <c r="A383" s="237" t="str">
        <f>name!E$4</f>
        <v>Managers, directors and senior officials</v>
      </c>
      <c r="B383" s="302">
        <v>1.9313876816090834</v>
      </c>
      <c r="C383" s="302">
        <v>2.1060421551779793</v>
      </c>
      <c r="D383" s="302">
        <f>SUM(B383:C383)</f>
        <v>4.0374298367870622</v>
      </c>
      <c r="E383" s="303"/>
      <c r="F383" s="302">
        <v>2.763243722471886</v>
      </c>
      <c r="G383" s="302">
        <v>1.4385147701217611</v>
      </c>
      <c r="H383" s="302">
        <f>SUM(F383:G383)</f>
        <v>4.2017584925936475</v>
      </c>
      <c r="I383" s="303"/>
      <c r="J383" s="302">
        <v>3.4294812591057608</v>
      </c>
      <c r="K383" s="302">
        <v>1.5846890329673975</v>
      </c>
      <c r="L383" s="302">
        <f>SUM(J383:K383)</f>
        <v>5.0141702920731586</v>
      </c>
      <c r="M383" s="236"/>
      <c r="N383" s="236"/>
    </row>
    <row r="384" spans="1:14" x14ac:dyDescent="0.2">
      <c r="A384" s="237" t="str">
        <f>name!E$5</f>
        <v>Professional occupations</v>
      </c>
      <c r="B384" s="302">
        <v>2.4893524363553943</v>
      </c>
      <c r="C384" s="302">
        <v>3.8801475167421011</v>
      </c>
      <c r="D384" s="302">
        <f t="shared" ref="D384:D391" si="127">SUM(B384:C384)</f>
        <v>6.3694999530974954</v>
      </c>
      <c r="E384" s="303"/>
      <c r="F384" s="302">
        <v>3.5371574201114893</v>
      </c>
      <c r="G384" s="302">
        <v>2.6985335528304191</v>
      </c>
      <c r="H384" s="302">
        <f t="shared" ref="H384:H391" si="128">SUM(F384:G384)</f>
        <v>6.2356909729419083</v>
      </c>
      <c r="I384" s="303"/>
      <c r="J384" s="302">
        <v>3.0829847236086043</v>
      </c>
      <c r="K384" s="302">
        <v>2.9047618111520697</v>
      </c>
      <c r="L384" s="302">
        <f t="shared" ref="L384:L391" si="129">SUM(J384:K384)</f>
        <v>5.9877465347606744</v>
      </c>
      <c r="M384" s="236"/>
      <c r="N384" s="236"/>
    </row>
    <row r="385" spans="1:14" x14ac:dyDescent="0.2">
      <c r="A385" s="237" t="str">
        <f>name!E$6</f>
        <v>Associate professional occupations</v>
      </c>
      <c r="B385" s="302">
        <v>2.2983136112053439</v>
      </c>
      <c r="C385" s="302">
        <v>1.7090646564902705</v>
      </c>
      <c r="D385" s="302">
        <f t="shared" si="127"/>
        <v>4.0073782676956142</v>
      </c>
      <c r="E385" s="303"/>
      <c r="F385" s="302">
        <v>2.7692129327078678</v>
      </c>
      <c r="G385" s="302">
        <v>1.2406890629818939</v>
      </c>
      <c r="H385" s="302">
        <f t="shared" si="128"/>
        <v>4.0099019956897619</v>
      </c>
      <c r="I385" s="303"/>
      <c r="J385" s="302">
        <v>2.2316784323040708</v>
      </c>
      <c r="K385" s="302">
        <v>1.0938114558464447</v>
      </c>
      <c r="L385" s="302">
        <f t="shared" si="129"/>
        <v>3.3254898881505155</v>
      </c>
      <c r="M385" s="236"/>
      <c r="N385" s="236"/>
    </row>
    <row r="386" spans="1:14" x14ac:dyDescent="0.2">
      <c r="A386" s="237" t="str">
        <f>name!E$7</f>
        <v>Administrative and secretarial occupations</v>
      </c>
      <c r="B386" s="302">
        <v>2.0688080397798103</v>
      </c>
      <c r="C386" s="302">
        <v>0.38572380621104346</v>
      </c>
      <c r="D386" s="302">
        <f t="shared" si="127"/>
        <v>2.4545318459908536</v>
      </c>
      <c r="E386" s="303"/>
      <c r="F386" s="302">
        <v>2.3658725242485539</v>
      </c>
      <c r="G386" s="302">
        <v>0.27049143842489354</v>
      </c>
      <c r="H386" s="302">
        <f t="shared" si="128"/>
        <v>2.6363639626734474</v>
      </c>
      <c r="I386" s="303"/>
      <c r="J386" s="302">
        <v>2.3001653634967529</v>
      </c>
      <c r="K386" s="302">
        <v>0.22462445218683724</v>
      </c>
      <c r="L386" s="302">
        <f t="shared" si="129"/>
        <v>2.5247898156835902</v>
      </c>
      <c r="M386" s="236"/>
      <c r="N386" s="236"/>
    </row>
    <row r="387" spans="1:14" x14ac:dyDescent="0.2">
      <c r="A387" s="237" t="str">
        <f>name!E$8</f>
        <v>Skilled trades occupations</v>
      </c>
      <c r="B387" s="302">
        <v>0.46812269014338342</v>
      </c>
      <c r="C387" s="302">
        <v>1.1889381608376652</v>
      </c>
      <c r="D387" s="302">
        <f t="shared" si="127"/>
        <v>1.6570608509810487</v>
      </c>
      <c r="E387" s="303"/>
      <c r="F387" s="302">
        <v>0.59788120917371979</v>
      </c>
      <c r="G387" s="302">
        <v>0.63460635644043806</v>
      </c>
      <c r="H387" s="302">
        <f t="shared" si="128"/>
        <v>1.2324875656141578</v>
      </c>
      <c r="I387" s="303"/>
      <c r="J387" s="302">
        <v>0.88286249900839098</v>
      </c>
      <c r="K387" s="302">
        <v>0.65907556676555101</v>
      </c>
      <c r="L387" s="302">
        <f t="shared" si="129"/>
        <v>1.5419380657739419</v>
      </c>
      <c r="M387" s="236"/>
      <c r="N387" s="236"/>
    </row>
    <row r="388" spans="1:14" x14ac:dyDescent="0.2">
      <c r="A388" s="237" t="str">
        <f>name!E$9</f>
        <v>Caring, leisure and other service occupations</v>
      </c>
      <c r="B388" s="302">
        <v>7.5258913063657804</v>
      </c>
      <c r="C388" s="302">
        <v>2.1238720149527008</v>
      </c>
      <c r="D388" s="302">
        <f t="shared" si="127"/>
        <v>9.6497633213184812</v>
      </c>
      <c r="E388" s="303"/>
      <c r="F388" s="302">
        <v>7.7974714277853128</v>
      </c>
      <c r="G388" s="302">
        <v>1.5309779521930167</v>
      </c>
      <c r="H388" s="302">
        <f t="shared" si="128"/>
        <v>9.3284493799783288</v>
      </c>
      <c r="I388" s="303"/>
      <c r="J388" s="302">
        <v>6.3841937444428618</v>
      </c>
      <c r="K388" s="302">
        <v>1.6168416428846071</v>
      </c>
      <c r="L388" s="302">
        <f t="shared" si="129"/>
        <v>8.0010353873274696</v>
      </c>
      <c r="M388" s="236"/>
      <c r="N388" s="236"/>
    </row>
    <row r="389" spans="1:14" x14ac:dyDescent="0.2">
      <c r="A389" s="237" t="str">
        <f>name!E$10</f>
        <v>Sales and customer service occupations</v>
      </c>
      <c r="B389" s="302">
        <v>0.80537950851308848</v>
      </c>
      <c r="C389" s="302">
        <v>0.69195591243266019</v>
      </c>
      <c r="D389" s="302">
        <f t="shared" si="127"/>
        <v>1.4973354209457486</v>
      </c>
      <c r="E389" s="303"/>
      <c r="F389" s="302">
        <v>0.86311282325552918</v>
      </c>
      <c r="G389" s="302">
        <v>0.42362208702609561</v>
      </c>
      <c r="H389" s="302">
        <f t="shared" si="128"/>
        <v>1.2867349102816248</v>
      </c>
      <c r="I389" s="303"/>
      <c r="J389" s="302">
        <v>0.82000079855145436</v>
      </c>
      <c r="K389" s="302">
        <v>0.40027346651248485</v>
      </c>
      <c r="L389" s="302">
        <f t="shared" si="129"/>
        <v>1.2202742650639391</v>
      </c>
      <c r="M389" s="236"/>
      <c r="N389" s="236"/>
    </row>
    <row r="390" spans="1:14" x14ac:dyDescent="0.2">
      <c r="A390" s="237" t="str">
        <f>name!E$11</f>
        <v>Process, plant and machine operatives</v>
      </c>
      <c r="B390" s="302">
        <v>0.23569425939890568</v>
      </c>
      <c r="C390" s="302">
        <v>0.59058719011541261</v>
      </c>
      <c r="D390" s="302">
        <f t="shared" si="127"/>
        <v>0.82628144951431826</v>
      </c>
      <c r="E390" s="303"/>
      <c r="F390" s="302">
        <v>0.25810520834661344</v>
      </c>
      <c r="G390" s="302">
        <v>0.35159738303751131</v>
      </c>
      <c r="H390" s="302">
        <f t="shared" si="128"/>
        <v>0.60970259138412475</v>
      </c>
      <c r="I390" s="303"/>
      <c r="J390" s="302">
        <v>0.34569056225908967</v>
      </c>
      <c r="K390" s="302">
        <v>0.30646224507082814</v>
      </c>
      <c r="L390" s="302">
        <f t="shared" si="129"/>
        <v>0.65215280732991787</v>
      </c>
      <c r="M390" s="236"/>
      <c r="N390" s="236"/>
    </row>
    <row r="391" spans="1:14" x14ac:dyDescent="0.2">
      <c r="A391" s="237" t="str">
        <f>name!E$12</f>
        <v>Elementary occupations</v>
      </c>
      <c r="B391" s="302">
        <v>1.2755706987288715</v>
      </c>
      <c r="C391" s="302">
        <v>1.2341483549404939</v>
      </c>
      <c r="D391" s="302">
        <f t="shared" si="127"/>
        <v>2.5097190536693654</v>
      </c>
      <c r="E391" s="303"/>
      <c r="F391" s="302">
        <v>1.2272398217086713</v>
      </c>
      <c r="G391" s="302">
        <v>0.71767030713434132</v>
      </c>
      <c r="H391" s="302">
        <f t="shared" si="128"/>
        <v>1.9449101288430126</v>
      </c>
      <c r="I391" s="303"/>
      <c r="J391" s="302">
        <v>0.72350846094274524</v>
      </c>
      <c r="K391" s="302">
        <v>0.64689448289403595</v>
      </c>
      <c r="L391" s="302">
        <f t="shared" si="129"/>
        <v>1.3704029438367811</v>
      </c>
      <c r="M391" s="236"/>
      <c r="N391" s="236"/>
    </row>
    <row r="392" spans="1:14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  <c r="N392" s="236"/>
    </row>
    <row r="393" spans="1:14" x14ac:dyDescent="0.2">
      <c r="A393" s="244" t="s">
        <v>33</v>
      </c>
      <c r="B393" s="311">
        <f>SUM(B383:B391)</f>
        <v>19.098520232099659</v>
      </c>
      <c r="C393" s="311">
        <f t="shared" ref="C393:D393" si="130">SUM(C383:C391)</f>
        <v>13.910479767900329</v>
      </c>
      <c r="D393" s="311">
        <f t="shared" si="130"/>
        <v>33.008999999999993</v>
      </c>
      <c r="E393" s="311"/>
      <c r="F393" s="311">
        <f t="shared" ref="F393:H393" si="131">SUM(F383:F391)</f>
        <v>22.179297089809644</v>
      </c>
      <c r="G393" s="311">
        <f t="shared" si="131"/>
        <v>9.3067029101903707</v>
      </c>
      <c r="H393" s="311">
        <f t="shared" si="131"/>
        <v>31.486000000000008</v>
      </c>
      <c r="I393" s="311"/>
      <c r="J393" s="311">
        <f t="shared" ref="J393:L393" si="132">SUM(J383:J391)</f>
        <v>20.200565843719733</v>
      </c>
      <c r="K393" s="311">
        <f t="shared" si="132"/>
        <v>9.4374341562802542</v>
      </c>
      <c r="L393" s="311">
        <f t="shared" si="132"/>
        <v>29.637999999999987</v>
      </c>
      <c r="M393" s="236"/>
      <c r="N393" s="236"/>
    </row>
    <row r="394" spans="1:14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  <c r="N394" s="236"/>
    </row>
  </sheetData>
  <mergeCells count="69"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B23:D23"/>
    <mergeCell ref="F23:H23"/>
    <mergeCell ref="J23:L23"/>
    <mergeCell ref="B108:D108"/>
    <mergeCell ref="F108:H108"/>
    <mergeCell ref="J108:L108"/>
    <mergeCell ref="B125:D125"/>
    <mergeCell ref="F125:H125"/>
    <mergeCell ref="J125:L125"/>
    <mergeCell ref="B74:D74"/>
    <mergeCell ref="F74:H74"/>
    <mergeCell ref="J74:L74"/>
    <mergeCell ref="B91:D91"/>
    <mergeCell ref="F91:H91"/>
    <mergeCell ref="J91:L91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380:D380"/>
    <mergeCell ref="F380:H380"/>
    <mergeCell ref="J380:L380"/>
    <mergeCell ref="B346:D346"/>
    <mergeCell ref="F346:H346"/>
    <mergeCell ref="J346:L346"/>
    <mergeCell ref="B363:D363"/>
    <mergeCell ref="F363:H363"/>
    <mergeCell ref="J363:L363"/>
  </mergeCells>
  <pageMargins left="0.7" right="0.7" top="0.75" bottom="0.75" header="0.3" footer="0.3"/>
  <pageSetup paperSize="9" scale="81" orientation="portrait" r:id="rId1"/>
  <rowBreaks count="5" manualBreakCount="5">
    <brk id="54" max="16383" man="1"/>
    <brk id="122" max="11" man="1"/>
    <brk id="190" max="11" man="1"/>
    <brk id="258" max="11" man="1"/>
    <brk id="326" max="11" man="1"/>
  </rowBreaks>
  <colBreaks count="1" manualBreakCount="1">
    <brk id="12" max="1048575" man="1"/>
  </col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15">
    <pageSetUpPr fitToPage="1"/>
  </sheetPr>
  <dimension ref="A1:W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5" width="5.7109375" customWidth="1"/>
    <col min="259" max="259" width="33.140625" bestFit="1" customWidth="1"/>
    <col min="260" max="262" width="7.140625" customWidth="1"/>
    <col min="263" max="263" width="5" customWidth="1"/>
    <col min="264" max="266" width="7.140625" customWidth="1"/>
    <col min="267" max="267" width="5" customWidth="1"/>
    <col min="268" max="270" width="7.140625" customWidth="1"/>
    <col min="515" max="515" width="33.140625" bestFit="1" customWidth="1"/>
    <col min="516" max="518" width="7.140625" customWidth="1"/>
    <col min="519" max="519" width="5" customWidth="1"/>
    <col min="520" max="522" width="7.140625" customWidth="1"/>
    <col min="523" max="523" width="5" customWidth="1"/>
    <col min="524" max="526" width="7.140625" customWidth="1"/>
    <col min="771" max="771" width="33.140625" bestFit="1" customWidth="1"/>
    <col min="772" max="774" width="7.140625" customWidth="1"/>
    <col min="775" max="775" width="5" customWidth="1"/>
    <col min="776" max="778" width="7.140625" customWidth="1"/>
    <col min="779" max="779" width="5" customWidth="1"/>
    <col min="780" max="782" width="7.140625" customWidth="1"/>
    <col min="1027" max="1027" width="33.140625" bestFit="1" customWidth="1"/>
    <col min="1028" max="1030" width="7.140625" customWidth="1"/>
    <col min="1031" max="1031" width="5" customWidth="1"/>
    <col min="1032" max="1034" width="7.140625" customWidth="1"/>
    <col min="1035" max="1035" width="5" customWidth="1"/>
    <col min="1036" max="1038" width="7.140625" customWidth="1"/>
    <col min="1283" max="1283" width="33.140625" bestFit="1" customWidth="1"/>
    <col min="1284" max="1286" width="7.140625" customWidth="1"/>
    <col min="1287" max="1287" width="5" customWidth="1"/>
    <col min="1288" max="1290" width="7.140625" customWidth="1"/>
    <col min="1291" max="1291" width="5" customWidth="1"/>
    <col min="1292" max="1294" width="7.140625" customWidth="1"/>
    <col min="1539" max="1539" width="33.140625" bestFit="1" customWidth="1"/>
    <col min="1540" max="1542" width="7.140625" customWidth="1"/>
    <col min="1543" max="1543" width="5" customWidth="1"/>
    <col min="1544" max="1546" width="7.140625" customWidth="1"/>
    <col min="1547" max="1547" width="5" customWidth="1"/>
    <col min="1548" max="1550" width="7.140625" customWidth="1"/>
    <col min="1795" max="1795" width="33.140625" bestFit="1" customWidth="1"/>
    <col min="1796" max="1798" width="7.140625" customWidth="1"/>
    <col min="1799" max="1799" width="5" customWidth="1"/>
    <col min="1800" max="1802" width="7.140625" customWidth="1"/>
    <col min="1803" max="1803" width="5" customWidth="1"/>
    <col min="1804" max="1806" width="7.140625" customWidth="1"/>
    <col min="2051" max="2051" width="33.140625" bestFit="1" customWidth="1"/>
    <col min="2052" max="2054" width="7.140625" customWidth="1"/>
    <col min="2055" max="2055" width="5" customWidth="1"/>
    <col min="2056" max="2058" width="7.140625" customWidth="1"/>
    <col min="2059" max="2059" width="5" customWidth="1"/>
    <col min="2060" max="2062" width="7.140625" customWidth="1"/>
    <col min="2307" max="2307" width="33.140625" bestFit="1" customWidth="1"/>
    <col min="2308" max="2310" width="7.140625" customWidth="1"/>
    <col min="2311" max="2311" width="5" customWidth="1"/>
    <col min="2312" max="2314" width="7.140625" customWidth="1"/>
    <col min="2315" max="2315" width="5" customWidth="1"/>
    <col min="2316" max="2318" width="7.140625" customWidth="1"/>
    <col min="2563" max="2563" width="33.140625" bestFit="1" customWidth="1"/>
    <col min="2564" max="2566" width="7.140625" customWidth="1"/>
    <col min="2567" max="2567" width="5" customWidth="1"/>
    <col min="2568" max="2570" width="7.140625" customWidth="1"/>
    <col min="2571" max="2571" width="5" customWidth="1"/>
    <col min="2572" max="2574" width="7.140625" customWidth="1"/>
    <col min="2819" max="2819" width="33.140625" bestFit="1" customWidth="1"/>
    <col min="2820" max="2822" width="7.140625" customWidth="1"/>
    <col min="2823" max="2823" width="5" customWidth="1"/>
    <col min="2824" max="2826" width="7.140625" customWidth="1"/>
    <col min="2827" max="2827" width="5" customWidth="1"/>
    <col min="2828" max="2830" width="7.140625" customWidth="1"/>
    <col min="3075" max="3075" width="33.140625" bestFit="1" customWidth="1"/>
    <col min="3076" max="3078" width="7.140625" customWidth="1"/>
    <col min="3079" max="3079" width="5" customWidth="1"/>
    <col min="3080" max="3082" width="7.140625" customWidth="1"/>
    <col min="3083" max="3083" width="5" customWidth="1"/>
    <col min="3084" max="3086" width="7.140625" customWidth="1"/>
    <col min="3331" max="3331" width="33.140625" bestFit="1" customWidth="1"/>
    <col min="3332" max="3334" width="7.140625" customWidth="1"/>
    <col min="3335" max="3335" width="5" customWidth="1"/>
    <col min="3336" max="3338" width="7.140625" customWidth="1"/>
    <col min="3339" max="3339" width="5" customWidth="1"/>
    <col min="3340" max="3342" width="7.140625" customWidth="1"/>
    <col min="3587" max="3587" width="33.140625" bestFit="1" customWidth="1"/>
    <col min="3588" max="3590" width="7.140625" customWidth="1"/>
    <col min="3591" max="3591" width="5" customWidth="1"/>
    <col min="3592" max="3594" width="7.140625" customWidth="1"/>
    <col min="3595" max="3595" width="5" customWidth="1"/>
    <col min="3596" max="3598" width="7.140625" customWidth="1"/>
    <col min="3843" max="3843" width="33.140625" bestFit="1" customWidth="1"/>
    <col min="3844" max="3846" width="7.140625" customWidth="1"/>
    <col min="3847" max="3847" width="5" customWidth="1"/>
    <col min="3848" max="3850" width="7.140625" customWidth="1"/>
    <col min="3851" max="3851" width="5" customWidth="1"/>
    <col min="3852" max="3854" width="7.140625" customWidth="1"/>
    <col min="4099" max="4099" width="33.140625" bestFit="1" customWidth="1"/>
    <col min="4100" max="4102" width="7.140625" customWidth="1"/>
    <col min="4103" max="4103" width="5" customWidth="1"/>
    <col min="4104" max="4106" width="7.140625" customWidth="1"/>
    <col min="4107" max="4107" width="5" customWidth="1"/>
    <col min="4108" max="4110" width="7.140625" customWidth="1"/>
    <col min="4355" max="4355" width="33.140625" bestFit="1" customWidth="1"/>
    <col min="4356" max="4358" width="7.140625" customWidth="1"/>
    <col min="4359" max="4359" width="5" customWidth="1"/>
    <col min="4360" max="4362" width="7.140625" customWidth="1"/>
    <col min="4363" max="4363" width="5" customWidth="1"/>
    <col min="4364" max="4366" width="7.140625" customWidth="1"/>
    <col min="4611" max="4611" width="33.140625" bestFit="1" customWidth="1"/>
    <col min="4612" max="4614" width="7.140625" customWidth="1"/>
    <col min="4615" max="4615" width="5" customWidth="1"/>
    <col min="4616" max="4618" width="7.140625" customWidth="1"/>
    <col min="4619" max="4619" width="5" customWidth="1"/>
    <col min="4620" max="4622" width="7.140625" customWidth="1"/>
    <col min="4867" max="4867" width="33.140625" bestFit="1" customWidth="1"/>
    <col min="4868" max="4870" width="7.140625" customWidth="1"/>
    <col min="4871" max="4871" width="5" customWidth="1"/>
    <col min="4872" max="4874" width="7.140625" customWidth="1"/>
    <col min="4875" max="4875" width="5" customWidth="1"/>
    <col min="4876" max="4878" width="7.140625" customWidth="1"/>
    <col min="5123" max="5123" width="33.140625" bestFit="1" customWidth="1"/>
    <col min="5124" max="5126" width="7.140625" customWidth="1"/>
    <col min="5127" max="5127" width="5" customWidth="1"/>
    <col min="5128" max="5130" width="7.140625" customWidth="1"/>
    <col min="5131" max="5131" width="5" customWidth="1"/>
    <col min="5132" max="5134" width="7.140625" customWidth="1"/>
    <col min="5379" max="5379" width="33.140625" bestFit="1" customWidth="1"/>
    <col min="5380" max="5382" width="7.140625" customWidth="1"/>
    <col min="5383" max="5383" width="5" customWidth="1"/>
    <col min="5384" max="5386" width="7.140625" customWidth="1"/>
    <col min="5387" max="5387" width="5" customWidth="1"/>
    <col min="5388" max="5390" width="7.140625" customWidth="1"/>
    <col min="5635" max="5635" width="33.140625" bestFit="1" customWidth="1"/>
    <col min="5636" max="5638" width="7.140625" customWidth="1"/>
    <col min="5639" max="5639" width="5" customWidth="1"/>
    <col min="5640" max="5642" width="7.140625" customWidth="1"/>
    <col min="5643" max="5643" width="5" customWidth="1"/>
    <col min="5644" max="5646" width="7.140625" customWidth="1"/>
    <col min="5891" max="5891" width="33.140625" bestFit="1" customWidth="1"/>
    <col min="5892" max="5894" width="7.140625" customWidth="1"/>
    <col min="5895" max="5895" width="5" customWidth="1"/>
    <col min="5896" max="5898" width="7.140625" customWidth="1"/>
    <col min="5899" max="5899" width="5" customWidth="1"/>
    <col min="5900" max="5902" width="7.140625" customWidth="1"/>
    <col min="6147" max="6147" width="33.140625" bestFit="1" customWidth="1"/>
    <col min="6148" max="6150" width="7.140625" customWidth="1"/>
    <col min="6151" max="6151" width="5" customWidth="1"/>
    <col min="6152" max="6154" width="7.140625" customWidth="1"/>
    <col min="6155" max="6155" width="5" customWidth="1"/>
    <col min="6156" max="6158" width="7.140625" customWidth="1"/>
    <col min="6403" max="6403" width="33.140625" bestFit="1" customWidth="1"/>
    <col min="6404" max="6406" width="7.140625" customWidth="1"/>
    <col min="6407" max="6407" width="5" customWidth="1"/>
    <col min="6408" max="6410" width="7.140625" customWidth="1"/>
    <col min="6411" max="6411" width="5" customWidth="1"/>
    <col min="6412" max="6414" width="7.140625" customWidth="1"/>
    <col min="6659" max="6659" width="33.140625" bestFit="1" customWidth="1"/>
    <col min="6660" max="6662" width="7.140625" customWidth="1"/>
    <col min="6663" max="6663" width="5" customWidth="1"/>
    <col min="6664" max="6666" width="7.140625" customWidth="1"/>
    <col min="6667" max="6667" width="5" customWidth="1"/>
    <col min="6668" max="6670" width="7.140625" customWidth="1"/>
    <col min="6915" max="6915" width="33.140625" bestFit="1" customWidth="1"/>
    <col min="6916" max="6918" width="7.140625" customWidth="1"/>
    <col min="6919" max="6919" width="5" customWidth="1"/>
    <col min="6920" max="6922" width="7.140625" customWidth="1"/>
    <col min="6923" max="6923" width="5" customWidth="1"/>
    <col min="6924" max="6926" width="7.140625" customWidth="1"/>
    <col min="7171" max="7171" width="33.140625" bestFit="1" customWidth="1"/>
    <col min="7172" max="7174" width="7.140625" customWidth="1"/>
    <col min="7175" max="7175" width="5" customWidth="1"/>
    <col min="7176" max="7178" width="7.140625" customWidth="1"/>
    <col min="7179" max="7179" width="5" customWidth="1"/>
    <col min="7180" max="7182" width="7.140625" customWidth="1"/>
    <col min="7427" max="7427" width="33.140625" bestFit="1" customWidth="1"/>
    <col min="7428" max="7430" width="7.140625" customWidth="1"/>
    <col min="7431" max="7431" width="5" customWidth="1"/>
    <col min="7432" max="7434" width="7.140625" customWidth="1"/>
    <col min="7435" max="7435" width="5" customWidth="1"/>
    <col min="7436" max="7438" width="7.140625" customWidth="1"/>
    <col min="7683" max="7683" width="33.140625" bestFit="1" customWidth="1"/>
    <col min="7684" max="7686" width="7.140625" customWidth="1"/>
    <col min="7687" max="7687" width="5" customWidth="1"/>
    <col min="7688" max="7690" width="7.140625" customWidth="1"/>
    <col min="7691" max="7691" width="5" customWidth="1"/>
    <col min="7692" max="7694" width="7.140625" customWidth="1"/>
    <col min="7939" max="7939" width="33.140625" bestFit="1" customWidth="1"/>
    <col min="7940" max="7942" width="7.140625" customWidth="1"/>
    <col min="7943" max="7943" width="5" customWidth="1"/>
    <col min="7944" max="7946" width="7.140625" customWidth="1"/>
    <col min="7947" max="7947" width="5" customWidth="1"/>
    <col min="7948" max="7950" width="7.140625" customWidth="1"/>
    <col min="8195" max="8195" width="33.140625" bestFit="1" customWidth="1"/>
    <col min="8196" max="8198" width="7.140625" customWidth="1"/>
    <col min="8199" max="8199" width="5" customWidth="1"/>
    <col min="8200" max="8202" width="7.140625" customWidth="1"/>
    <col min="8203" max="8203" width="5" customWidth="1"/>
    <col min="8204" max="8206" width="7.140625" customWidth="1"/>
    <col min="8451" max="8451" width="33.140625" bestFit="1" customWidth="1"/>
    <col min="8452" max="8454" width="7.140625" customWidth="1"/>
    <col min="8455" max="8455" width="5" customWidth="1"/>
    <col min="8456" max="8458" width="7.140625" customWidth="1"/>
    <col min="8459" max="8459" width="5" customWidth="1"/>
    <col min="8460" max="8462" width="7.140625" customWidth="1"/>
    <col min="8707" max="8707" width="33.140625" bestFit="1" customWidth="1"/>
    <col min="8708" max="8710" width="7.140625" customWidth="1"/>
    <col min="8711" max="8711" width="5" customWidth="1"/>
    <col min="8712" max="8714" width="7.140625" customWidth="1"/>
    <col min="8715" max="8715" width="5" customWidth="1"/>
    <col min="8716" max="8718" width="7.140625" customWidth="1"/>
    <col min="8963" max="8963" width="33.140625" bestFit="1" customWidth="1"/>
    <col min="8964" max="8966" width="7.140625" customWidth="1"/>
    <col min="8967" max="8967" width="5" customWidth="1"/>
    <col min="8968" max="8970" width="7.140625" customWidth="1"/>
    <col min="8971" max="8971" width="5" customWidth="1"/>
    <col min="8972" max="8974" width="7.140625" customWidth="1"/>
    <col min="9219" max="9219" width="33.140625" bestFit="1" customWidth="1"/>
    <col min="9220" max="9222" width="7.140625" customWidth="1"/>
    <col min="9223" max="9223" width="5" customWidth="1"/>
    <col min="9224" max="9226" width="7.140625" customWidth="1"/>
    <col min="9227" max="9227" width="5" customWidth="1"/>
    <col min="9228" max="9230" width="7.140625" customWidth="1"/>
    <col min="9475" max="9475" width="33.140625" bestFit="1" customWidth="1"/>
    <col min="9476" max="9478" width="7.140625" customWidth="1"/>
    <col min="9479" max="9479" width="5" customWidth="1"/>
    <col min="9480" max="9482" width="7.140625" customWidth="1"/>
    <col min="9483" max="9483" width="5" customWidth="1"/>
    <col min="9484" max="9486" width="7.140625" customWidth="1"/>
    <col min="9731" max="9731" width="33.140625" bestFit="1" customWidth="1"/>
    <col min="9732" max="9734" width="7.140625" customWidth="1"/>
    <col min="9735" max="9735" width="5" customWidth="1"/>
    <col min="9736" max="9738" width="7.140625" customWidth="1"/>
    <col min="9739" max="9739" width="5" customWidth="1"/>
    <col min="9740" max="9742" width="7.140625" customWidth="1"/>
    <col min="9987" max="9987" width="33.140625" bestFit="1" customWidth="1"/>
    <col min="9988" max="9990" width="7.140625" customWidth="1"/>
    <col min="9991" max="9991" width="5" customWidth="1"/>
    <col min="9992" max="9994" width="7.140625" customWidth="1"/>
    <col min="9995" max="9995" width="5" customWidth="1"/>
    <col min="9996" max="9998" width="7.140625" customWidth="1"/>
    <col min="10243" max="10243" width="33.140625" bestFit="1" customWidth="1"/>
    <col min="10244" max="10246" width="7.140625" customWidth="1"/>
    <col min="10247" max="10247" width="5" customWidth="1"/>
    <col min="10248" max="10250" width="7.140625" customWidth="1"/>
    <col min="10251" max="10251" width="5" customWidth="1"/>
    <col min="10252" max="10254" width="7.140625" customWidth="1"/>
    <col min="10499" max="10499" width="33.140625" bestFit="1" customWidth="1"/>
    <col min="10500" max="10502" width="7.140625" customWidth="1"/>
    <col min="10503" max="10503" width="5" customWidth="1"/>
    <col min="10504" max="10506" width="7.140625" customWidth="1"/>
    <col min="10507" max="10507" width="5" customWidth="1"/>
    <col min="10508" max="10510" width="7.140625" customWidth="1"/>
    <col min="10755" max="10755" width="33.140625" bestFit="1" customWidth="1"/>
    <col min="10756" max="10758" width="7.140625" customWidth="1"/>
    <col min="10759" max="10759" width="5" customWidth="1"/>
    <col min="10760" max="10762" width="7.140625" customWidth="1"/>
    <col min="10763" max="10763" width="5" customWidth="1"/>
    <col min="10764" max="10766" width="7.140625" customWidth="1"/>
    <col min="11011" max="11011" width="33.140625" bestFit="1" customWidth="1"/>
    <col min="11012" max="11014" width="7.140625" customWidth="1"/>
    <col min="11015" max="11015" width="5" customWidth="1"/>
    <col min="11016" max="11018" width="7.140625" customWidth="1"/>
    <col min="11019" max="11019" width="5" customWidth="1"/>
    <col min="11020" max="11022" width="7.140625" customWidth="1"/>
    <col min="11267" max="11267" width="33.140625" bestFit="1" customWidth="1"/>
    <col min="11268" max="11270" width="7.140625" customWidth="1"/>
    <col min="11271" max="11271" width="5" customWidth="1"/>
    <col min="11272" max="11274" width="7.140625" customWidth="1"/>
    <col min="11275" max="11275" width="5" customWidth="1"/>
    <col min="11276" max="11278" width="7.140625" customWidth="1"/>
    <col min="11523" max="11523" width="33.140625" bestFit="1" customWidth="1"/>
    <col min="11524" max="11526" width="7.140625" customWidth="1"/>
    <col min="11527" max="11527" width="5" customWidth="1"/>
    <col min="11528" max="11530" width="7.140625" customWidth="1"/>
    <col min="11531" max="11531" width="5" customWidth="1"/>
    <col min="11532" max="11534" width="7.140625" customWidth="1"/>
    <col min="11779" max="11779" width="33.140625" bestFit="1" customWidth="1"/>
    <col min="11780" max="11782" width="7.140625" customWidth="1"/>
    <col min="11783" max="11783" width="5" customWidth="1"/>
    <col min="11784" max="11786" width="7.140625" customWidth="1"/>
    <col min="11787" max="11787" width="5" customWidth="1"/>
    <col min="11788" max="11790" width="7.140625" customWidth="1"/>
    <col min="12035" max="12035" width="33.140625" bestFit="1" customWidth="1"/>
    <col min="12036" max="12038" width="7.140625" customWidth="1"/>
    <col min="12039" max="12039" width="5" customWidth="1"/>
    <col min="12040" max="12042" width="7.140625" customWidth="1"/>
    <col min="12043" max="12043" width="5" customWidth="1"/>
    <col min="12044" max="12046" width="7.140625" customWidth="1"/>
    <col min="12291" max="12291" width="33.140625" bestFit="1" customWidth="1"/>
    <col min="12292" max="12294" width="7.140625" customWidth="1"/>
    <col min="12295" max="12295" width="5" customWidth="1"/>
    <col min="12296" max="12298" width="7.140625" customWidth="1"/>
    <col min="12299" max="12299" width="5" customWidth="1"/>
    <col min="12300" max="12302" width="7.140625" customWidth="1"/>
    <col min="12547" max="12547" width="33.140625" bestFit="1" customWidth="1"/>
    <col min="12548" max="12550" width="7.140625" customWidth="1"/>
    <col min="12551" max="12551" width="5" customWidth="1"/>
    <col min="12552" max="12554" width="7.140625" customWidth="1"/>
    <col min="12555" max="12555" width="5" customWidth="1"/>
    <col min="12556" max="12558" width="7.140625" customWidth="1"/>
    <col min="12803" max="12803" width="33.140625" bestFit="1" customWidth="1"/>
    <col min="12804" max="12806" width="7.140625" customWidth="1"/>
    <col min="12807" max="12807" width="5" customWidth="1"/>
    <col min="12808" max="12810" width="7.140625" customWidth="1"/>
    <col min="12811" max="12811" width="5" customWidth="1"/>
    <col min="12812" max="12814" width="7.140625" customWidth="1"/>
    <col min="13059" max="13059" width="33.140625" bestFit="1" customWidth="1"/>
    <col min="13060" max="13062" width="7.140625" customWidth="1"/>
    <col min="13063" max="13063" width="5" customWidth="1"/>
    <col min="13064" max="13066" width="7.140625" customWidth="1"/>
    <col min="13067" max="13067" width="5" customWidth="1"/>
    <col min="13068" max="13070" width="7.140625" customWidth="1"/>
    <col min="13315" max="13315" width="33.140625" bestFit="1" customWidth="1"/>
    <col min="13316" max="13318" width="7.140625" customWidth="1"/>
    <col min="13319" max="13319" width="5" customWidth="1"/>
    <col min="13320" max="13322" width="7.140625" customWidth="1"/>
    <col min="13323" max="13323" width="5" customWidth="1"/>
    <col min="13324" max="13326" width="7.140625" customWidth="1"/>
    <col min="13571" max="13571" width="33.140625" bestFit="1" customWidth="1"/>
    <col min="13572" max="13574" width="7.140625" customWidth="1"/>
    <col min="13575" max="13575" width="5" customWidth="1"/>
    <col min="13576" max="13578" width="7.140625" customWidth="1"/>
    <col min="13579" max="13579" width="5" customWidth="1"/>
    <col min="13580" max="13582" width="7.140625" customWidth="1"/>
    <col min="13827" max="13827" width="33.140625" bestFit="1" customWidth="1"/>
    <col min="13828" max="13830" width="7.140625" customWidth="1"/>
    <col min="13831" max="13831" width="5" customWidth="1"/>
    <col min="13832" max="13834" width="7.140625" customWidth="1"/>
    <col min="13835" max="13835" width="5" customWidth="1"/>
    <col min="13836" max="13838" width="7.140625" customWidth="1"/>
    <col min="14083" max="14083" width="33.140625" bestFit="1" customWidth="1"/>
    <col min="14084" max="14086" width="7.140625" customWidth="1"/>
    <col min="14087" max="14087" width="5" customWidth="1"/>
    <col min="14088" max="14090" width="7.140625" customWidth="1"/>
    <col min="14091" max="14091" width="5" customWidth="1"/>
    <col min="14092" max="14094" width="7.140625" customWidth="1"/>
    <col min="14339" max="14339" width="33.140625" bestFit="1" customWidth="1"/>
    <col min="14340" max="14342" width="7.140625" customWidth="1"/>
    <col min="14343" max="14343" width="5" customWidth="1"/>
    <col min="14344" max="14346" width="7.140625" customWidth="1"/>
    <col min="14347" max="14347" width="5" customWidth="1"/>
    <col min="14348" max="14350" width="7.140625" customWidth="1"/>
    <col min="14595" max="14595" width="33.140625" bestFit="1" customWidth="1"/>
    <col min="14596" max="14598" width="7.140625" customWidth="1"/>
    <col min="14599" max="14599" width="5" customWidth="1"/>
    <col min="14600" max="14602" width="7.140625" customWidth="1"/>
    <col min="14603" max="14603" width="5" customWidth="1"/>
    <col min="14604" max="14606" width="7.140625" customWidth="1"/>
    <col min="14851" max="14851" width="33.140625" bestFit="1" customWidth="1"/>
    <col min="14852" max="14854" width="7.140625" customWidth="1"/>
    <col min="14855" max="14855" width="5" customWidth="1"/>
    <col min="14856" max="14858" width="7.140625" customWidth="1"/>
    <col min="14859" max="14859" width="5" customWidth="1"/>
    <col min="14860" max="14862" width="7.140625" customWidth="1"/>
    <col min="15107" max="15107" width="33.140625" bestFit="1" customWidth="1"/>
    <col min="15108" max="15110" width="7.140625" customWidth="1"/>
    <col min="15111" max="15111" width="5" customWidth="1"/>
    <col min="15112" max="15114" width="7.140625" customWidth="1"/>
    <col min="15115" max="15115" width="5" customWidth="1"/>
    <col min="15116" max="15118" width="7.140625" customWidth="1"/>
    <col min="15363" max="15363" width="33.140625" bestFit="1" customWidth="1"/>
    <col min="15364" max="15366" width="7.140625" customWidth="1"/>
    <col min="15367" max="15367" width="5" customWidth="1"/>
    <col min="15368" max="15370" width="7.140625" customWidth="1"/>
    <col min="15371" max="15371" width="5" customWidth="1"/>
    <col min="15372" max="15374" width="7.140625" customWidth="1"/>
    <col min="15619" max="15619" width="33.140625" bestFit="1" customWidth="1"/>
    <col min="15620" max="15622" width="7.140625" customWidth="1"/>
    <col min="15623" max="15623" width="5" customWidth="1"/>
    <col min="15624" max="15626" width="7.140625" customWidth="1"/>
    <col min="15627" max="15627" width="5" customWidth="1"/>
    <col min="15628" max="15630" width="7.140625" customWidth="1"/>
    <col min="15875" max="15875" width="33.140625" bestFit="1" customWidth="1"/>
    <col min="15876" max="15878" width="7.140625" customWidth="1"/>
    <col min="15879" max="15879" width="5" customWidth="1"/>
    <col min="15880" max="15882" width="7.140625" customWidth="1"/>
    <col min="15883" max="15883" width="5" customWidth="1"/>
    <col min="15884" max="15886" width="7.140625" customWidth="1"/>
    <col min="16131" max="16131" width="33.140625" bestFit="1" customWidth="1"/>
    <col min="16132" max="16134" width="7.140625" customWidth="1"/>
    <col min="16135" max="16135" width="5" customWidth="1"/>
    <col min="16136" max="16138" width="7.140625" customWidth="1"/>
    <col min="16139" max="16139" width="5" customWidth="1"/>
    <col min="16140" max="16142" width="7.140625" customWidth="1"/>
  </cols>
  <sheetData>
    <row r="1" spans="1:23" ht="15.75" x14ac:dyDescent="0.25">
      <c r="A1" s="19" t="str">
        <f>CONCATENATE("Industry and Occupation Table 2  Occupation composition (SOC2020) by employment status, ",B$6,"-",L$6,", ",Info!B5)</f>
        <v>Industry and Occupation Table 2  Occupation composition (SOC2020) by employment status, 2015-2035, Enterprise M3</v>
      </c>
    </row>
    <row r="2" spans="1:23" x14ac:dyDescent="0.2">
      <c r="A2" s="258" t="s">
        <v>518</v>
      </c>
    </row>
    <row r="4" spans="1:23" x14ac:dyDescent="0.2">
      <c r="O4" s="251" t="s">
        <v>36</v>
      </c>
    </row>
    <row r="5" spans="1:23" s="258" customFormat="1" x14ac:dyDescent="0.2">
      <c r="A5" s="242"/>
      <c r="B5" s="242"/>
      <c r="C5" s="242"/>
      <c r="D5" s="242"/>
      <c r="E5" s="242"/>
      <c r="F5" s="242"/>
      <c r="G5" s="242"/>
      <c r="H5" s="242"/>
      <c r="I5" s="242"/>
      <c r="J5" s="242"/>
      <c r="K5" s="242"/>
      <c r="L5" s="242"/>
      <c r="M5" s="242"/>
      <c r="N5" s="242"/>
    </row>
    <row r="6" spans="1:23" s="258" customFormat="1" x14ac:dyDescent="0.2">
      <c r="A6" s="241" t="s">
        <v>0</v>
      </c>
      <c r="B6" s="375">
        <v>2015</v>
      </c>
      <c r="C6" s="375"/>
      <c r="D6" s="375"/>
      <c r="E6" s="375"/>
      <c r="F6" s="246"/>
      <c r="G6" s="375">
        <v>2020</v>
      </c>
      <c r="H6" s="375"/>
      <c r="I6" s="375"/>
      <c r="J6" s="375"/>
      <c r="K6" s="278"/>
      <c r="L6" s="375">
        <v>2035</v>
      </c>
      <c r="M6" s="375"/>
      <c r="N6" s="375"/>
      <c r="O6" s="375"/>
      <c r="S6" s="279"/>
      <c r="T6" s="279"/>
      <c r="U6" s="279"/>
      <c r="V6" s="279"/>
      <c r="W6" s="279"/>
    </row>
    <row r="7" spans="1:23" s="258" customFormat="1" x14ac:dyDescent="0.2">
      <c r="A7" s="252"/>
      <c r="B7" s="268" t="str">
        <f>name!$J$5</f>
        <v>FT</v>
      </c>
      <c r="C7" s="268" t="str">
        <f>name!$J$6</f>
        <v>PT</v>
      </c>
      <c r="D7" s="268" t="str">
        <f>name!$J$4</f>
        <v>SE</v>
      </c>
      <c r="E7" s="268" t="s">
        <v>33</v>
      </c>
      <c r="F7" s="280"/>
      <c r="G7" s="268" t="str">
        <f>name!$J$5</f>
        <v>FT</v>
      </c>
      <c r="H7" s="268" t="str">
        <f>name!$J$6</f>
        <v>PT</v>
      </c>
      <c r="I7" s="268" t="str">
        <f>name!$J$4</f>
        <v>SE</v>
      </c>
      <c r="J7" s="268" t="s">
        <v>33</v>
      </c>
      <c r="K7" s="280"/>
      <c r="L7" s="268" t="str">
        <f>name!$J$5</f>
        <v>FT</v>
      </c>
      <c r="M7" s="268" t="str">
        <f>name!$J$6</f>
        <v>PT</v>
      </c>
      <c r="N7" s="268" t="str">
        <f>name!$J$4</f>
        <v>SE</v>
      </c>
      <c r="O7" s="268" t="s">
        <v>33</v>
      </c>
      <c r="T7" s="281"/>
      <c r="V7" s="281"/>
    </row>
    <row r="8" spans="1:23" s="236" customFormat="1" x14ac:dyDescent="0.2">
      <c r="B8" s="239"/>
      <c r="C8" s="239"/>
      <c r="D8" s="239"/>
      <c r="E8" s="239"/>
      <c r="F8" s="239"/>
      <c r="G8" s="239"/>
      <c r="H8" s="239"/>
      <c r="I8" s="239"/>
      <c r="J8" s="239"/>
      <c r="K8" s="239"/>
      <c r="L8" s="239"/>
      <c r="M8" s="239"/>
      <c r="N8" s="239"/>
      <c r="O8" s="239"/>
      <c r="T8" s="249"/>
      <c r="V8" s="249"/>
    </row>
    <row r="9" spans="1:23" s="236" customFormat="1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71.842509460942566</v>
      </c>
      <c r="C9" s="249">
        <f t="shared" ref="C9:D9" si="0">SUM(C26,C43,C60,C77,C94,C111,C128,C145,C162,C179,C196,C213,C230,C247,C264,C281,C298,C315,C332,C349,C366,C383)</f>
        <v>10.596951481091923</v>
      </c>
      <c r="D9" s="249">
        <f t="shared" si="0"/>
        <v>17.38394472524557</v>
      </c>
      <c r="E9" s="249">
        <f>SUM(B9:D9)</f>
        <v>99.823405667280056</v>
      </c>
      <c r="F9" s="238"/>
      <c r="G9" s="249">
        <f>SUM(G26,G43,G60,G77,G94,G111,G128,G145,G162,G179,G196,G213,G230,G247,G264,G281,G298,G315,G332,G349,G366,G383)</f>
        <v>76.58922264700179</v>
      </c>
      <c r="H9" s="249">
        <f t="shared" ref="H9:I9" si="1">SUM(H26,H43,H60,H77,H94,H111,H128,H145,H162,H179,H196,H213,H230,H247,H264,H281,H298,H315,H332,H349,H366,H383)</f>
        <v>15.600244018309919</v>
      </c>
      <c r="I9" s="249">
        <f t="shared" si="1"/>
        <v>17.740479117040344</v>
      </c>
      <c r="J9" s="249">
        <f>SUM(G9:I9)</f>
        <v>109.92994578235206</v>
      </c>
      <c r="K9" s="238"/>
      <c r="L9" s="249">
        <f>SUM(L26,L43,L60,L77,L94,L111,L128,L145,L162,L179,L196,L213,L230,L247,L264,L281,L298,L315,L332,L349,L366,L383)</f>
        <v>86.382849257887159</v>
      </c>
      <c r="M9" s="249">
        <f t="shared" ref="M9:N9" si="2">SUM(M26,M43,M60,M77,M94,M111,M128,M145,M162,M179,M196,M213,M230,M247,M264,M281,M298,M315,M332,M349,M366,M383)</f>
        <v>19.967539340228029</v>
      </c>
      <c r="N9" s="249">
        <f t="shared" si="2"/>
        <v>20.599060613975944</v>
      </c>
      <c r="O9" s="249">
        <f>SUM(L9:N9)</f>
        <v>126.94944921209114</v>
      </c>
      <c r="T9" s="249"/>
      <c r="V9" s="249"/>
    </row>
    <row r="10" spans="1:23" s="236" customFormat="1" x14ac:dyDescent="0.2">
      <c r="A10" s="237" t="str">
        <f>name!E$5</f>
        <v>Professional occupations</v>
      </c>
      <c r="B10" s="249">
        <f t="shared" ref="B10:D17" si="3">SUM(B27,B44,B61,B78,B95,B112,B129,B146,B163,B180,B197,B214,B231,B248,B265,B282,B299,B316,B333,B350,B367,B384)</f>
        <v>128.63343579034071</v>
      </c>
      <c r="C10" s="249">
        <f t="shared" si="3"/>
        <v>31.230184701561395</v>
      </c>
      <c r="D10" s="249">
        <f t="shared" si="3"/>
        <v>27.541100569563351</v>
      </c>
      <c r="E10" s="249">
        <f t="shared" ref="E10:E17" si="4">SUM(B10:D10)</f>
        <v>187.40472106146547</v>
      </c>
      <c r="F10" s="238"/>
      <c r="G10" s="249">
        <f t="shared" ref="G10:I10" si="5">SUM(G27,G44,G61,G78,G95,G112,G129,G146,G163,G180,G197,G214,G231,G248,G265,G282,G299,G316,G333,G350,G367,G384)</f>
        <v>145.90484229080201</v>
      </c>
      <c r="H10" s="249">
        <f t="shared" si="5"/>
        <v>38.706576722827151</v>
      </c>
      <c r="I10" s="249">
        <f t="shared" si="5"/>
        <v>25.569540651374673</v>
      </c>
      <c r="J10" s="249">
        <f t="shared" ref="J10:J17" si="6">SUM(G10:I10)</f>
        <v>210.18095966500383</v>
      </c>
      <c r="K10" s="238"/>
      <c r="L10" s="249">
        <f t="shared" ref="L10:N10" si="7">SUM(L27,L44,L61,L78,L95,L112,L129,L146,L163,L180,L197,L214,L231,L248,L265,L282,L299,L316,L333,L350,L367,L384)</f>
        <v>174.49017572654293</v>
      </c>
      <c r="M10" s="249">
        <f t="shared" si="7"/>
        <v>46.442757694463189</v>
      </c>
      <c r="N10" s="249">
        <f t="shared" si="7"/>
        <v>25.597062138458991</v>
      </c>
      <c r="O10" s="249">
        <f t="shared" ref="O10:O17" si="8">SUM(L10:N10)</f>
        <v>246.52999555946511</v>
      </c>
      <c r="T10" s="249"/>
      <c r="V10" s="249"/>
    </row>
    <row r="11" spans="1:23" s="236" customFormat="1" x14ac:dyDescent="0.2">
      <c r="A11" s="237" t="str">
        <f>name!E$6</f>
        <v>Associate professional occupations</v>
      </c>
      <c r="B11" s="249">
        <f t="shared" si="3"/>
        <v>75.212622479081361</v>
      </c>
      <c r="C11" s="249">
        <f t="shared" si="3"/>
        <v>19.844681615404891</v>
      </c>
      <c r="D11" s="249">
        <f t="shared" si="3"/>
        <v>23.00504857590035</v>
      </c>
      <c r="E11" s="249">
        <f t="shared" si="4"/>
        <v>118.0623526703866</v>
      </c>
      <c r="F11" s="238"/>
      <c r="G11" s="249">
        <f t="shared" ref="G11:I11" si="9">SUM(G28,G45,G62,G79,G96,G113,G130,G147,G164,G181,G198,G215,G232,G249,G266,G283,G300,G317,G334,G351,G368,G385)</f>
        <v>81.126842520237119</v>
      </c>
      <c r="H11" s="249">
        <f t="shared" si="9"/>
        <v>22.989356160316035</v>
      </c>
      <c r="I11" s="249">
        <f t="shared" si="9"/>
        <v>19.969471035410599</v>
      </c>
      <c r="J11" s="249">
        <f t="shared" si="6"/>
        <v>124.08566971596375</v>
      </c>
      <c r="K11" s="238"/>
      <c r="L11" s="249">
        <f t="shared" ref="L11:N11" si="10">SUM(L28,L45,L62,L79,L96,L113,L130,L147,L164,L181,L198,L215,L232,L249,L266,L283,L300,L317,L334,L351,L368,L385)</f>
        <v>85.316901484212707</v>
      </c>
      <c r="M11" s="249">
        <f t="shared" si="10"/>
        <v>23.757808263230885</v>
      </c>
      <c r="N11" s="249">
        <f t="shared" si="10"/>
        <v>21.451957355635493</v>
      </c>
      <c r="O11" s="249">
        <f t="shared" si="8"/>
        <v>130.52666710307909</v>
      </c>
      <c r="T11" s="249"/>
      <c r="V11" s="249"/>
    </row>
    <row r="12" spans="1:23" s="236" customFormat="1" x14ac:dyDescent="0.2">
      <c r="A12" s="237" t="str">
        <f>name!E$7</f>
        <v>Administrative and secretarial occupations</v>
      </c>
      <c r="B12" s="249">
        <f t="shared" si="3"/>
        <v>50.484932106912893</v>
      </c>
      <c r="C12" s="249">
        <f t="shared" si="3"/>
        <v>37.845049588444283</v>
      </c>
      <c r="D12" s="249">
        <f t="shared" si="3"/>
        <v>5.638263771545434</v>
      </c>
      <c r="E12" s="249">
        <f t="shared" si="4"/>
        <v>93.968245466902616</v>
      </c>
      <c r="F12" s="238"/>
      <c r="G12" s="249">
        <f t="shared" ref="G12:I12" si="11">SUM(G29,G46,G63,G80,G97,G114,G131,G148,G165,G182,G199,G216,G233,G250,G267,G284,G301,G318,G335,G352,G369,G386)</f>
        <v>47.727324828355975</v>
      </c>
      <c r="H12" s="249">
        <f t="shared" si="11"/>
        <v>36.047175708248687</v>
      </c>
      <c r="I12" s="249">
        <f t="shared" si="11"/>
        <v>4.6048294859114316</v>
      </c>
      <c r="J12" s="249">
        <f t="shared" si="6"/>
        <v>88.3793300225161</v>
      </c>
      <c r="K12" s="238"/>
      <c r="L12" s="249">
        <f t="shared" ref="L12:N12" si="12">SUM(L29,L46,L63,L80,L97,L114,L131,L148,L165,L182,L199,L216,L233,L250,L267,L284,L301,L318,L335,L352,L369,L386)</f>
        <v>38.897786729485865</v>
      </c>
      <c r="M12" s="249">
        <f t="shared" si="12"/>
        <v>29.400216677031658</v>
      </c>
      <c r="N12" s="249">
        <f t="shared" si="12"/>
        <v>5.0265531616837524</v>
      </c>
      <c r="O12" s="249">
        <f t="shared" si="8"/>
        <v>73.324556568201274</v>
      </c>
      <c r="T12" s="249"/>
      <c r="V12" s="249"/>
    </row>
    <row r="13" spans="1:23" s="236" customFormat="1" x14ac:dyDescent="0.2">
      <c r="A13" s="237" t="str">
        <f>name!E$8</f>
        <v>Skilled trades occupations</v>
      </c>
      <c r="B13" s="249">
        <f t="shared" si="3"/>
        <v>46.409612544033777</v>
      </c>
      <c r="C13" s="249">
        <f t="shared" si="3"/>
        <v>8.0690734427351636</v>
      </c>
      <c r="D13" s="249">
        <f t="shared" si="3"/>
        <v>26.933830796972547</v>
      </c>
      <c r="E13" s="249">
        <f t="shared" si="4"/>
        <v>81.412516783741481</v>
      </c>
      <c r="F13" s="238"/>
      <c r="G13" s="249">
        <f t="shared" ref="G13:I13" si="13">SUM(G30,G47,G64,G81,G98,G115,G132,G149,G166,G183,G200,G217,G234,G251,G268,G285,G302,G319,G336,G353,G370,G387)</f>
        <v>37.493534886909202</v>
      </c>
      <c r="H13" s="249">
        <f t="shared" si="13"/>
        <v>6.976012951307486</v>
      </c>
      <c r="I13" s="249">
        <f t="shared" si="13"/>
        <v>24.054016523848183</v>
      </c>
      <c r="J13" s="249">
        <f t="shared" si="6"/>
        <v>68.523564362064874</v>
      </c>
      <c r="K13" s="238"/>
      <c r="L13" s="249">
        <f t="shared" ref="L13:N13" si="14">SUM(L30,L47,L64,L81,L98,L115,L132,L149,L166,L183,L200,L217,L234,L251,L268,L285,L302,L319,L336,L353,L370,L387)</f>
        <v>34.410354539155428</v>
      </c>
      <c r="M13" s="249">
        <f t="shared" si="14"/>
        <v>8.7820386423657677</v>
      </c>
      <c r="N13" s="249">
        <f t="shared" si="14"/>
        <v>28.591021704399839</v>
      </c>
      <c r="O13" s="249">
        <f t="shared" si="8"/>
        <v>71.783414885921033</v>
      </c>
      <c r="T13" s="249"/>
      <c r="V13" s="249"/>
    </row>
    <row r="14" spans="1:23" s="236" customFormat="1" x14ac:dyDescent="0.2">
      <c r="A14" s="237" t="str">
        <f>name!E$9</f>
        <v>Caring, leisure and other service occupations</v>
      </c>
      <c r="B14" s="249">
        <f t="shared" si="3"/>
        <v>37.61728092278679</v>
      </c>
      <c r="C14" s="249">
        <f t="shared" si="3"/>
        <v>32.787409384854406</v>
      </c>
      <c r="D14" s="249">
        <f t="shared" si="3"/>
        <v>11.137622988716991</v>
      </c>
      <c r="E14" s="249">
        <f t="shared" si="4"/>
        <v>81.542313296358202</v>
      </c>
      <c r="F14" s="238"/>
      <c r="G14" s="249">
        <f t="shared" ref="G14:I14" si="15">SUM(G31,G48,G65,G82,G99,G116,G133,G150,G167,G184,G201,G218,G235,G252,G269,G286,G303,G320,G337,G354,G371,G388)</f>
        <v>34.96371061979842</v>
      </c>
      <c r="H14" s="249">
        <f t="shared" si="15"/>
        <v>32.733282472535301</v>
      </c>
      <c r="I14" s="249">
        <f t="shared" si="15"/>
        <v>11.231236764398126</v>
      </c>
      <c r="J14" s="249">
        <f t="shared" si="6"/>
        <v>78.928229856731832</v>
      </c>
      <c r="K14" s="238"/>
      <c r="L14" s="249">
        <f t="shared" ref="L14:N14" si="16">SUM(L31,L48,L65,L82,L99,L116,L133,L150,L167,L184,L201,L218,L235,L252,L269,L286,L303,L320,L337,L354,L371,L388)</f>
        <v>41.493498829664375</v>
      </c>
      <c r="M14" s="249">
        <f t="shared" si="16"/>
        <v>34.275460746324811</v>
      </c>
      <c r="N14" s="249">
        <f t="shared" si="16"/>
        <v>12.782002909990865</v>
      </c>
      <c r="O14" s="249">
        <f t="shared" si="8"/>
        <v>88.550962485980051</v>
      </c>
      <c r="T14" s="249"/>
      <c r="V14" s="249"/>
    </row>
    <row r="15" spans="1:23" s="236" customFormat="1" x14ac:dyDescent="0.2">
      <c r="A15" s="237" t="str">
        <f>name!E$10</f>
        <v>Sales and customer service occupations</v>
      </c>
      <c r="B15" s="249">
        <f t="shared" si="3"/>
        <v>24.281985724988228</v>
      </c>
      <c r="C15" s="249">
        <f t="shared" si="3"/>
        <v>38.44805463561562</v>
      </c>
      <c r="D15" s="249">
        <f t="shared" si="3"/>
        <v>4.9200721929788189</v>
      </c>
      <c r="E15" s="249">
        <f t="shared" si="4"/>
        <v>67.650112553582673</v>
      </c>
      <c r="F15" s="238"/>
      <c r="G15" s="249">
        <f t="shared" ref="G15:I15" si="17">SUM(G32,G49,G66,G83,G100,G117,G134,G151,G168,G185,G202,G219,G236,G253,G270,G287,G304,G321,G338,G355,G372,G389)</f>
        <v>22.160907968599091</v>
      </c>
      <c r="H15" s="249">
        <f t="shared" si="17"/>
        <v>40.852954284140743</v>
      </c>
      <c r="I15" s="249">
        <f t="shared" si="17"/>
        <v>3.1407830407677446</v>
      </c>
      <c r="J15" s="249">
        <f t="shared" si="6"/>
        <v>66.154645293507585</v>
      </c>
      <c r="K15" s="238"/>
      <c r="L15" s="249">
        <f t="shared" ref="L15:N15" si="18">SUM(L32,L49,L66,L83,L100,L117,L134,L151,L168,L185,L202,L219,L236,L253,L270,L287,L304,L321,L338,L355,L372,L389)</f>
        <v>22.696362069540449</v>
      </c>
      <c r="M15" s="249">
        <f t="shared" si="18"/>
        <v>40.747943703211959</v>
      </c>
      <c r="N15" s="249">
        <f t="shared" si="18"/>
        <v>2.8717198193421662</v>
      </c>
      <c r="O15" s="249">
        <f t="shared" si="8"/>
        <v>66.316025592094576</v>
      </c>
      <c r="T15" s="249"/>
      <c r="V15" s="249"/>
    </row>
    <row r="16" spans="1:23" s="236" customFormat="1" x14ac:dyDescent="0.2">
      <c r="A16" s="237" t="str">
        <f>name!E$11</f>
        <v>Process, plant and machine operatives</v>
      </c>
      <c r="B16" s="249">
        <f t="shared" si="3"/>
        <v>25.246743331032</v>
      </c>
      <c r="C16" s="249">
        <f t="shared" si="3"/>
        <v>5.8827521612826157</v>
      </c>
      <c r="D16" s="249">
        <f t="shared" si="3"/>
        <v>6.7341881370618912</v>
      </c>
      <c r="E16" s="249">
        <f t="shared" si="4"/>
        <v>37.86368362937651</v>
      </c>
      <c r="F16" s="238"/>
      <c r="G16" s="249">
        <f t="shared" ref="G16:I16" si="19">SUM(G33,G50,G67,G84,G101,G118,G135,G152,G169,G186,G203,G220,G237,G254,G271,G288,G305,G322,G339,G356,G373,G390)</f>
        <v>20.745646460221138</v>
      </c>
      <c r="H16" s="249">
        <f t="shared" si="19"/>
        <v>6.6718380530542705</v>
      </c>
      <c r="I16" s="249">
        <f t="shared" si="19"/>
        <v>6.2258506512604637</v>
      </c>
      <c r="J16" s="249">
        <f t="shared" si="6"/>
        <v>33.64333516453587</v>
      </c>
      <c r="K16" s="238"/>
      <c r="L16" s="249">
        <f t="shared" ref="L16:N16" si="20">SUM(L33,L50,L67,L84,L101,L118,L135,L152,L169,L186,L203,L220,L237,L254,L271,L288,L305,L322,L339,L356,L373,L390)</f>
        <v>20.982365136481636</v>
      </c>
      <c r="M16" s="249">
        <f t="shared" si="20"/>
        <v>9.2114001885989261</v>
      </c>
      <c r="N16" s="249">
        <f t="shared" si="20"/>
        <v>7.8549789319569543</v>
      </c>
      <c r="O16" s="249">
        <f t="shared" si="8"/>
        <v>38.048744257037519</v>
      </c>
      <c r="T16" s="249"/>
      <c r="V16" s="249"/>
    </row>
    <row r="17" spans="1:15" s="236" customFormat="1" x14ac:dyDescent="0.2">
      <c r="A17" s="237" t="str">
        <f>name!E$12</f>
        <v>Elementary occupations</v>
      </c>
      <c r="B17" s="249">
        <f t="shared" si="3"/>
        <v>36.191421319200046</v>
      </c>
      <c r="C17" s="249">
        <f t="shared" si="3"/>
        <v>55.724839193901019</v>
      </c>
      <c r="D17" s="249">
        <f t="shared" si="3"/>
        <v>5.3613883578053017</v>
      </c>
      <c r="E17" s="249">
        <f t="shared" si="4"/>
        <v>97.277648870906361</v>
      </c>
      <c r="F17" s="238"/>
      <c r="G17" s="249">
        <f t="shared" ref="G17:I17" si="21">SUM(G34,G51,G68,G85,G102,G119,G136,G153,G170,G187,G204,G221,G238,G255,G272,G289,G306,G323,G340,G357,G374,G391)</f>
        <v>29.156659269570007</v>
      </c>
      <c r="H17" s="249">
        <f t="shared" si="21"/>
        <v>51.397035437552816</v>
      </c>
      <c r="I17" s="249">
        <f t="shared" si="21"/>
        <v>4.2606254302011051</v>
      </c>
      <c r="J17" s="249">
        <f t="shared" si="6"/>
        <v>84.814320137323918</v>
      </c>
      <c r="K17" s="238"/>
      <c r="L17" s="249">
        <f t="shared" ref="L17:N17" si="22">SUM(L34,L51,L68,L85,L102,L119,L136,L153,L170,L187,L204,L221,L238,L255,L272,L289,L306,L323,L340,L357,L374,L391)</f>
        <v>28.219364467104832</v>
      </c>
      <c r="M17" s="249">
        <f t="shared" si="22"/>
        <v>49.570934076256194</v>
      </c>
      <c r="N17" s="249">
        <f t="shared" si="22"/>
        <v>5.6578857927693775</v>
      </c>
      <c r="O17" s="249">
        <f t="shared" si="8"/>
        <v>83.448184336130396</v>
      </c>
    </row>
    <row r="18" spans="1:15" s="236" customFormat="1" x14ac:dyDescent="0.2">
      <c r="A18" s="237"/>
      <c r="B18" s="249"/>
      <c r="C18" s="249"/>
      <c r="D18" s="249"/>
      <c r="E18" s="249"/>
      <c r="F18" s="238"/>
      <c r="G18" s="249"/>
      <c r="H18" s="249"/>
      <c r="I18" s="249"/>
      <c r="J18" s="249"/>
      <c r="K18" s="238"/>
      <c r="L18" s="249"/>
      <c r="M18" s="249"/>
      <c r="N18" s="249"/>
      <c r="O18" s="249"/>
    </row>
    <row r="19" spans="1:15" s="236" customFormat="1" x14ac:dyDescent="0.2">
      <c r="A19" s="244" t="s">
        <v>33</v>
      </c>
      <c r="B19" s="247">
        <f>SUM(B9:B17)</f>
        <v>495.92054367931837</v>
      </c>
      <c r="C19" s="247">
        <f t="shared" ref="C19:O19" si="23">SUM(C9:C17)</f>
        <v>240.42899620489129</v>
      </c>
      <c r="D19" s="247">
        <f t="shared" si="23"/>
        <v>128.65546011579025</v>
      </c>
      <c r="E19" s="247">
        <f t="shared" si="23"/>
        <v>865.00499999999988</v>
      </c>
      <c r="F19" s="247"/>
      <c r="G19" s="247">
        <f t="shared" si="23"/>
        <v>495.8686914914947</v>
      </c>
      <c r="H19" s="247">
        <f t="shared" si="23"/>
        <v>251.97447580829242</v>
      </c>
      <c r="I19" s="247">
        <f t="shared" si="23"/>
        <v>116.79683270021266</v>
      </c>
      <c r="J19" s="247">
        <f t="shared" si="23"/>
        <v>864.63999999999976</v>
      </c>
      <c r="K19" s="247"/>
      <c r="L19" s="247">
        <f t="shared" si="23"/>
        <v>532.88965824007539</v>
      </c>
      <c r="M19" s="247">
        <f t="shared" si="23"/>
        <v>262.1560993317114</v>
      </c>
      <c r="N19" s="247">
        <f t="shared" si="23"/>
        <v>130.43224242821336</v>
      </c>
      <c r="O19" s="247">
        <f t="shared" si="23"/>
        <v>925.47800000000029</v>
      </c>
    </row>
    <row r="20" spans="1:15" s="236" customFormat="1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8"/>
      <c r="M20" s="238"/>
      <c r="N20" s="239"/>
    </row>
    <row r="21" spans="1:15" s="236" customFormat="1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37"/>
      <c r="M21" s="237"/>
      <c r="N21" s="240"/>
      <c r="O21" s="251" t="s">
        <v>36</v>
      </c>
    </row>
    <row r="22" spans="1:15" s="236" customFormat="1" x14ac:dyDescent="0.2">
      <c r="A22" s="242"/>
      <c r="B22" s="242"/>
      <c r="C22" s="242"/>
      <c r="D22" s="242"/>
      <c r="E22" s="242"/>
      <c r="F22" s="242"/>
      <c r="G22" s="242"/>
      <c r="H22" s="242"/>
      <c r="I22" s="242"/>
      <c r="J22" s="242"/>
      <c r="K22" s="242"/>
      <c r="L22" s="242"/>
      <c r="M22" s="242"/>
      <c r="N22" s="242"/>
      <c r="O22" s="242"/>
    </row>
    <row r="23" spans="1:15" s="236" customFormat="1" x14ac:dyDescent="0.2">
      <c r="A23" s="241" t="str">
        <f>name!B4</f>
        <v>Agriculture</v>
      </c>
      <c r="B23" s="377">
        <f>$B$6</f>
        <v>2015</v>
      </c>
      <c r="C23" s="377"/>
      <c r="D23" s="377"/>
      <c r="E23" s="377"/>
      <c r="F23" s="263"/>
      <c r="G23" s="377">
        <f>$G$6</f>
        <v>2020</v>
      </c>
      <c r="H23" s="377"/>
      <c r="I23" s="377"/>
      <c r="J23" s="377"/>
      <c r="K23" s="263"/>
      <c r="L23" s="377">
        <f>$L$6</f>
        <v>2035</v>
      </c>
      <c r="M23" s="377"/>
      <c r="N23" s="377"/>
      <c r="O23" s="377"/>
    </row>
    <row r="24" spans="1:15" s="236" customFormat="1" x14ac:dyDescent="0.2">
      <c r="A24" s="254"/>
      <c r="B24" s="268" t="str">
        <f>$B$7</f>
        <v>FT</v>
      </c>
      <c r="C24" s="268" t="str">
        <f>$C$7</f>
        <v>PT</v>
      </c>
      <c r="D24" s="268" t="str">
        <f>$D$7</f>
        <v>SE</v>
      </c>
      <c r="E24" s="268" t="str">
        <f>$E$7</f>
        <v>Total</v>
      </c>
      <c r="F24" s="268"/>
      <c r="G24" s="268" t="str">
        <f>$G$7</f>
        <v>FT</v>
      </c>
      <c r="H24" s="268" t="str">
        <f>$H$7</f>
        <v>PT</v>
      </c>
      <c r="I24" s="268" t="str">
        <f>$I$7</f>
        <v>SE</v>
      </c>
      <c r="J24" s="268" t="str">
        <f>$J$7</f>
        <v>Total</v>
      </c>
      <c r="K24" s="268"/>
      <c r="L24" s="268" t="str">
        <f>$L$7</f>
        <v>FT</v>
      </c>
      <c r="M24" s="268" t="str">
        <f>$M$7</f>
        <v>PT</v>
      </c>
      <c r="N24" s="268" t="str">
        <f>$N$7</f>
        <v>SE</v>
      </c>
      <c r="O24" s="268" t="str">
        <f>$O$7</f>
        <v>Total</v>
      </c>
    </row>
    <row r="25" spans="1:15" s="236" customFormat="1" x14ac:dyDescent="0.2">
      <c r="A25" s="258"/>
      <c r="B25" s="239"/>
      <c r="C25" s="239"/>
      <c r="D25" s="239"/>
      <c r="E25" s="239"/>
      <c r="F25" s="239"/>
      <c r="G25" s="239"/>
      <c r="H25" s="239"/>
      <c r="I25" s="239"/>
      <c r="J25" s="239"/>
      <c r="K25" s="239"/>
      <c r="L25" s="239"/>
      <c r="M25" s="239"/>
      <c r="N25" s="239"/>
      <c r="O25" s="239"/>
    </row>
    <row r="26" spans="1:15" s="236" customFormat="1" x14ac:dyDescent="0.2">
      <c r="A26" s="237" t="str">
        <f>name!E$4</f>
        <v>Managers, directors and senior officials</v>
      </c>
      <c r="B26" s="302">
        <v>0.35979494340442941</v>
      </c>
      <c r="C26" s="302">
        <v>5.9611020530457262E-2</v>
      </c>
      <c r="D26" s="302">
        <v>6.1472404089549244E-2</v>
      </c>
      <c r="E26" s="302">
        <f>SUM(B26:D26)</f>
        <v>0.4808783680244359</v>
      </c>
      <c r="F26" s="303"/>
      <c r="G26" s="302">
        <v>0.42193243508826356</v>
      </c>
      <c r="H26" s="302">
        <v>5.2926587393151918E-2</v>
      </c>
      <c r="I26" s="302">
        <v>4.9628161087921216E-2</v>
      </c>
      <c r="J26" s="302">
        <f>SUM(G26:I26)</f>
        <v>0.52448718356933666</v>
      </c>
      <c r="K26" s="303"/>
      <c r="L26" s="302">
        <v>0.5871500956393837</v>
      </c>
      <c r="M26" s="302">
        <v>5.1033187782653443E-2</v>
      </c>
      <c r="N26" s="302">
        <v>6.032227422098814E-2</v>
      </c>
      <c r="O26" s="302">
        <f>SUM(L26:N26)</f>
        <v>0.69850555764302524</v>
      </c>
    </row>
    <row r="27" spans="1:15" s="236" customFormat="1" x14ac:dyDescent="0.2">
      <c r="A27" s="237" t="str">
        <f>name!E$5</f>
        <v>Professional occupations</v>
      </c>
      <c r="B27" s="302">
        <v>0.37484539850670268</v>
      </c>
      <c r="C27" s="302">
        <v>6.2631352473238214E-2</v>
      </c>
      <c r="D27" s="302">
        <v>4.9097648053692565E-2</v>
      </c>
      <c r="E27" s="302">
        <f t="shared" ref="E27:E34" si="24">SUM(B27:D27)</f>
        <v>0.48657439903363342</v>
      </c>
      <c r="F27" s="303"/>
      <c r="G27" s="302">
        <v>0.51768631891929284</v>
      </c>
      <c r="H27" s="302">
        <v>4.4866766775485553E-2</v>
      </c>
      <c r="I27" s="302">
        <v>6.704144131959891E-2</v>
      </c>
      <c r="J27" s="302">
        <f t="shared" ref="J27:J34" si="25">SUM(G27:I27)</f>
        <v>0.62959452701437724</v>
      </c>
      <c r="K27" s="303"/>
      <c r="L27" s="302">
        <v>0.77680016018858233</v>
      </c>
      <c r="M27" s="302">
        <v>5.6959974057690092E-2</v>
      </c>
      <c r="N27" s="302">
        <v>9.9051224797524012E-2</v>
      </c>
      <c r="O27" s="302">
        <f t="shared" ref="O27:O34" si="26">SUM(L27:N27)</f>
        <v>0.93281135904379642</v>
      </c>
    </row>
    <row r="28" spans="1:15" s="236" customFormat="1" x14ac:dyDescent="0.2">
      <c r="A28" s="237" t="str">
        <f>name!E$6</f>
        <v>Associate professional occupations</v>
      </c>
      <c r="B28" s="302">
        <v>0.27883834075859454</v>
      </c>
      <c r="C28" s="302">
        <v>5.4534634722502424E-2</v>
      </c>
      <c r="D28" s="302">
        <v>1.9146961382899275E-2</v>
      </c>
      <c r="E28" s="302">
        <f t="shared" si="24"/>
        <v>0.35251993686399624</v>
      </c>
      <c r="F28" s="303"/>
      <c r="G28" s="302">
        <v>0.34063667677050624</v>
      </c>
      <c r="H28" s="302">
        <v>3.6268548874780766E-2</v>
      </c>
      <c r="I28" s="302">
        <v>2.0308780709085261E-2</v>
      </c>
      <c r="J28" s="302">
        <f t="shared" si="25"/>
        <v>0.39721400635437226</v>
      </c>
      <c r="K28" s="303"/>
      <c r="L28" s="302">
        <v>0.39400855837196797</v>
      </c>
      <c r="M28" s="302">
        <v>3.9352118816608918E-2</v>
      </c>
      <c r="N28" s="302">
        <v>3.2526378348044414E-2</v>
      </c>
      <c r="O28" s="302">
        <f t="shared" si="26"/>
        <v>0.4658870555366213</v>
      </c>
    </row>
    <row r="29" spans="1:15" s="236" customFormat="1" x14ac:dyDescent="0.2">
      <c r="A29" s="237" t="str">
        <f>name!E$7</f>
        <v>Administrative and secretarial occupations</v>
      </c>
      <c r="B29" s="302">
        <v>0.29612479539509662</v>
      </c>
      <c r="C29" s="302">
        <v>0.18923608799212377</v>
      </c>
      <c r="D29" s="302">
        <v>1.7870293014486227E-2</v>
      </c>
      <c r="E29" s="302">
        <f t="shared" si="24"/>
        <v>0.50323117640170656</v>
      </c>
      <c r="F29" s="303"/>
      <c r="G29" s="302">
        <v>0.29123378242205661</v>
      </c>
      <c r="H29" s="302">
        <v>0.18504791389190711</v>
      </c>
      <c r="I29" s="302">
        <v>1.0022284490786834E-2</v>
      </c>
      <c r="J29" s="302">
        <f t="shared" si="25"/>
        <v>0.48630398080475057</v>
      </c>
      <c r="K29" s="303"/>
      <c r="L29" s="302">
        <v>0.18574483851661888</v>
      </c>
      <c r="M29" s="302">
        <v>0.1348226899530057</v>
      </c>
      <c r="N29" s="302">
        <v>1.0710043433076901E-2</v>
      </c>
      <c r="O29" s="302">
        <f t="shared" si="26"/>
        <v>0.33127757190270146</v>
      </c>
    </row>
    <row r="30" spans="1:15" s="236" customFormat="1" x14ac:dyDescent="0.2">
      <c r="A30" s="237" t="str">
        <f>name!E$8</f>
        <v>Skilled trades occupations</v>
      </c>
      <c r="B30" s="302">
        <v>1.5076805301789349</v>
      </c>
      <c r="C30" s="302">
        <v>0.19051575804813259</v>
      </c>
      <c r="D30" s="302">
        <v>1.4417041552882568</v>
      </c>
      <c r="E30" s="302">
        <f t="shared" si="24"/>
        <v>3.1399004435153239</v>
      </c>
      <c r="F30" s="303"/>
      <c r="G30" s="302">
        <v>1.3392836740373104</v>
      </c>
      <c r="H30" s="302">
        <v>0.10499228224463153</v>
      </c>
      <c r="I30" s="302">
        <v>1.0468777658144723</v>
      </c>
      <c r="J30" s="302">
        <f>SUM(G30:I30)</f>
        <v>2.4911537220964144</v>
      </c>
      <c r="K30" s="303"/>
      <c r="L30" s="302">
        <v>1.5050936731647915</v>
      </c>
      <c r="M30" s="302">
        <v>0.1427228852350681</v>
      </c>
      <c r="N30" s="302">
        <v>0.96691483811082846</v>
      </c>
      <c r="O30" s="302">
        <f t="shared" si="26"/>
        <v>2.6147313965106882</v>
      </c>
    </row>
    <row r="31" spans="1:15" s="236" customFormat="1" x14ac:dyDescent="0.2">
      <c r="A31" s="237" t="str">
        <f>name!E$9</f>
        <v>Caring, leisure and other service occupations</v>
      </c>
      <c r="B31" s="302">
        <v>0.21477286727835665</v>
      </c>
      <c r="C31" s="302">
        <v>4.9874231849989799E-2</v>
      </c>
      <c r="D31" s="302">
        <v>1.1705734618195015E-2</v>
      </c>
      <c r="E31" s="302">
        <f t="shared" si="24"/>
        <v>0.27635283374654146</v>
      </c>
      <c r="F31" s="303"/>
      <c r="G31" s="302">
        <v>0.20566863506077346</v>
      </c>
      <c r="H31" s="302">
        <v>4.7200149195011816E-2</v>
      </c>
      <c r="I31" s="302">
        <v>7.6840843233988206E-3</v>
      </c>
      <c r="J31" s="302">
        <f t="shared" si="25"/>
        <v>0.26055286857918414</v>
      </c>
      <c r="K31" s="303"/>
      <c r="L31" s="302">
        <v>0.21964344175691661</v>
      </c>
      <c r="M31" s="302">
        <v>3.0751260570190623E-2</v>
      </c>
      <c r="N31" s="302">
        <v>7.9438217101173419E-3</v>
      </c>
      <c r="O31" s="302">
        <f t="shared" si="26"/>
        <v>0.25833852403722457</v>
      </c>
    </row>
    <row r="32" spans="1:15" s="236" customFormat="1" x14ac:dyDescent="0.2">
      <c r="A32" s="237" t="str">
        <f>name!E$10</f>
        <v>Sales and customer service occupations</v>
      </c>
      <c r="B32" s="302">
        <v>0.11463143918213949</v>
      </c>
      <c r="C32" s="302">
        <v>5.9858020476288534E-2</v>
      </c>
      <c r="D32" s="302">
        <v>1.8121768164716025E-2</v>
      </c>
      <c r="E32" s="302">
        <f t="shared" si="24"/>
        <v>0.19261122782314405</v>
      </c>
      <c r="F32" s="303"/>
      <c r="G32" s="302">
        <v>0.10778301672814969</v>
      </c>
      <c r="H32" s="302">
        <v>4.1527952486302235E-2</v>
      </c>
      <c r="I32" s="302">
        <v>1.0145133599570276E-2</v>
      </c>
      <c r="J32" s="302">
        <f t="shared" si="25"/>
        <v>0.1594561028140222</v>
      </c>
      <c r="K32" s="303"/>
      <c r="L32" s="302">
        <v>0.11994007725850009</v>
      </c>
      <c r="M32" s="302">
        <v>3.2476977927522174E-2</v>
      </c>
      <c r="N32" s="302">
        <v>8.1867787615241758E-3</v>
      </c>
      <c r="O32" s="302">
        <f t="shared" si="26"/>
        <v>0.16060383394754646</v>
      </c>
    </row>
    <row r="33" spans="1:15" s="236" customFormat="1" x14ac:dyDescent="0.2">
      <c r="A33" s="237" t="str">
        <f>name!E$11</f>
        <v>Process, plant and machine operatives</v>
      </c>
      <c r="B33" s="302">
        <v>0.31163866103661497</v>
      </c>
      <c r="C33" s="302">
        <v>2.6232640271574553E-2</v>
      </c>
      <c r="D33" s="302">
        <v>3.9059628294030803E-3</v>
      </c>
      <c r="E33" s="302">
        <f t="shared" si="24"/>
        <v>0.34177726413759263</v>
      </c>
      <c r="F33" s="303"/>
      <c r="G33" s="302">
        <v>0.24531537592796412</v>
      </c>
      <c r="H33" s="302">
        <v>1.1666803996999172E-2</v>
      </c>
      <c r="I33" s="302">
        <v>3.4841803219414695E-3</v>
      </c>
      <c r="J33" s="302">
        <f t="shared" si="25"/>
        <v>0.26046636024690478</v>
      </c>
      <c r="K33" s="303"/>
      <c r="L33" s="302">
        <v>0.24497108258728262</v>
      </c>
      <c r="M33" s="302">
        <v>2.4609465554678404E-2</v>
      </c>
      <c r="N33" s="302">
        <v>6.5101807834740269E-3</v>
      </c>
      <c r="O33" s="302">
        <f t="shared" si="26"/>
        <v>0.27609072892543507</v>
      </c>
    </row>
    <row r="34" spans="1:15" s="236" customFormat="1" x14ac:dyDescent="0.2">
      <c r="A34" s="237" t="str">
        <f>name!E$12</f>
        <v>Elementary occupations</v>
      </c>
      <c r="B34" s="302">
        <v>0.79434497859765274</v>
      </c>
      <c r="C34" s="302">
        <v>0.12909854473818388</v>
      </c>
      <c r="D34" s="302">
        <v>5.5710827117781289E-2</v>
      </c>
      <c r="E34" s="302">
        <f t="shared" si="24"/>
        <v>0.97915435045361798</v>
      </c>
      <c r="F34" s="303"/>
      <c r="G34" s="302">
        <v>0.5717075267258106</v>
      </c>
      <c r="H34" s="302">
        <v>9.9812297239861264E-2</v>
      </c>
      <c r="I34" s="302">
        <v>2.2251424554982413E-2</v>
      </c>
      <c r="J34" s="302">
        <f t="shared" si="25"/>
        <v>0.6937712485206543</v>
      </c>
      <c r="K34" s="303"/>
      <c r="L34" s="302">
        <v>0.46281773686634026</v>
      </c>
      <c r="M34" s="302">
        <v>6.7349251007633879E-2</v>
      </c>
      <c r="N34" s="302">
        <v>1.5586984578981352E-2</v>
      </c>
      <c r="O34" s="302">
        <f t="shared" si="26"/>
        <v>0.54575397245295543</v>
      </c>
    </row>
    <row r="35" spans="1:15" s="236" customFormat="1" x14ac:dyDescent="0.2">
      <c r="A35" s="237"/>
      <c r="B35" s="302"/>
      <c r="C35" s="302"/>
      <c r="D35" s="302"/>
      <c r="E35" s="302"/>
      <c r="F35" s="303"/>
      <c r="G35" s="302"/>
      <c r="H35" s="302"/>
      <c r="I35" s="302"/>
      <c r="J35" s="302"/>
      <c r="K35" s="303"/>
      <c r="L35" s="302"/>
      <c r="M35" s="302"/>
      <c r="N35" s="302"/>
      <c r="O35" s="302"/>
    </row>
    <row r="36" spans="1:15" s="236" customFormat="1" x14ac:dyDescent="0.2">
      <c r="A36" s="244" t="s">
        <v>33</v>
      </c>
      <c r="B36" s="311">
        <f>SUM(B26:B34)</f>
        <v>4.2526719543385223</v>
      </c>
      <c r="C36" s="311">
        <f t="shared" ref="C36:O36" si="27">SUM(C26:C34)</f>
        <v>0.8215922911024911</v>
      </c>
      <c r="D36" s="311">
        <f t="shared" si="27"/>
        <v>1.6787357545589796</v>
      </c>
      <c r="E36" s="311">
        <f t="shared" si="27"/>
        <v>6.7529999999999912</v>
      </c>
      <c r="F36" s="311"/>
      <c r="G36" s="311">
        <f t="shared" si="27"/>
        <v>4.0412474416801274</v>
      </c>
      <c r="H36" s="311">
        <f t="shared" si="27"/>
        <v>0.6243093020981314</v>
      </c>
      <c r="I36" s="311">
        <f t="shared" si="27"/>
        <v>1.2374432562217574</v>
      </c>
      <c r="J36" s="311">
        <f t="shared" si="27"/>
        <v>5.9030000000000165</v>
      </c>
      <c r="K36" s="311"/>
      <c r="L36" s="311">
        <f t="shared" si="27"/>
        <v>4.4961696643503837</v>
      </c>
      <c r="M36" s="311">
        <f t="shared" si="27"/>
        <v>0.58007781090505128</v>
      </c>
      <c r="N36" s="311">
        <f t="shared" si="27"/>
        <v>1.2077525247445589</v>
      </c>
      <c r="O36" s="311">
        <f t="shared" si="27"/>
        <v>6.2839999999999936</v>
      </c>
    </row>
    <row r="37" spans="1:15" s="236" customFormat="1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37"/>
      <c r="M37" s="237"/>
      <c r="N37" s="240"/>
    </row>
    <row r="38" spans="1:15" s="236" customFormat="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37"/>
      <c r="M38" s="237"/>
      <c r="N38" s="240"/>
      <c r="O38" s="251" t="s">
        <v>36</v>
      </c>
    </row>
    <row r="39" spans="1:15" s="236" customFormat="1" x14ac:dyDescent="0.2">
      <c r="A39" s="242"/>
      <c r="B39" s="242"/>
      <c r="C39" s="242"/>
      <c r="D39" s="242"/>
      <c r="E39" s="242"/>
      <c r="F39" s="242"/>
      <c r="G39" s="242"/>
      <c r="H39" s="242"/>
      <c r="I39" s="242"/>
      <c r="J39" s="242"/>
      <c r="K39" s="242"/>
      <c r="L39" s="242"/>
      <c r="M39" s="242"/>
      <c r="N39" s="242"/>
      <c r="O39" s="242"/>
    </row>
    <row r="40" spans="1:15" s="236" customFormat="1" x14ac:dyDescent="0.2">
      <c r="A40" s="241" t="str">
        <f>name!B5</f>
        <v>Mining and quarrying</v>
      </c>
      <c r="B40" s="377">
        <f>$B$6</f>
        <v>2015</v>
      </c>
      <c r="C40" s="377"/>
      <c r="D40" s="377"/>
      <c r="E40" s="377"/>
      <c r="F40" s="263"/>
      <c r="G40" s="377">
        <f>$G$6</f>
        <v>2020</v>
      </c>
      <c r="H40" s="377"/>
      <c r="I40" s="377"/>
      <c r="J40" s="377"/>
      <c r="K40" s="263"/>
      <c r="L40" s="377">
        <f>$L$6</f>
        <v>2035</v>
      </c>
      <c r="M40" s="377"/>
      <c r="N40" s="377"/>
      <c r="O40" s="377"/>
    </row>
    <row r="41" spans="1:15" s="236" customFormat="1" x14ac:dyDescent="0.2">
      <c r="A41" s="254"/>
      <c r="B41" s="268" t="str">
        <f>$B$7</f>
        <v>FT</v>
      </c>
      <c r="C41" s="268" t="str">
        <f>$C$7</f>
        <v>PT</v>
      </c>
      <c r="D41" s="268" t="str">
        <f>$D$7</f>
        <v>SE</v>
      </c>
      <c r="E41" s="268" t="str">
        <f>$E$7</f>
        <v>Total</v>
      </c>
      <c r="F41" s="268"/>
      <c r="G41" s="268" t="str">
        <f>$G$7</f>
        <v>FT</v>
      </c>
      <c r="H41" s="268" t="str">
        <f>$H$7</f>
        <v>PT</v>
      </c>
      <c r="I41" s="268" t="str">
        <f>$I$7</f>
        <v>SE</v>
      </c>
      <c r="J41" s="268" t="str">
        <f>$J$7</f>
        <v>Total</v>
      </c>
      <c r="K41" s="268"/>
      <c r="L41" s="268" t="str">
        <f>$L$7</f>
        <v>FT</v>
      </c>
      <c r="M41" s="268" t="str">
        <f>$M$7</f>
        <v>PT</v>
      </c>
      <c r="N41" s="268" t="str">
        <f>$N$7</f>
        <v>SE</v>
      </c>
      <c r="O41" s="268" t="str">
        <f>$O$7</f>
        <v>Total</v>
      </c>
    </row>
    <row r="42" spans="1:15" s="236" customFormat="1" x14ac:dyDescent="0.2">
      <c r="A42" s="258"/>
      <c r="B42" s="239"/>
      <c r="C42" s="239"/>
      <c r="D42" s="239"/>
      <c r="E42" s="239"/>
      <c r="F42" s="239"/>
      <c r="G42" s="239"/>
      <c r="H42" s="239"/>
      <c r="I42" s="239"/>
      <c r="J42" s="239"/>
      <c r="K42" s="239"/>
      <c r="L42" s="239"/>
      <c r="M42" s="239"/>
      <c r="N42" s="239"/>
      <c r="O42" s="239"/>
    </row>
    <row r="43" spans="1:15" s="236" customFormat="1" x14ac:dyDescent="0.2">
      <c r="A43" s="237" t="str">
        <f>name!E$4</f>
        <v>Managers, directors and senior officials</v>
      </c>
      <c r="B43" s="302">
        <v>3.695491079160268E-2</v>
      </c>
      <c r="C43" s="302">
        <v>1.3351363181581476E-3</v>
      </c>
      <c r="D43" s="302">
        <v>1.4031374006511912E-2</v>
      </c>
      <c r="E43" s="302">
        <f>SUM(B43:D43)</f>
        <v>5.2321421116272734E-2</v>
      </c>
      <c r="F43" s="303"/>
      <c r="G43" s="302">
        <v>6.4582858896887529E-2</v>
      </c>
      <c r="H43" s="302">
        <v>3.874127673391568E-4</v>
      </c>
      <c r="I43" s="302">
        <v>5.2302985847291053E-2</v>
      </c>
      <c r="J43" s="302">
        <f>SUM(G43:I43)</f>
        <v>0.11727325751151774</v>
      </c>
      <c r="K43" s="303"/>
      <c r="L43" s="302">
        <v>5.6945156335555955E-2</v>
      </c>
      <c r="M43" s="302">
        <v>3.7958896097795703E-4</v>
      </c>
      <c r="N43" s="302">
        <v>4.638877598640951E-2</v>
      </c>
      <c r="O43" s="302">
        <f>SUM(L43:N43)</f>
        <v>0.10371352128294342</v>
      </c>
    </row>
    <row r="44" spans="1:15" s="236" customFormat="1" x14ac:dyDescent="0.2">
      <c r="A44" s="237" t="str">
        <f>name!E$5</f>
        <v>Professional occupations</v>
      </c>
      <c r="B44" s="302">
        <v>2.3169030739077494E-2</v>
      </c>
      <c r="C44" s="302">
        <v>2.827957818582463E-3</v>
      </c>
      <c r="D44" s="302">
        <v>6.7110623806500543E-3</v>
      </c>
      <c r="E44" s="302">
        <f t="shared" ref="E44:E51" si="28">SUM(B44:D44)</f>
        <v>3.2708050938310015E-2</v>
      </c>
      <c r="F44" s="303"/>
      <c r="G44" s="302">
        <v>4.6243040215737538E-2</v>
      </c>
      <c r="H44" s="302">
        <v>1.2463622801042009E-3</v>
      </c>
      <c r="I44" s="302">
        <v>1.8997874415293676E-2</v>
      </c>
      <c r="J44" s="302">
        <f t="shared" ref="J44:J46" si="29">SUM(G44:I44)</f>
        <v>6.6487276911135415E-2</v>
      </c>
      <c r="K44" s="303"/>
      <c r="L44" s="302">
        <v>3.9327438869460489E-2</v>
      </c>
      <c r="M44" s="302">
        <v>9.2684703463092818E-4</v>
      </c>
      <c r="N44" s="302">
        <v>4.6945839000974918E-3</v>
      </c>
      <c r="O44" s="302">
        <f t="shared" ref="O44:O51" si="30">SUM(L44:N44)</f>
        <v>4.4948869804188912E-2</v>
      </c>
    </row>
    <row r="45" spans="1:15" s="236" customFormat="1" x14ac:dyDescent="0.2">
      <c r="A45" s="237" t="str">
        <f>name!E$6</f>
        <v>Associate professional occupations</v>
      </c>
      <c r="B45" s="302">
        <v>1.8746242360792389E-2</v>
      </c>
      <c r="C45" s="302">
        <v>1.7069380219417391E-3</v>
      </c>
      <c r="D45" s="302">
        <v>3.2180271214624226E-3</v>
      </c>
      <c r="E45" s="302">
        <f t="shared" si="28"/>
        <v>2.3671207504196549E-2</v>
      </c>
      <c r="F45" s="303"/>
      <c r="G45" s="302">
        <v>3.4618618710065385E-2</v>
      </c>
      <c r="H45" s="302">
        <v>7.9981129889716482E-4</v>
      </c>
      <c r="I45" s="302">
        <v>8.5971292150576178E-3</v>
      </c>
      <c r="J45" s="302">
        <f t="shared" si="29"/>
        <v>4.4015559224020166E-2</v>
      </c>
      <c r="K45" s="303"/>
      <c r="L45" s="302">
        <v>2.7209820253975645E-2</v>
      </c>
      <c r="M45" s="302">
        <v>7.0916977847724615E-4</v>
      </c>
      <c r="N45" s="302">
        <v>2.7289824641965285E-3</v>
      </c>
      <c r="O45" s="302">
        <f t="shared" si="30"/>
        <v>3.0647972496649422E-2</v>
      </c>
    </row>
    <row r="46" spans="1:15" s="236" customFormat="1" x14ac:dyDescent="0.2">
      <c r="A46" s="237" t="str">
        <f>name!E$7</f>
        <v>Administrative and secretarial occupations</v>
      </c>
      <c r="B46" s="302">
        <v>1.926736477118815E-2</v>
      </c>
      <c r="C46" s="302">
        <v>2.3799601835518243E-3</v>
      </c>
      <c r="D46" s="302">
        <v>1.9507925129751715E-3</v>
      </c>
      <c r="E46" s="302">
        <f t="shared" si="28"/>
        <v>2.3598117467715146E-2</v>
      </c>
      <c r="F46" s="303"/>
      <c r="G46" s="302">
        <v>3.3761733059356168E-2</v>
      </c>
      <c r="H46" s="302">
        <v>1.6349192597568867E-3</v>
      </c>
      <c r="I46" s="302">
        <v>4.9215620756220086E-3</v>
      </c>
      <c r="J46" s="302">
        <f t="shared" si="29"/>
        <v>4.0318214394735062E-2</v>
      </c>
      <c r="K46" s="303"/>
      <c r="L46" s="302">
        <v>2.4952971803563737E-2</v>
      </c>
      <c r="M46" s="302">
        <v>8.69262383703507E-4</v>
      </c>
      <c r="N46" s="302">
        <v>5.5875123698389661E-3</v>
      </c>
      <c r="O46" s="302">
        <f t="shared" si="30"/>
        <v>3.1409746557106211E-2</v>
      </c>
    </row>
    <row r="47" spans="1:15" s="236" customFormat="1" x14ac:dyDescent="0.2">
      <c r="A47" s="237" t="str">
        <f>name!E$8</f>
        <v>Skilled trades occupations</v>
      </c>
      <c r="B47" s="302">
        <v>3.7495363930398068E-2</v>
      </c>
      <c r="C47" s="302">
        <v>2.7422077653693061E-3</v>
      </c>
      <c r="D47" s="302">
        <v>1.348231661133972E-2</v>
      </c>
      <c r="E47" s="302">
        <f t="shared" si="28"/>
        <v>5.3719888307107097E-2</v>
      </c>
      <c r="F47" s="303"/>
      <c r="G47" s="302">
        <v>4.7826904601390344E-2</v>
      </c>
      <c r="H47" s="302">
        <v>7.6017564872179783E-4</v>
      </c>
      <c r="I47" s="302">
        <v>2.7905652095385373E-2</v>
      </c>
      <c r="J47" s="302">
        <f>SUM(G47:I47)</f>
        <v>7.6492732345497513E-2</v>
      </c>
      <c r="K47" s="303"/>
      <c r="L47" s="302">
        <v>3.0596483154989557E-2</v>
      </c>
      <c r="M47" s="302">
        <v>7.5706145206177501E-4</v>
      </c>
      <c r="N47" s="302">
        <v>9.3426145356783827E-3</v>
      </c>
      <c r="O47" s="302">
        <f t="shared" si="30"/>
        <v>4.0696159142729713E-2</v>
      </c>
    </row>
    <row r="48" spans="1:15" s="236" customFormat="1" x14ac:dyDescent="0.2">
      <c r="A48" s="237" t="str">
        <f>name!E$9</f>
        <v>Caring, leisure and other service occupations</v>
      </c>
      <c r="B48" s="302">
        <v>1.4106567651722183E-3</v>
      </c>
      <c r="C48" s="302">
        <v>3.4684865885878124E-3</v>
      </c>
      <c r="D48" s="302">
        <v>4.4449455152106566E-4</v>
      </c>
      <c r="E48" s="302">
        <f t="shared" si="28"/>
        <v>5.3236379052810966E-3</v>
      </c>
      <c r="F48" s="303"/>
      <c r="G48" s="302">
        <v>2.4140292814804139E-3</v>
      </c>
      <c r="H48" s="302">
        <v>2.7840021085417574E-3</v>
      </c>
      <c r="I48" s="302">
        <v>1.2982264527150284E-3</v>
      </c>
      <c r="J48" s="302">
        <f t="shared" ref="J48:J51" si="31">SUM(G48:I48)</f>
        <v>6.4962578427371995E-3</v>
      </c>
      <c r="K48" s="303"/>
      <c r="L48" s="302">
        <v>2.3227601524447188E-3</v>
      </c>
      <c r="M48" s="302">
        <v>3.3007292085945757E-3</v>
      </c>
      <c r="N48" s="302">
        <v>1.674997486119781E-3</v>
      </c>
      <c r="O48" s="302">
        <f t="shared" si="30"/>
        <v>7.2984868471590754E-3</v>
      </c>
    </row>
    <row r="49" spans="1:15" s="236" customFormat="1" x14ac:dyDescent="0.2">
      <c r="A49" s="237" t="str">
        <f>name!E$10</f>
        <v>Sales and customer service occupations</v>
      </c>
      <c r="B49" s="302">
        <v>5.8754527698661515E-3</v>
      </c>
      <c r="C49" s="302">
        <v>3.7689187390174393E-3</v>
      </c>
      <c r="D49" s="302">
        <v>8.0357702248995291E-4</v>
      </c>
      <c r="E49" s="302">
        <f t="shared" si="28"/>
        <v>1.0447948531373543E-2</v>
      </c>
      <c r="F49" s="303"/>
      <c r="G49" s="302">
        <v>9.3972194361495939E-3</v>
      </c>
      <c r="H49" s="302">
        <v>1.6104735290308416E-3</v>
      </c>
      <c r="I49" s="302">
        <v>2.2202797368837623E-3</v>
      </c>
      <c r="J49" s="302">
        <f t="shared" si="31"/>
        <v>1.3227972702064198E-2</v>
      </c>
      <c r="K49" s="303"/>
      <c r="L49" s="302">
        <v>8.8995859101920656E-3</v>
      </c>
      <c r="M49" s="302">
        <v>1.1403603863874886E-3</v>
      </c>
      <c r="N49" s="302">
        <v>1.9607493006863117E-3</v>
      </c>
      <c r="O49" s="302">
        <f t="shared" si="30"/>
        <v>1.2000695597265866E-2</v>
      </c>
    </row>
    <row r="50" spans="1:15" s="236" customFormat="1" x14ac:dyDescent="0.2">
      <c r="A50" s="237" t="str">
        <f>name!E$11</f>
        <v>Process, plant and machine operatives</v>
      </c>
      <c r="B50" s="302">
        <v>3.5596034966333012E-2</v>
      </c>
      <c r="C50" s="302">
        <v>5.0129322839811306E-3</v>
      </c>
      <c r="D50" s="302">
        <v>9.3854988153433128E-3</v>
      </c>
      <c r="E50" s="302">
        <f t="shared" si="28"/>
        <v>4.9994466065657453E-2</v>
      </c>
      <c r="F50" s="303"/>
      <c r="G50" s="302">
        <v>4.8506090517465995E-2</v>
      </c>
      <c r="H50" s="302">
        <v>6.5893000045264655E-4</v>
      </c>
      <c r="I50" s="302">
        <v>3.2144165162040279E-2</v>
      </c>
      <c r="J50" s="302">
        <f t="shared" si="31"/>
        <v>8.1309185679958929E-2</v>
      </c>
      <c r="K50" s="303"/>
      <c r="L50" s="302">
        <v>4.2458184034027811E-2</v>
      </c>
      <c r="M50" s="302">
        <v>9.1874576467932377E-4</v>
      </c>
      <c r="N50" s="302">
        <v>3.8121253788524642E-2</v>
      </c>
      <c r="O50" s="302">
        <f t="shared" si="30"/>
        <v>8.1498183587231779E-2</v>
      </c>
    </row>
    <row r="51" spans="1:15" s="236" customFormat="1" x14ac:dyDescent="0.2">
      <c r="A51" s="237" t="str">
        <f>name!E$12</f>
        <v>Elementary occupations</v>
      </c>
      <c r="B51" s="302">
        <v>3.9215503084546466E-3</v>
      </c>
      <c r="C51" s="302">
        <v>4.2762614648531854E-3</v>
      </c>
      <c r="D51" s="302">
        <v>3.0174503907781096E-3</v>
      </c>
      <c r="E51" s="302">
        <f t="shared" si="28"/>
        <v>1.1215262164085941E-2</v>
      </c>
      <c r="F51" s="303"/>
      <c r="G51" s="302">
        <v>5.2247528061404582E-3</v>
      </c>
      <c r="H51" s="302">
        <v>2.2895302689590951E-3</v>
      </c>
      <c r="I51" s="302">
        <v>7.8652603132340695E-3</v>
      </c>
      <c r="J51" s="302">
        <f t="shared" si="31"/>
        <v>1.5379543388333623E-2</v>
      </c>
      <c r="K51" s="303"/>
      <c r="L51" s="302">
        <v>3.4361143377559565E-3</v>
      </c>
      <c r="M51" s="302">
        <v>1.567541961200244E-3</v>
      </c>
      <c r="N51" s="302">
        <v>8.7827083857693611E-3</v>
      </c>
      <c r="O51" s="302">
        <f t="shared" si="30"/>
        <v>1.3786364684725562E-2</v>
      </c>
    </row>
    <row r="52" spans="1:15" s="236" customFormat="1" x14ac:dyDescent="0.2">
      <c r="A52" s="237"/>
      <c r="B52" s="302"/>
      <c r="C52" s="302"/>
      <c r="D52" s="302"/>
      <c r="E52" s="302"/>
      <c r="F52" s="303"/>
      <c r="G52" s="302"/>
      <c r="H52" s="302"/>
      <c r="I52" s="302"/>
      <c r="J52" s="302"/>
      <c r="K52" s="303"/>
      <c r="L52" s="302"/>
      <c r="M52" s="302"/>
      <c r="N52" s="302"/>
      <c r="O52" s="302"/>
    </row>
    <row r="53" spans="1:15" s="236" customFormat="1" x14ac:dyDescent="0.2">
      <c r="A53" s="244" t="s">
        <v>33</v>
      </c>
      <c r="B53" s="311">
        <f>SUM(B43:B51)</f>
        <v>0.18243660740288478</v>
      </c>
      <c r="C53" s="311">
        <f t="shared" ref="C53:E53" si="32">SUM(C43:C51)</f>
        <v>2.7518799184043048E-2</v>
      </c>
      <c r="D53" s="311">
        <f t="shared" si="32"/>
        <v>5.3044593413071724E-2</v>
      </c>
      <c r="E53" s="311">
        <f t="shared" si="32"/>
        <v>0.26299999999999957</v>
      </c>
      <c r="F53" s="311"/>
      <c r="G53" s="311">
        <f t="shared" ref="G53:J53" si="33">SUM(G43:G51)</f>
        <v>0.29257524752467345</v>
      </c>
      <c r="H53" s="311">
        <f t="shared" si="33"/>
        <v>1.2171617161803549E-2</v>
      </c>
      <c r="I53" s="311">
        <f t="shared" si="33"/>
        <v>0.15625313531352286</v>
      </c>
      <c r="J53" s="311">
        <f t="shared" si="33"/>
        <v>0.46099999999999991</v>
      </c>
      <c r="K53" s="311"/>
      <c r="L53" s="311">
        <f t="shared" ref="L53:O53" si="34">SUM(L43:L51)</f>
        <v>0.23614851485196595</v>
      </c>
      <c r="M53" s="311">
        <f t="shared" si="34"/>
        <v>1.0569306930713045E-2</v>
      </c>
      <c r="N53" s="311">
        <f t="shared" si="34"/>
        <v>0.11928217821732097</v>
      </c>
      <c r="O53" s="311">
        <f t="shared" si="34"/>
        <v>0.36599999999999988</v>
      </c>
    </row>
    <row r="54" spans="1:15" s="236" customFormat="1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37"/>
      <c r="M54" s="237"/>
      <c r="N54" s="240"/>
    </row>
    <row r="55" spans="1:15" s="236" customFormat="1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37"/>
      <c r="M55" s="237"/>
      <c r="N55" s="240"/>
      <c r="O55" s="251" t="s">
        <v>36</v>
      </c>
    </row>
    <row r="56" spans="1:15" s="236" customFormat="1" x14ac:dyDescent="0.2">
      <c r="A56" s="242"/>
      <c r="B56" s="242"/>
      <c r="C56" s="242"/>
      <c r="D56" s="242"/>
      <c r="E56" s="242"/>
      <c r="F56" s="242"/>
      <c r="G56" s="242"/>
      <c r="H56" s="242"/>
      <c r="I56" s="242"/>
      <c r="J56" s="242"/>
      <c r="K56" s="242"/>
      <c r="L56" s="242"/>
      <c r="M56" s="242"/>
      <c r="N56" s="242"/>
      <c r="O56" s="242"/>
    </row>
    <row r="57" spans="1:15" s="236" customFormat="1" x14ac:dyDescent="0.2">
      <c r="A57" s="241" t="str">
        <f>name!B6</f>
        <v>Food drink and tobacco</v>
      </c>
      <c r="B57" s="377">
        <f>$B$6</f>
        <v>2015</v>
      </c>
      <c r="C57" s="377"/>
      <c r="D57" s="377"/>
      <c r="E57" s="377"/>
      <c r="F57" s="263"/>
      <c r="G57" s="377">
        <f>$G$6</f>
        <v>2020</v>
      </c>
      <c r="H57" s="377"/>
      <c r="I57" s="377"/>
      <c r="J57" s="377"/>
      <c r="K57" s="263"/>
      <c r="L57" s="377">
        <f>$L$6</f>
        <v>2035</v>
      </c>
      <c r="M57" s="377"/>
      <c r="N57" s="377"/>
      <c r="O57" s="377"/>
    </row>
    <row r="58" spans="1:15" s="236" customFormat="1" x14ac:dyDescent="0.2">
      <c r="A58" s="254"/>
      <c r="B58" s="268" t="str">
        <f>$B$7</f>
        <v>FT</v>
      </c>
      <c r="C58" s="268" t="str">
        <f>$C$7</f>
        <v>PT</v>
      </c>
      <c r="D58" s="268" t="str">
        <f>$D$7</f>
        <v>SE</v>
      </c>
      <c r="E58" s="268" t="str">
        <f>$E$7</f>
        <v>Total</v>
      </c>
      <c r="F58" s="268"/>
      <c r="G58" s="268" t="str">
        <f>$G$7</f>
        <v>FT</v>
      </c>
      <c r="H58" s="268" t="str">
        <f>$H$7</f>
        <v>PT</v>
      </c>
      <c r="I58" s="268" t="str">
        <f>$I$7</f>
        <v>SE</v>
      </c>
      <c r="J58" s="268" t="str">
        <f>$J$7</f>
        <v>Total</v>
      </c>
      <c r="K58" s="268"/>
      <c r="L58" s="268" t="str">
        <f>$L$7</f>
        <v>FT</v>
      </c>
      <c r="M58" s="268" t="str">
        <f>$M$7</f>
        <v>PT</v>
      </c>
      <c r="N58" s="268" t="str">
        <f>$N$7</f>
        <v>SE</v>
      </c>
      <c r="O58" s="268" t="str">
        <f>$O$7</f>
        <v>Total</v>
      </c>
    </row>
    <row r="59" spans="1:15" s="236" customFormat="1" x14ac:dyDescent="0.2">
      <c r="A59" s="258"/>
      <c r="B59" s="239"/>
      <c r="C59" s="239"/>
      <c r="D59" s="239"/>
      <c r="E59" s="239"/>
      <c r="F59" s="239"/>
      <c r="G59" s="239"/>
      <c r="H59" s="239"/>
      <c r="I59" s="239"/>
      <c r="J59" s="239"/>
      <c r="K59" s="239"/>
      <c r="L59" s="239"/>
      <c r="M59" s="239"/>
      <c r="N59" s="239"/>
      <c r="O59" s="239"/>
    </row>
    <row r="60" spans="1:15" s="236" customFormat="1" x14ac:dyDescent="0.2">
      <c r="A60" s="237" t="str">
        <f>name!E$4</f>
        <v>Managers, directors and senior officials</v>
      </c>
      <c r="B60" s="302">
        <v>0.35651954596577146</v>
      </c>
      <c r="C60" s="302">
        <v>2.7898081776005005E-2</v>
      </c>
      <c r="D60" s="302">
        <v>5.2795826680405104E-2</v>
      </c>
      <c r="E60" s="302">
        <f>SUM(B60:D60)</f>
        <v>0.43721345442218157</v>
      </c>
      <c r="F60" s="303"/>
      <c r="G60" s="302">
        <v>0.48864716977536543</v>
      </c>
      <c r="H60" s="302">
        <v>7.2507457749234602E-2</v>
      </c>
      <c r="I60" s="302">
        <v>4.9346027743183585E-2</v>
      </c>
      <c r="J60" s="302">
        <f>SUM(G60:I60)</f>
        <v>0.61050065526778363</v>
      </c>
      <c r="K60" s="303"/>
      <c r="L60" s="302">
        <v>0.61628535519542882</v>
      </c>
      <c r="M60" s="302">
        <v>9.8424866174490824E-2</v>
      </c>
      <c r="N60" s="302">
        <v>6.6832233456249002E-2</v>
      </c>
      <c r="O60" s="302">
        <f>SUM(L60:N60)</f>
        <v>0.78154245482616869</v>
      </c>
    </row>
    <row r="61" spans="1:15" s="236" customFormat="1" x14ac:dyDescent="0.2">
      <c r="A61" s="237" t="str">
        <f>name!E$5</f>
        <v>Professional occupations</v>
      </c>
      <c r="B61" s="302">
        <v>0.30822415621311849</v>
      </c>
      <c r="C61" s="302">
        <v>1.451759626343932E-2</v>
      </c>
      <c r="D61" s="302">
        <v>2.2031964064811782E-2</v>
      </c>
      <c r="E61" s="302">
        <f t="shared" ref="E61:E68" si="35">SUM(B61:D61)</f>
        <v>0.34477371654136957</v>
      </c>
      <c r="F61" s="303"/>
      <c r="G61" s="302">
        <v>0.48652853069649876</v>
      </c>
      <c r="H61" s="302">
        <v>3.9781940340880569E-2</v>
      </c>
      <c r="I61" s="302">
        <v>2.2011636661406493E-2</v>
      </c>
      <c r="J61" s="302">
        <f t="shared" ref="J61:J63" si="36">SUM(G61:I61)</f>
        <v>0.54832210769878587</v>
      </c>
      <c r="K61" s="303"/>
      <c r="L61" s="302">
        <v>0.74494121048077178</v>
      </c>
      <c r="M61" s="302">
        <v>4.4533110948842727E-2</v>
      </c>
      <c r="N61" s="302">
        <v>1.8103409835988699E-2</v>
      </c>
      <c r="O61" s="302">
        <f t="shared" ref="O61:O68" si="37">SUM(L61:N61)</f>
        <v>0.80757773126560317</v>
      </c>
    </row>
    <row r="62" spans="1:15" s="236" customFormat="1" x14ac:dyDescent="0.2">
      <c r="A62" s="237" t="str">
        <f>name!E$6</f>
        <v>Associate professional occupations</v>
      </c>
      <c r="B62" s="302">
        <v>0.40594960722516793</v>
      </c>
      <c r="C62" s="302">
        <v>3.1584618251113923E-2</v>
      </c>
      <c r="D62" s="302">
        <v>1.7533544755571746E-2</v>
      </c>
      <c r="E62" s="302">
        <f t="shared" si="35"/>
        <v>0.45506777023185357</v>
      </c>
      <c r="F62" s="303"/>
      <c r="G62" s="302">
        <v>0.56980454094060351</v>
      </c>
      <c r="H62" s="302">
        <v>7.2121531099989811E-2</v>
      </c>
      <c r="I62" s="302">
        <v>1.3572394079637898E-2</v>
      </c>
      <c r="J62" s="302">
        <f t="shared" si="36"/>
        <v>0.65549846612023122</v>
      </c>
      <c r="K62" s="303"/>
      <c r="L62" s="302">
        <v>0.72890872667835038</v>
      </c>
      <c r="M62" s="302">
        <v>7.13313035960879E-2</v>
      </c>
      <c r="N62" s="302">
        <v>1.0418502553069314E-2</v>
      </c>
      <c r="O62" s="302">
        <f t="shared" si="37"/>
        <v>0.81065853282750755</v>
      </c>
    </row>
    <row r="63" spans="1:15" s="236" customFormat="1" x14ac:dyDescent="0.2">
      <c r="A63" s="237" t="str">
        <f>name!E$7</f>
        <v>Administrative and secretarial occupations</v>
      </c>
      <c r="B63" s="302">
        <v>0.2943994065312332</v>
      </c>
      <c r="C63" s="302">
        <v>7.352237168879168E-2</v>
      </c>
      <c r="D63" s="302">
        <v>1.258507321552484E-2</v>
      </c>
      <c r="E63" s="302">
        <f t="shared" si="35"/>
        <v>0.38050685143554969</v>
      </c>
      <c r="F63" s="303"/>
      <c r="G63" s="302">
        <v>0.34609853043873096</v>
      </c>
      <c r="H63" s="302">
        <v>0.13280881612857362</v>
      </c>
      <c r="I63" s="302">
        <v>9.1252996971127025E-3</v>
      </c>
      <c r="J63" s="302">
        <f t="shared" si="36"/>
        <v>0.48803264626441728</v>
      </c>
      <c r="K63" s="303"/>
      <c r="L63" s="302">
        <v>0.37981870538507329</v>
      </c>
      <c r="M63" s="302">
        <v>0.12574637064397379</v>
      </c>
      <c r="N63" s="302">
        <v>6.8168224397924387E-3</v>
      </c>
      <c r="O63" s="302">
        <f t="shared" si="37"/>
        <v>0.51238189846883953</v>
      </c>
    </row>
    <row r="64" spans="1:15" s="236" customFormat="1" x14ac:dyDescent="0.2">
      <c r="A64" s="237" t="str">
        <f>name!E$8</f>
        <v>Skilled trades occupations</v>
      </c>
      <c r="B64" s="302">
        <v>0.39079580882000697</v>
      </c>
      <c r="C64" s="302">
        <v>2.3403933604081446E-2</v>
      </c>
      <c r="D64" s="302">
        <v>9.8389375297053189E-2</v>
      </c>
      <c r="E64" s="302">
        <f t="shared" si="35"/>
        <v>0.51258911772114157</v>
      </c>
      <c r="F64" s="303"/>
      <c r="G64" s="302">
        <v>0.37090829679892018</v>
      </c>
      <c r="H64" s="302">
        <v>2.8994863729259818E-2</v>
      </c>
      <c r="I64" s="302">
        <v>6.8559818190280605E-2</v>
      </c>
      <c r="J64" s="302">
        <f>SUM(G64:I64)</f>
        <v>0.4684629787184606</v>
      </c>
      <c r="K64" s="303"/>
      <c r="L64" s="302">
        <v>0.3954512751701556</v>
      </c>
      <c r="M64" s="302">
        <v>2.3613842558164764E-2</v>
      </c>
      <c r="N64" s="302">
        <v>7.2681601630402048E-2</v>
      </c>
      <c r="O64" s="302">
        <f t="shared" si="37"/>
        <v>0.49174671935872244</v>
      </c>
    </row>
    <row r="65" spans="1:15" s="236" customFormat="1" x14ac:dyDescent="0.2">
      <c r="A65" s="237" t="str">
        <f>name!E$9</f>
        <v>Caring, leisure and other service occupations</v>
      </c>
      <c r="B65" s="302">
        <v>3.0725441381384833E-2</v>
      </c>
      <c r="C65" s="302">
        <v>8.450871817563356E-3</v>
      </c>
      <c r="D65" s="302">
        <v>7.1506225293617338E-3</v>
      </c>
      <c r="E65" s="302">
        <f t="shared" si="35"/>
        <v>4.6326935728309926E-2</v>
      </c>
      <c r="F65" s="303"/>
      <c r="G65" s="302">
        <v>4.1118479591456654E-2</v>
      </c>
      <c r="H65" s="302">
        <v>1.7118763706447417E-2</v>
      </c>
      <c r="I65" s="302">
        <v>7.7069143619492436E-3</v>
      </c>
      <c r="J65" s="302">
        <f t="shared" ref="J65:J68" si="38">SUM(G65:I65)</f>
        <v>6.5944157659853314E-2</v>
      </c>
      <c r="K65" s="303"/>
      <c r="L65" s="302">
        <v>5.5614641461177429E-2</v>
      </c>
      <c r="M65" s="302">
        <v>1.7734004828362855E-2</v>
      </c>
      <c r="N65" s="302">
        <v>1.150441905116549E-2</v>
      </c>
      <c r="O65" s="302">
        <f t="shared" si="37"/>
        <v>8.4853065340705774E-2</v>
      </c>
    </row>
    <row r="66" spans="1:15" s="236" customFormat="1" x14ac:dyDescent="0.2">
      <c r="A66" s="237" t="str">
        <f>name!E$10</f>
        <v>Sales and customer service occupations</v>
      </c>
      <c r="B66" s="302">
        <v>0.11100579068205065</v>
      </c>
      <c r="C66" s="302">
        <v>8.997601915516594E-2</v>
      </c>
      <c r="D66" s="302">
        <v>1.685415132645331E-2</v>
      </c>
      <c r="E66" s="302">
        <f t="shared" si="35"/>
        <v>0.21783596116366991</v>
      </c>
      <c r="F66" s="303"/>
      <c r="G66" s="302">
        <v>0.12980032420650323</v>
      </c>
      <c r="H66" s="302">
        <v>0.14879265434673136</v>
      </c>
      <c r="I66" s="302">
        <v>1.5771387775235981E-2</v>
      </c>
      <c r="J66" s="302">
        <f t="shared" si="38"/>
        <v>0.29436436632847057</v>
      </c>
      <c r="K66" s="303"/>
      <c r="L66" s="302">
        <v>0.16635205646988072</v>
      </c>
      <c r="M66" s="302">
        <v>0.18839520481838942</v>
      </c>
      <c r="N66" s="302">
        <v>2.382642966885563E-2</v>
      </c>
      <c r="O66" s="302">
        <f t="shared" si="37"/>
        <v>0.37857369095712579</v>
      </c>
    </row>
    <row r="67" spans="1:15" s="236" customFormat="1" x14ac:dyDescent="0.2">
      <c r="A67" s="237" t="str">
        <f>name!E$11</f>
        <v>Process, plant and machine operatives</v>
      </c>
      <c r="B67" s="302">
        <v>0.64090360473010388</v>
      </c>
      <c r="C67" s="302">
        <v>5.1897661285338625E-2</v>
      </c>
      <c r="D67" s="302">
        <v>3.8041773590704805E-2</v>
      </c>
      <c r="E67" s="302">
        <f t="shared" si="35"/>
        <v>0.73084303960614738</v>
      </c>
      <c r="F67" s="303"/>
      <c r="G67" s="302">
        <v>0.63729692125569537</v>
      </c>
      <c r="H67" s="302">
        <v>7.5367557183848854E-2</v>
      </c>
      <c r="I67" s="302">
        <v>3.2139056744855808E-2</v>
      </c>
      <c r="J67" s="302">
        <f t="shared" si="38"/>
        <v>0.74480353518440001</v>
      </c>
      <c r="K67" s="303"/>
      <c r="L67" s="302">
        <v>0.75604964529014473</v>
      </c>
      <c r="M67" s="302">
        <v>0.15208277346406882</v>
      </c>
      <c r="N67" s="302">
        <v>6.455262788217983E-2</v>
      </c>
      <c r="O67" s="302">
        <f t="shared" si="37"/>
        <v>0.97268504663639344</v>
      </c>
    </row>
    <row r="68" spans="1:15" s="236" customFormat="1" x14ac:dyDescent="0.2">
      <c r="A68" s="237" t="str">
        <f>name!E$12</f>
        <v>Elementary occupations</v>
      </c>
      <c r="B68" s="302">
        <v>0.37546646224058416</v>
      </c>
      <c r="C68" s="302">
        <v>0.12020119223464761</v>
      </c>
      <c r="D68" s="302">
        <v>2.6175498674543073E-2</v>
      </c>
      <c r="E68" s="302">
        <f t="shared" si="35"/>
        <v>0.52184315314977481</v>
      </c>
      <c r="F68" s="303"/>
      <c r="G68" s="302">
        <v>0.35784528019726658</v>
      </c>
      <c r="H68" s="302">
        <v>0.18172019587270846</v>
      </c>
      <c r="I68" s="302">
        <v>1.1505610687633332E-2</v>
      </c>
      <c r="J68" s="302">
        <f t="shared" si="38"/>
        <v>0.55107108675760841</v>
      </c>
      <c r="K68" s="303"/>
      <c r="L68" s="302">
        <v>0.3387994876007977</v>
      </c>
      <c r="M68" s="302">
        <v>0.19923613216257072</v>
      </c>
      <c r="N68" s="302">
        <v>1.8945240555571927E-2</v>
      </c>
      <c r="O68" s="302">
        <f t="shared" si="37"/>
        <v>0.55698086031894034</v>
      </c>
    </row>
    <row r="69" spans="1:15" s="236" customFormat="1" x14ac:dyDescent="0.2">
      <c r="A69" s="237"/>
      <c r="B69" s="302"/>
      <c r="C69" s="302"/>
      <c r="D69" s="302"/>
      <c r="E69" s="302"/>
      <c r="F69" s="303"/>
      <c r="G69" s="302"/>
      <c r="H69" s="302"/>
      <c r="I69" s="302"/>
      <c r="J69" s="302"/>
      <c r="K69" s="303"/>
      <c r="L69" s="302"/>
      <c r="M69" s="302"/>
      <c r="N69" s="302"/>
      <c r="O69" s="302"/>
    </row>
    <row r="70" spans="1:15" s="236" customFormat="1" x14ac:dyDescent="0.2">
      <c r="A70" s="244" t="s">
        <v>33</v>
      </c>
      <c r="B70" s="311">
        <f>SUM(B60:B68)</f>
        <v>2.913989823789422</v>
      </c>
      <c r="C70" s="311">
        <f t="shared" ref="C70:E70" si="39">SUM(C60:C68)</f>
        <v>0.44145234607614686</v>
      </c>
      <c r="D70" s="311">
        <f t="shared" si="39"/>
        <v>0.2915578301344296</v>
      </c>
      <c r="E70" s="311">
        <f t="shared" si="39"/>
        <v>3.646999999999998</v>
      </c>
      <c r="F70" s="311"/>
      <c r="G70" s="311">
        <f t="shared" ref="G70:J70" si="40">SUM(G60:G68)</f>
        <v>3.4280480739010408</v>
      </c>
      <c r="H70" s="311">
        <f t="shared" si="40"/>
        <v>0.7692137801576745</v>
      </c>
      <c r="I70" s="311">
        <f t="shared" si="40"/>
        <v>0.22973814594129566</v>
      </c>
      <c r="J70" s="311">
        <f t="shared" si="40"/>
        <v>4.4270000000000103</v>
      </c>
      <c r="K70" s="311"/>
      <c r="L70" s="311">
        <f t="shared" ref="L70:O70" si="41">SUM(L60:L68)</f>
        <v>4.1822211037317798</v>
      </c>
      <c r="M70" s="311">
        <f t="shared" si="41"/>
        <v>0.92109760919495187</v>
      </c>
      <c r="N70" s="311">
        <f t="shared" si="41"/>
        <v>0.2936812870732744</v>
      </c>
      <c r="O70" s="311">
        <f t="shared" si="41"/>
        <v>5.3970000000000056</v>
      </c>
    </row>
    <row r="71" spans="1:15" s="236" customFormat="1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37"/>
      <c r="M71" s="237"/>
      <c r="N71" s="240"/>
    </row>
    <row r="72" spans="1:15" s="236" customFormat="1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37"/>
      <c r="M72" s="237"/>
      <c r="N72" s="240"/>
      <c r="O72" s="251" t="s">
        <v>36</v>
      </c>
    </row>
    <row r="73" spans="1:15" s="236" customFormat="1" x14ac:dyDescent="0.2">
      <c r="A73" s="242"/>
      <c r="B73" s="242"/>
      <c r="C73" s="242"/>
      <c r="D73" s="242"/>
      <c r="E73" s="242"/>
      <c r="F73" s="242"/>
      <c r="G73" s="242"/>
      <c r="H73" s="242"/>
      <c r="I73" s="242"/>
      <c r="J73" s="242"/>
      <c r="K73" s="242"/>
      <c r="L73" s="242"/>
      <c r="M73" s="242"/>
      <c r="N73" s="242"/>
      <c r="O73" s="242"/>
    </row>
    <row r="74" spans="1:15" s="236" customFormat="1" x14ac:dyDescent="0.2">
      <c r="A74" s="241" t="str">
        <f>name!B7</f>
        <v>Engineering</v>
      </c>
      <c r="B74" s="377">
        <f>$B$6</f>
        <v>2015</v>
      </c>
      <c r="C74" s="377"/>
      <c r="D74" s="377"/>
      <c r="E74" s="377"/>
      <c r="F74" s="263"/>
      <c r="G74" s="377">
        <f>$G$6</f>
        <v>2020</v>
      </c>
      <c r="H74" s="377"/>
      <c r="I74" s="377"/>
      <c r="J74" s="377"/>
      <c r="K74" s="263"/>
      <c r="L74" s="377">
        <f>$L$6</f>
        <v>2035</v>
      </c>
      <c r="M74" s="377"/>
      <c r="N74" s="377"/>
      <c r="O74" s="377"/>
    </row>
    <row r="75" spans="1:15" s="236" customFormat="1" x14ac:dyDescent="0.2">
      <c r="A75" s="254"/>
      <c r="B75" s="268" t="str">
        <f>$B$7</f>
        <v>FT</v>
      </c>
      <c r="C75" s="268" t="str">
        <f>$C$7</f>
        <v>PT</v>
      </c>
      <c r="D75" s="268" t="str">
        <f>$D$7</f>
        <v>SE</v>
      </c>
      <c r="E75" s="268" t="str">
        <f>$E$7</f>
        <v>Total</v>
      </c>
      <c r="F75" s="268"/>
      <c r="G75" s="268" t="str">
        <f>$G$7</f>
        <v>FT</v>
      </c>
      <c r="H75" s="268" t="str">
        <f>$H$7</f>
        <v>PT</v>
      </c>
      <c r="I75" s="268" t="str">
        <f>$I$7</f>
        <v>SE</v>
      </c>
      <c r="J75" s="268" t="str">
        <f>$J$7</f>
        <v>Total</v>
      </c>
      <c r="K75" s="268"/>
      <c r="L75" s="268" t="str">
        <f>$L$7</f>
        <v>FT</v>
      </c>
      <c r="M75" s="268" t="str">
        <f>$M$7</f>
        <v>PT</v>
      </c>
      <c r="N75" s="268" t="str">
        <f>$N$7</f>
        <v>SE</v>
      </c>
      <c r="O75" s="268" t="str">
        <f>$O$7</f>
        <v>Total</v>
      </c>
    </row>
    <row r="76" spans="1:15" s="236" customFormat="1" x14ac:dyDescent="0.2">
      <c r="A76" s="258"/>
      <c r="B76" s="239"/>
      <c r="C76" s="239"/>
      <c r="D76" s="239"/>
      <c r="E76" s="239"/>
      <c r="F76" s="239"/>
      <c r="G76" s="239"/>
      <c r="H76" s="239"/>
      <c r="I76" s="239"/>
      <c r="J76" s="239"/>
      <c r="K76" s="239"/>
      <c r="L76" s="239"/>
      <c r="M76" s="239"/>
      <c r="N76" s="239"/>
      <c r="O76" s="239"/>
    </row>
    <row r="77" spans="1:15" s="236" customFormat="1" x14ac:dyDescent="0.2">
      <c r="A77" s="237" t="str">
        <f>name!E$4</f>
        <v>Managers, directors and senior officials</v>
      </c>
      <c r="B77" s="302">
        <v>1.8073749359140086</v>
      </c>
      <c r="C77" s="302">
        <v>9.2969847409352421E-2</v>
      </c>
      <c r="D77" s="302">
        <v>0.20288281376876605</v>
      </c>
      <c r="E77" s="302">
        <f>SUM(B77:D77)</f>
        <v>2.1032275970921268</v>
      </c>
      <c r="F77" s="303"/>
      <c r="G77" s="302">
        <v>2.0514489309272239</v>
      </c>
      <c r="H77" s="302">
        <v>0.14774953879155228</v>
      </c>
      <c r="I77" s="302">
        <v>0.2277228069946636</v>
      </c>
      <c r="J77" s="302">
        <f>SUM(G77:I77)</f>
        <v>2.4269212767134398</v>
      </c>
      <c r="K77" s="303"/>
      <c r="L77" s="302">
        <v>1.615524081409706</v>
      </c>
      <c r="M77" s="302">
        <v>0.13669066832548493</v>
      </c>
      <c r="N77" s="302">
        <v>0.2125759964071981</v>
      </c>
      <c r="O77" s="302">
        <f>SUM(L77:N77)</f>
        <v>1.964790746142389</v>
      </c>
    </row>
    <row r="78" spans="1:15" s="236" customFormat="1" x14ac:dyDescent="0.2">
      <c r="A78" s="237" t="str">
        <f>name!E$5</f>
        <v>Professional occupations</v>
      </c>
      <c r="B78" s="302">
        <v>2.6536641908641077</v>
      </c>
      <c r="C78" s="302">
        <v>7.2646172423615263E-2</v>
      </c>
      <c r="D78" s="302">
        <v>0.12856517204252363</v>
      </c>
      <c r="E78" s="302">
        <f t="shared" ref="E78:E85" si="42">SUM(B78:D78)</f>
        <v>2.8548755353302466</v>
      </c>
      <c r="F78" s="303"/>
      <c r="G78" s="302">
        <v>3.4692171297451582</v>
      </c>
      <c r="H78" s="302">
        <v>0.11962842540217918</v>
      </c>
      <c r="I78" s="302">
        <v>0.13552666383286835</v>
      </c>
      <c r="J78" s="302">
        <f t="shared" ref="J78:J80" si="43">SUM(G78:I78)</f>
        <v>3.7243722189802058</v>
      </c>
      <c r="K78" s="303"/>
      <c r="L78" s="302">
        <v>2.9386028126681145</v>
      </c>
      <c r="M78" s="302">
        <v>0.10785250054506247</v>
      </c>
      <c r="N78" s="302">
        <v>8.5807504199091375E-2</v>
      </c>
      <c r="O78" s="302">
        <f t="shared" ref="O78:O85" si="44">SUM(L78:N78)</f>
        <v>3.1322628174122684</v>
      </c>
    </row>
    <row r="79" spans="1:15" s="236" customFormat="1" x14ac:dyDescent="0.2">
      <c r="A79" s="237" t="str">
        <f>name!E$6</f>
        <v>Associate professional occupations</v>
      </c>
      <c r="B79" s="302">
        <v>1.6546158676853073</v>
      </c>
      <c r="C79" s="302">
        <v>8.2450774261301374E-2</v>
      </c>
      <c r="D79" s="302">
        <v>0.10259946325873485</v>
      </c>
      <c r="E79" s="302">
        <f t="shared" si="42"/>
        <v>1.8396661052053436</v>
      </c>
      <c r="F79" s="303"/>
      <c r="G79" s="302">
        <v>1.9766173079176179</v>
      </c>
      <c r="H79" s="302">
        <v>0.11805132260042077</v>
      </c>
      <c r="I79" s="302">
        <v>0.10143012737883443</v>
      </c>
      <c r="J79" s="302">
        <f t="shared" si="43"/>
        <v>2.1960987578968729</v>
      </c>
      <c r="K79" s="303"/>
      <c r="L79" s="302">
        <v>1.4256721564173735</v>
      </c>
      <c r="M79" s="302">
        <v>9.1261897794952099E-2</v>
      </c>
      <c r="N79" s="302">
        <v>7.6628403555555946E-2</v>
      </c>
      <c r="O79" s="302">
        <f t="shared" si="44"/>
        <v>1.5935624577678817</v>
      </c>
    </row>
    <row r="80" spans="1:15" s="236" customFormat="1" x14ac:dyDescent="0.2">
      <c r="A80" s="237" t="str">
        <f>name!E$7</f>
        <v>Administrative and secretarial occupations</v>
      </c>
      <c r="B80" s="302">
        <v>0.69806286654595928</v>
      </c>
      <c r="C80" s="302">
        <v>0.21744275333030555</v>
      </c>
      <c r="D80" s="302">
        <v>4.2906356218063504E-2</v>
      </c>
      <c r="E80" s="302">
        <f t="shared" si="42"/>
        <v>0.95841197609432827</v>
      </c>
      <c r="F80" s="303"/>
      <c r="G80" s="302">
        <v>0.69459240867329741</v>
      </c>
      <c r="H80" s="302">
        <v>0.26874402524599689</v>
      </c>
      <c r="I80" s="302">
        <v>4.3269654790370315E-2</v>
      </c>
      <c r="J80" s="302">
        <f t="shared" si="43"/>
        <v>1.0066060887096646</v>
      </c>
      <c r="K80" s="303"/>
      <c r="L80" s="302">
        <v>0.45136920491637683</v>
      </c>
      <c r="M80" s="302">
        <v>0.16733456677299194</v>
      </c>
      <c r="N80" s="302">
        <v>3.3566795389781377E-2</v>
      </c>
      <c r="O80" s="302">
        <f t="shared" si="44"/>
        <v>0.6522705670791501</v>
      </c>
    </row>
    <row r="81" spans="1:15" s="236" customFormat="1" x14ac:dyDescent="0.2">
      <c r="A81" s="237" t="str">
        <f>name!E$8</f>
        <v>Skilled trades occupations</v>
      </c>
      <c r="B81" s="302">
        <v>1.712344971592032</v>
      </c>
      <c r="C81" s="302">
        <v>7.2617292583069121E-2</v>
      </c>
      <c r="D81" s="302">
        <v>0.17735403991171789</v>
      </c>
      <c r="E81" s="302">
        <f t="shared" si="42"/>
        <v>1.962316304086819</v>
      </c>
      <c r="F81" s="303"/>
      <c r="G81" s="302">
        <v>1.383093005987593</v>
      </c>
      <c r="H81" s="302">
        <v>5.351070660691077E-2</v>
      </c>
      <c r="I81" s="302">
        <v>0.11899678921695835</v>
      </c>
      <c r="J81" s="302">
        <f>SUM(G81:I81)</f>
        <v>1.555600501811462</v>
      </c>
      <c r="K81" s="303"/>
      <c r="L81" s="302">
        <v>0.9406684326621777</v>
      </c>
      <c r="M81" s="302">
        <v>4.9056506873777321E-2</v>
      </c>
      <c r="N81" s="302">
        <v>0.12224198539267767</v>
      </c>
      <c r="O81" s="302">
        <f t="shared" si="44"/>
        <v>1.1119669249286326</v>
      </c>
    </row>
    <row r="82" spans="1:15" s="236" customFormat="1" x14ac:dyDescent="0.2">
      <c r="A82" s="237" t="str">
        <f>name!E$9</f>
        <v>Caring, leisure and other service occupations</v>
      </c>
      <c r="B82" s="302">
        <v>0.15194564718491166</v>
      </c>
      <c r="C82" s="302">
        <v>5.1323004221740812E-2</v>
      </c>
      <c r="D82" s="302">
        <v>2.664823485793379E-2</v>
      </c>
      <c r="E82" s="302">
        <f t="shared" si="42"/>
        <v>0.22991688626458626</v>
      </c>
      <c r="F82" s="303"/>
      <c r="G82" s="302">
        <v>0.12513960019753706</v>
      </c>
      <c r="H82" s="302">
        <v>5.5501479243182994E-2</v>
      </c>
      <c r="I82" s="302">
        <v>3.2643896230484019E-2</v>
      </c>
      <c r="J82" s="302">
        <f t="shared" ref="J82:J85" si="45">SUM(G82:I82)</f>
        <v>0.21328497567120408</v>
      </c>
      <c r="K82" s="303"/>
      <c r="L82" s="302">
        <v>0.10253716194748946</v>
      </c>
      <c r="M82" s="302">
        <v>3.8832291377080295E-2</v>
      </c>
      <c r="N82" s="302">
        <v>4.3436171506574604E-2</v>
      </c>
      <c r="O82" s="302">
        <f t="shared" si="44"/>
        <v>0.18480562483114438</v>
      </c>
    </row>
    <row r="83" spans="1:15" s="236" customFormat="1" x14ac:dyDescent="0.2">
      <c r="A83" s="237" t="str">
        <f>name!E$10</f>
        <v>Sales and customer service occupations</v>
      </c>
      <c r="B83" s="302">
        <v>0.26426049607140611</v>
      </c>
      <c r="C83" s="302">
        <v>8.1882739543355482E-2</v>
      </c>
      <c r="D83" s="302">
        <v>2.5243237453115602E-2</v>
      </c>
      <c r="E83" s="302">
        <f t="shared" si="42"/>
        <v>0.3713864730678772</v>
      </c>
      <c r="F83" s="303"/>
      <c r="G83" s="302">
        <v>0.25451626130324284</v>
      </c>
      <c r="H83" s="302">
        <v>9.7224817340666167E-2</v>
      </c>
      <c r="I83" s="302">
        <v>2.0307111329347236E-2</v>
      </c>
      <c r="J83" s="302">
        <f t="shared" si="45"/>
        <v>0.37204818997325628</v>
      </c>
      <c r="K83" s="303"/>
      <c r="L83" s="302">
        <v>0.2088564307648233</v>
      </c>
      <c r="M83" s="302">
        <v>9.7990604992176225E-2</v>
      </c>
      <c r="N83" s="302">
        <v>1.8732084799334733E-2</v>
      </c>
      <c r="O83" s="302">
        <f t="shared" si="44"/>
        <v>0.32557912055633426</v>
      </c>
    </row>
    <row r="84" spans="1:15" s="236" customFormat="1" x14ac:dyDescent="0.2">
      <c r="A84" s="237" t="str">
        <f>name!E$11</f>
        <v>Process, plant and machine operatives</v>
      </c>
      <c r="B84" s="302">
        <v>0.67819320170112318</v>
      </c>
      <c r="C84" s="302">
        <v>8.4019241868367178E-2</v>
      </c>
      <c r="D84" s="302">
        <v>4.3882937813802779E-2</v>
      </c>
      <c r="E84" s="302">
        <f t="shared" si="42"/>
        <v>0.80609538138329317</v>
      </c>
      <c r="F84" s="303"/>
      <c r="G84" s="302">
        <v>0.49609761126192164</v>
      </c>
      <c r="H84" s="302">
        <v>8.5987681113277065E-2</v>
      </c>
      <c r="I84" s="302">
        <v>4.7274677743765751E-2</v>
      </c>
      <c r="J84" s="302">
        <f t="shared" si="45"/>
        <v>0.62935997011896438</v>
      </c>
      <c r="K84" s="303"/>
      <c r="L84" s="302">
        <v>0.39134843053751489</v>
      </c>
      <c r="M84" s="302">
        <v>7.4984284208258006E-2</v>
      </c>
      <c r="N84" s="302">
        <v>4.1012277989353134E-2</v>
      </c>
      <c r="O84" s="302">
        <f t="shared" si="44"/>
        <v>0.50734499273512601</v>
      </c>
    </row>
    <row r="85" spans="1:15" s="236" customFormat="1" x14ac:dyDescent="0.2">
      <c r="A85" s="237" t="str">
        <f>name!E$12</f>
        <v>Elementary occupations</v>
      </c>
      <c r="B85" s="302">
        <v>0.34255688182436439</v>
      </c>
      <c r="C85" s="302">
        <v>4.7300242945738029E-2</v>
      </c>
      <c r="D85" s="302">
        <v>3.1246616705274389E-2</v>
      </c>
      <c r="E85" s="302">
        <f t="shared" si="42"/>
        <v>0.42110374147537682</v>
      </c>
      <c r="F85" s="303"/>
      <c r="G85" s="302">
        <v>0.25090483968553995</v>
      </c>
      <c r="H85" s="302">
        <v>4.8608415809515061E-2</v>
      </c>
      <c r="I85" s="302">
        <v>2.2194764629882218E-2</v>
      </c>
      <c r="J85" s="302">
        <f t="shared" si="45"/>
        <v>0.32170802012493727</v>
      </c>
      <c r="K85" s="303"/>
      <c r="L85" s="302">
        <v>0.14611661518672367</v>
      </c>
      <c r="M85" s="302">
        <v>2.5896515753768421E-2</v>
      </c>
      <c r="N85" s="302">
        <v>1.9403617606613778E-2</v>
      </c>
      <c r="O85" s="302">
        <f t="shared" si="44"/>
        <v>0.19141674854710586</v>
      </c>
    </row>
    <row r="86" spans="1:15" s="236" customFormat="1" x14ac:dyDescent="0.2">
      <c r="A86" s="237"/>
      <c r="B86" s="302"/>
      <c r="C86" s="302"/>
      <c r="D86" s="302"/>
      <c r="E86" s="302"/>
      <c r="F86" s="303"/>
      <c r="G86" s="302"/>
      <c r="H86" s="302"/>
      <c r="I86" s="302"/>
      <c r="J86" s="302"/>
      <c r="K86" s="303"/>
      <c r="L86" s="302"/>
      <c r="M86" s="302"/>
      <c r="N86" s="302"/>
      <c r="O86" s="302"/>
    </row>
    <row r="87" spans="1:15" s="236" customFormat="1" x14ac:dyDescent="0.2">
      <c r="A87" s="244" t="s">
        <v>33</v>
      </c>
      <c r="B87" s="311">
        <f>SUM(B77:B85)</f>
        <v>9.9630190593832211</v>
      </c>
      <c r="C87" s="311">
        <f t="shared" ref="C87:E87" si="46">SUM(C77:C85)</f>
        <v>0.80265206858684524</v>
      </c>
      <c r="D87" s="311">
        <f t="shared" si="46"/>
        <v>0.78132887202993251</v>
      </c>
      <c r="E87" s="311">
        <f t="shared" si="46"/>
        <v>11.546999999999999</v>
      </c>
      <c r="F87" s="311"/>
      <c r="G87" s="311">
        <f t="shared" ref="G87:J87" si="47">SUM(G77:G85)</f>
        <v>10.701627095699131</v>
      </c>
      <c r="H87" s="311">
        <f t="shared" si="47"/>
        <v>0.99500641215370123</v>
      </c>
      <c r="I87" s="311">
        <f t="shared" si="47"/>
        <v>0.74936649214717421</v>
      </c>
      <c r="J87" s="311">
        <f t="shared" si="47"/>
        <v>12.446000000000007</v>
      </c>
      <c r="K87" s="311"/>
      <c r="L87" s="311">
        <f t="shared" ref="L87:O87" si="48">SUM(L77:L85)</f>
        <v>8.2206953265103007</v>
      </c>
      <c r="M87" s="311">
        <f t="shared" si="48"/>
        <v>0.78989983664355168</v>
      </c>
      <c r="N87" s="311">
        <f t="shared" si="48"/>
        <v>0.65340483684618078</v>
      </c>
      <c r="O87" s="311">
        <f t="shared" si="48"/>
        <v>9.6640000000000317</v>
      </c>
    </row>
    <row r="88" spans="1:15" s="236" customFormat="1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37"/>
      <c r="M88" s="237"/>
      <c r="N88" s="240"/>
    </row>
    <row r="89" spans="1:15" s="236" customFormat="1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37"/>
      <c r="M89" s="237"/>
      <c r="N89" s="240"/>
      <c r="O89" s="251" t="s">
        <v>36</v>
      </c>
    </row>
    <row r="90" spans="1:15" s="236" customFormat="1" x14ac:dyDescent="0.2">
      <c r="A90" s="242"/>
      <c r="B90" s="242"/>
      <c r="C90" s="242"/>
      <c r="D90" s="242"/>
      <c r="E90" s="242"/>
      <c r="F90" s="242"/>
      <c r="G90" s="242"/>
      <c r="H90" s="242"/>
      <c r="I90" s="242"/>
      <c r="J90" s="242"/>
      <c r="K90" s="242"/>
      <c r="L90" s="242"/>
      <c r="M90" s="242"/>
      <c r="N90" s="242"/>
      <c r="O90" s="242"/>
    </row>
    <row r="91" spans="1:15" s="236" customFormat="1" x14ac:dyDescent="0.2">
      <c r="A91" s="241" t="str">
        <f>name!B8</f>
        <v>Rest of manufacturing</v>
      </c>
      <c r="B91" s="377">
        <f>$B$6</f>
        <v>2015</v>
      </c>
      <c r="C91" s="377"/>
      <c r="D91" s="377"/>
      <c r="E91" s="377"/>
      <c r="F91" s="263"/>
      <c r="G91" s="377">
        <f>$G$6</f>
        <v>2020</v>
      </c>
      <c r="H91" s="377"/>
      <c r="I91" s="377"/>
      <c r="J91" s="377"/>
      <c r="K91" s="263"/>
      <c r="L91" s="377">
        <f>$L$6</f>
        <v>2035</v>
      </c>
      <c r="M91" s="377"/>
      <c r="N91" s="377"/>
      <c r="O91" s="377"/>
    </row>
    <row r="92" spans="1:15" s="236" customFormat="1" x14ac:dyDescent="0.2">
      <c r="A92" s="254"/>
      <c r="B92" s="268" t="str">
        <f>$B$7</f>
        <v>FT</v>
      </c>
      <c r="C92" s="268" t="str">
        <f>$C$7</f>
        <v>PT</v>
      </c>
      <c r="D92" s="268" t="str">
        <f>$D$7</f>
        <v>SE</v>
      </c>
      <c r="E92" s="268" t="str">
        <f>$E$7</f>
        <v>Total</v>
      </c>
      <c r="F92" s="268"/>
      <c r="G92" s="268" t="str">
        <f>$G$7</f>
        <v>FT</v>
      </c>
      <c r="H92" s="268" t="str">
        <f>$H$7</f>
        <v>PT</v>
      </c>
      <c r="I92" s="268" t="str">
        <f>$I$7</f>
        <v>SE</v>
      </c>
      <c r="J92" s="268" t="str">
        <f>$J$7</f>
        <v>Total</v>
      </c>
      <c r="K92" s="268"/>
      <c r="L92" s="268" t="str">
        <f>$L$7</f>
        <v>FT</v>
      </c>
      <c r="M92" s="268" t="str">
        <f>$M$7</f>
        <v>PT</v>
      </c>
      <c r="N92" s="268" t="str">
        <f>$N$7</f>
        <v>SE</v>
      </c>
      <c r="O92" s="268" t="str">
        <f>$O$7</f>
        <v>Total</v>
      </c>
    </row>
    <row r="93" spans="1:15" s="236" customFormat="1" x14ac:dyDescent="0.2">
      <c r="A93" s="258"/>
      <c r="B93" s="239"/>
      <c r="C93" s="239"/>
      <c r="D93" s="239"/>
      <c r="E93" s="239"/>
      <c r="F93" s="239"/>
      <c r="G93" s="239"/>
      <c r="H93" s="239"/>
      <c r="I93" s="239"/>
      <c r="J93" s="239"/>
      <c r="K93" s="239"/>
      <c r="L93" s="239"/>
      <c r="M93" s="239"/>
      <c r="N93" s="239"/>
      <c r="O93" s="239"/>
    </row>
    <row r="94" spans="1:15" s="236" customFormat="1" x14ac:dyDescent="0.2">
      <c r="A94" s="237" t="str">
        <f>name!E$4</f>
        <v>Managers, directors and senior officials</v>
      </c>
      <c r="B94" s="302">
        <v>3.9615700730048173</v>
      </c>
      <c r="C94" s="302">
        <v>0.19791277740447671</v>
      </c>
      <c r="D94" s="302">
        <v>0.69845911577540809</v>
      </c>
      <c r="E94" s="302">
        <f>SUM(B94:D94)</f>
        <v>4.8579419661847023</v>
      </c>
      <c r="F94" s="303"/>
      <c r="G94" s="302">
        <v>4.3649333687380762</v>
      </c>
      <c r="H94" s="302">
        <v>0.39270104903160757</v>
      </c>
      <c r="I94" s="302">
        <v>0.77513969689451701</v>
      </c>
      <c r="J94" s="302">
        <f>SUM(G94:I94)</f>
        <v>5.5327741146642015</v>
      </c>
      <c r="K94" s="303"/>
      <c r="L94" s="302">
        <v>3.7085770314363664</v>
      </c>
      <c r="M94" s="302">
        <v>0.37759546139436856</v>
      </c>
      <c r="N94" s="302">
        <v>0.70803765632145543</v>
      </c>
      <c r="O94" s="302">
        <f>SUM(L94:N94)</f>
        <v>4.7942101491521907</v>
      </c>
    </row>
    <row r="95" spans="1:15" s="236" customFormat="1" x14ac:dyDescent="0.2">
      <c r="A95" s="237" t="str">
        <f>name!E$5</f>
        <v>Professional occupations</v>
      </c>
      <c r="B95" s="302">
        <v>4.9737796597105861</v>
      </c>
      <c r="C95" s="302">
        <v>0.18706449721015531</v>
      </c>
      <c r="D95" s="302">
        <v>0.44757810678244186</v>
      </c>
      <c r="E95" s="302">
        <f t="shared" ref="E95:E102" si="49">SUM(B95:D95)</f>
        <v>5.6084222637031829</v>
      </c>
      <c r="F95" s="303"/>
      <c r="G95" s="302">
        <v>6.3120508799237509</v>
      </c>
      <c r="H95" s="302">
        <v>0.3526244366118233</v>
      </c>
      <c r="I95" s="302">
        <v>0.42332755925808802</v>
      </c>
      <c r="J95" s="302">
        <f t="shared" ref="J95:J97" si="50">SUM(G95:I95)</f>
        <v>7.0880028757936628</v>
      </c>
      <c r="K95" s="303"/>
      <c r="L95" s="302">
        <v>5.9325761443692828</v>
      </c>
      <c r="M95" s="302">
        <v>0.32097396940086093</v>
      </c>
      <c r="N95" s="302">
        <v>0.26533426906110946</v>
      </c>
      <c r="O95" s="302">
        <f t="shared" ref="O95:O102" si="51">SUM(L95:N95)</f>
        <v>6.5188843828312537</v>
      </c>
    </row>
    <row r="96" spans="1:15" s="236" customFormat="1" x14ac:dyDescent="0.2">
      <c r="A96" s="237" t="str">
        <f>name!E$6</f>
        <v>Associate professional occupations</v>
      </c>
      <c r="B96" s="302">
        <v>3.7819108223173532</v>
      </c>
      <c r="C96" s="302">
        <v>0.24667076762049259</v>
      </c>
      <c r="D96" s="302">
        <v>0.57803526149768691</v>
      </c>
      <c r="E96" s="302">
        <f t="shared" si="49"/>
        <v>4.6066168514355326</v>
      </c>
      <c r="F96" s="303"/>
      <c r="G96" s="302">
        <v>4.2977512069628441</v>
      </c>
      <c r="H96" s="302">
        <v>0.34548904026198202</v>
      </c>
      <c r="I96" s="302">
        <v>0.41047327675581879</v>
      </c>
      <c r="J96" s="302">
        <f t="shared" si="50"/>
        <v>5.0537135239806448</v>
      </c>
      <c r="K96" s="303"/>
      <c r="L96" s="302">
        <v>3.5375029201070394</v>
      </c>
      <c r="M96" s="302">
        <v>0.27069222547526267</v>
      </c>
      <c r="N96" s="302">
        <v>0.3501387426894757</v>
      </c>
      <c r="O96" s="302">
        <f t="shared" si="51"/>
        <v>4.1583338882717777</v>
      </c>
    </row>
    <row r="97" spans="1:15" s="236" customFormat="1" x14ac:dyDescent="0.2">
      <c r="A97" s="237" t="str">
        <f>name!E$7</f>
        <v>Administrative and secretarial occupations</v>
      </c>
      <c r="B97" s="302">
        <v>1.8199295046195263</v>
      </c>
      <c r="C97" s="302">
        <v>0.61137594459229261</v>
      </c>
      <c r="D97" s="302">
        <v>0.12650946454777315</v>
      </c>
      <c r="E97" s="302">
        <f t="shared" si="49"/>
        <v>2.557814913759592</v>
      </c>
      <c r="F97" s="303"/>
      <c r="G97" s="302">
        <v>1.9419144605133851</v>
      </c>
      <c r="H97" s="302">
        <v>0.73970607568880165</v>
      </c>
      <c r="I97" s="302">
        <v>0.10493901998644364</v>
      </c>
      <c r="J97" s="302">
        <f t="shared" si="50"/>
        <v>2.7865595561886303</v>
      </c>
      <c r="K97" s="303"/>
      <c r="L97" s="302">
        <v>1.3643200853259645</v>
      </c>
      <c r="M97" s="302">
        <v>0.50681749442300439</v>
      </c>
      <c r="N97" s="302">
        <v>7.073700924823241E-2</v>
      </c>
      <c r="O97" s="302">
        <f t="shared" si="51"/>
        <v>1.9418745889972013</v>
      </c>
    </row>
    <row r="98" spans="1:15" s="236" customFormat="1" x14ac:dyDescent="0.2">
      <c r="A98" s="237" t="str">
        <f>name!E$8</f>
        <v>Skilled trades occupations</v>
      </c>
      <c r="B98" s="302">
        <v>5.2327052937782508</v>
      </c>
      <c r="C98" s="302">
        <v>0.26264000444957469</v>
      </c>
      <c r="D98" s="302">
        <v>1.2427256637836219</v>
      </c>
      <c r="E98" s="302">
        <f t="shared" si="49"/>
        <v>6.738070962011447</v>
      </c>
      <c r="F98" s="303"/>
      <c r="G98" s="302">
        <v>4.3866207584217793</v>
      </c>
      <c r="H98" s="302">
        <v>0.23937162140166474</v>
      </c>
      <c r="I98" s="302">
        <v>0.95505466295769204</v>
      </c>
      <c r="J98" s="302">
        <f>SUM(G98:I98)</f>
        <v>5.5810470427811358</v>
      </c>
      <c r="K98" s="303"/>
      <c r="L98" s="302">
        <v>3.1006419444082867</v>
      </c>
      <c r="M98" s="302">
        <v>0.25204506403081811</v>
      </c>
      <c r="N98" s="302">
        <v>0.86942422470590053</v>
      </c>
      <c r="O98" s="302">
        <f t="shared" si="51"/>
        <v>4.2221112331450055</v>
      </c>
    </row>
    <row r="99" spans="1:15" s="236" customFormat="1" x14ac:dyDescent="0.2">
      <c r="A99" s="237" t="str">
        <f>name!E$9</f>
        <v>Caring, leisure and other service occupations</v>
      </c>
      <c r="B99" s="302">
        <v>0.31591870616238471</v>
      </c>
      <c r="C99" s="302">
        <v>5.7169930657893435E-2</v>
      </c>
      <c r="D99" s="302">
        <v>6.47273429097137E-2</v>
      </c>
      <c r="E99" s="302">
        <f t="shared" si="49"/>
        <v>0.43781597972999187</v>
      </c>
      <c r="F99" s="303"/>
      <c r="G99" s="302">
        <v>0.3493673236656446</v>
      </c>
      <c r="H99" s="302">
        <v>7.5108466498888471E-2</v>
      </c>
      <c r="I99" s="302">
        <v>7.5950888260315652E-2</v>
      </c>
      <c r="J99" s="302">
        <f t="shared" ref="J99:J102" si="52">SUM(G99:I99)</f>
        <v>0.50042667842484878</v>
      </c>
      <c r="K99" s="303"/>
      <c r="L99" s="302">
        <v>0.40297994616606891</v>
      </c>
      <c r="M99" s="302">
        <v>5.761826998994158E-2</v>
      </c>
      <c r="N99" s="302">
        <v>7.0764796667147162E-2</v>
      </c>
      <c r="O99" s="302">
        <f t="shared" si="51"/>
        <v>0.53136301282315768</v>
      </c>
    </row>
    <row r="100" spans="1:15" s="236" customFormat="1" x14ac:dyDescent="0.2">
      <c r="A100" s="237" t="str">
        <f>name!E$10</f>
        <v>Sales and customer service occupations</v>
      </c>
      <c r="B100" s="302">
        <v>0.70163205217706348</v>
      </c>
      <c r="C100" s="302">
        <v>0.17700489548551446</v>
      </c>
      <c r="D100" s="302">
        <v>0.13022375713071227</v>
      </c>
      <c r="E100" s="302">
        <f t="shared" si="49"/>
        <v>1.0088607047932903</v>
      </c>
      <c r="F100" s="303"/>
      <c r="G100" s="302">
        <v>0.68698111565611653</v>
      </c>
      <c r="H100" s="302">
        <v>0.23309864249854162</v>
      </c>
      <c r="I100" s="302">
        <v>8.3707932299388013E-2</v>
      </c>
      <c r="J100" s="302">
        <f t="shared" si="52"/>
        <v>1.0037876904540461</v>
      </c>
      <c r="K100" s="303"/>
      <c r="L100" s="302">
        <v>0.63873644864272727</v>
      </c>
      <c r="M100" s="302">
        <v>0.2063350257458261</v>
      </c>
      <c r="N100" s="302">
        <v>6.3192463307699689E-2</v>
      </c>
      <c r="O100" s="302">
        <f t="shared" si="51"/>
        <v>0.90826393769625302</v>
      </c>
    </row>
    <row r="101" spans="1:15" s="236" customFormat="1" x14ac:dyDescent="0.2">
      <c r="A101" s="237" t="str">
        <f>name!E$11</f>
        <v>Process, plant and machine operatives</v>
      </c>
      <c r="B101" s="302">
        <v>3.2438738128987334</v>
      </c>
      <c r="C101" s="302">
        <v>0.22441488475468055</v>
      </c>
      <c r="D101" s="302">
        <v>0.19734045263074801</v>
      </c>
      <c r="E101" s="302">
        <f t="shared" si="49"/>
        <v>3.665629150284162</v>
      </c>
      <c r="F101" s="303"/>
      <c r="G101" s="302">
        <v>2.8209347857336375</v>
      </c>
      <c r="H101" s="302">
        <v>0.26940195177228071</v>
      </c>
      <c r="I101" s="302">
        <v>0.20239883507001133</v>
      </c>
      <c r="J101" s="302">
        <f t="shared" si="52"/>
        <v>3.2927355725759297</v>
      </c>
      <c r="K101" s="303"/>
      <c r="L101" s="302">
        <v>2.449999953407636</v>
      </c>
      <c r="M101" s="302">
        <v>0.32104354177586758</v>
      </c>
      <c r="N101" s="302">
        <v>0.17797342377109232</v>
      </c>
      <c r="O101" s="302">
        <f t="shared" si="51"/>
        <v>2.9490169189545958</v>
      </c>
    </row>
    <row r="102" spans="1:15" s="236" customFormat="1" x14ac:dyDescent="0.2">
      <c r="A102" s="237" t="str">
        <f>name!E$12</f>
        <v>Elementary occupations</v>
      </c>
      <c r="B102" s="302">
        <v>1.3390046571851775</v>
      </c>
      <c r="C102" s="302">
        <v>0.25402057546979306</v>
      </c>
      <c r="D102" s="302">
        <v>0.22780197544313135</v>
      </c>
      <c r="E102" s="302">
        <f t="shared" si="49"/>
        <v>1.8208272080981018</v>
      </c>
      <c r="F102" s="303"/>
      <c r="G102" s="302">
        <v>1.1185656222913685</v>
      </c>
      <c r="H102" s="302">
        <v>0.26299748685639701</v>
      </c>
      <c r="I102" s="302">
        <v>0.11438983598917431</v>
      </c>
      <c r="J102" s="302">
        <f t="shared" si="52"/>
        <v>1.4959529451369398</v>
      </c>
      <c r="K102" s="303"/>
      <c r="L102" s="302">
        <v>0.67934391615544865</v>
      </c>
      <c r="M102" s="302">
        <v>0.17759701681919801</v>
      </c>
      <c r="N102" s="302">
        <v>9.8000955153982119E-2</v>
      </c>
      <c r="O102" s="302">
        <f t="shared" si="51"/>
        <v>0.95494188812862879</v>
      </c>
    </row>
    <row r="103" spans="1:15" s="236" customFormat="1" x14ac:dyDescent="0.2">
      <c r="A103" s="237"/>
      <c r="B103" s="302"/>
      <c r="C103" s="302"/>
      <c r="D103" s="302"/>
      <c r="E103" s="302"/>
      <c r="F103" s="303"/>
      <c r="G103" s="302"/>
      <c r="H103" s="302"/>
      <c r="I103" s="302"/>
      <c r="J103" s="302"/>
      <c r="K103" s="303"/>
      <c r="L103" s="302"/>
      <c r="M103" s="302"/>
      <c r="N103" s="302"/>
      <c r="O103" s="302"/>
    </row>
    <row r="104" spans="1:15" s="236" customFormat="1" x14ac:dyDescent="0.2">
      <c r="A104" s="244" t="s">
        <v>33</v>
      </c>
      <c r="B104" s="311">
        <f>SUM(B94:B102)</f>
        <v>25.370324581853897</v>
      </c>
      <c r="C104" s="311">
        <f t="shared" ref="C104:E104" si="53">SUM(C94:C102)</f>
        <v>2.2182742776448734</v>
      </c>
      <c r="D104" s="311">
        <f t="shared" si="53"/>
        <v>3.713401140501237</v>
      </c>
      <c r="E104" s="311">
        <f t="shared" si="53"/>
        <v>31.301999999999996</v>
      </c>
      <c r="F104" s="311"/>
      <c r="G104" s="311">
        <f t="shared" ref="G104:J104" si="54">SUM(G94:G102)</f>
        <v>26.279119521906601</v>
      </c>
      <c r="H104" s="311">
        <f t="shared" si="54"/>
        <v>2.9104987706219871</v>
      </c>
      <c r="I104" s="311">
        <f t="shared" si="54"/>
        <v>3.145381707471449</v>
      </c>
      <c r="J104" s="311">
        <f t="shared" si="54"/>
        <v>32.335000000000043</v>
      </c>
      <c r="K104" s="311"/>
      <c r="L104" s="311">
        <f t="shared" ref="L104:O104" si="55">SUM(L94:L102)</f>
        <v>21.814678390018823</v>
      </c>
      <c r="M104" s="311">
        <f t="shared" si="55"/>
        <v>2.490718069055148</v>
      </c>
      <c r="N104" s="311">
        <f t="shared" si="55"/>
        <v>2.6736035409260941</v>
      </c>
      <c r="O104" s="311">
        <f t="shared" si="55"/>
        <v>26.979000000000067</v>
      </c>
    </row>
    <row r="105" spans="1:15" s="236" customFormat="1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37"/>
      <c r="M105" s="237"/>
      <c r="N105" s="240"/>
    </row>
    <row r="106" spans="1:15" s="236" customFormat="1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37"/>
      <c r="M106" s="237"/>
      <c r="N106" s="240"/>
      <c r="O106" s="251" t="s">
        <v>36</v>
      </c>
    </row>
    <row r="107" spans="1:15" s="236" customFormat="1" x14ac:dyDescent="0.2">
      <c r="A107" s="242"/>
      <c r="B107" s="242"/>
      <c r="C107" s="242"/>
      <c r="D107" s="242"/>
      <c r="E107" s="242"/>
      <c r="F107" s="242"/>
      <c r="G107" s="242"/>
      <c r="H107" s="242"/>
      <c r="I107" s="242"/>
      <c r="J107" s="242"/>
      <c r="K107" s="242"/>
      <c r="L107" s="242"/>
      <c r="M107" s="242"/>
      <c r="N107" s="242"/>
      <c r="O107" s="242"/>
    </row>
    <row r="108" spans="1:15" s="236" customFormat="1" x14ac:dyDescent="0.2">
      <c r="A108" s="241" t="str">
        <f>name!B9</f>
        <v>Electricity and gas</v>
      </c>
      <c r="B108" s="377">
        <f>$B$6</f>
        <v>2015</v>
      </c>
      <c r="C108" s="377"/>
      <c r="D108" s="377"/>
      <c r="E108" s="377"/>
      <c r="F108" s="263"/>
      <c r="G108" s="377">
        <f>$G$6</f>
        <v>2020</v>
      </c>
      <c r="H108" s="377"/>
      <c r="I108" s="377"/>
      <c r="J108" s="377"/>
      <c r="K108" s="263"/>
      <c r="L108" s="377">
        <f>$L$6</f>
        <v>2035</v>
      </c>
      <c r="M108" s="377"/>
      <c r="N108" s="377"/>
      <c r="O108" s="377"/>
    </row>
    <row r="109" spans="1:15" s="236" customFormat="1" x14ac:dyDescent="0.2">
      <c r="A109" s="254"/>
      <c r="B109" s="268" t="str">
        <f>$B$7</f>
        <v>FT</v>
      </c>
      <c r="C109" s="268" t="str">
        <f>$C$7</f>
        <v>PT</v>
      </c>
      <c r="D109" s="268" t="str">
        <f>$D$7</f>
        <v>SE</v>
      </c>
      <c r="E109" s="268" t="str">
        <f>$E$7</f>
        <v>Total</v>
      </c>
      <c r="F109" s="268"/>
      <c r="G109" s="268" t="str">
        <f>$G$7</f>
        <v>FT</v>
      </c>
      <c r="H109" s="268" t="str">
        <f>$H$7</f>
        <v>PT</v>
      </c>
      <c r="I109" s="268" t="str">
        <f>$I$7</f>
        <v>SE</v>
      </c>
      <c r="J109" s="268" t="str">
        <f>$J$7</f>
        <v>Total</v>
      </c>
      <c r="K109" s="268"/>
      <c r="L109" s="268" t="str">
        <f>$L$7</f>
        <v>FT</v>
      </c>
      <c r="M109" s="268" t="str">
        <f>$M$7</f>
        <v>PT</v>
      </c>
      <c r="N109" s="268" t="str">
        <f>$N$7</f>
        <v>SE</v>
      </c>
      <c r="O109" s="268" t="str">
        <f>$O$7</f>
        <v>Total</v>
      </c>
    </row>
    <row r="110" spans="1:15" s="236" customFormat="1" x14ac:dyDescent="0.2">
      <c r="A110" s="258"/>
      <c r="B110" s="239"/>
      <c r="C110" s="239"/>
      <c r="D110" s="239"/>
      <c r="E110" s="239"/>
      <c r="F110" s="239"/>
      <c r="G110" s="239"/>
      <c r="H110" s="239"/>
      <c r="I110" s="239"/>
      <c r="J110" s="239"/>
      <c r="K110" s="239"/>
      <c r="L110" s="239"/>
      <c r="M110" s="239"/>
      <c r="N110" s="239"/>
      <c r="O110" s="239"/>
    </row>
    <row r="111" spans="1:15" s="236" customFormat="1" x14ac:dyDescent="0.2">
      <c r="A111" s="237" t="str">
        <f>name!E$4</f>
        <v>Managers, directors and senior officials</v>
      </c>
      <c r="B111" s="302">
        <v>0.64351996123390087</v>
      </c>
      <c r="C111" s="302">
        <v>1.4747852939338228E-2</v>
      </c>
      <c r="D111" s="302">
        <v>6.2811016424991109E-2</v>
      </c>
      <c r="E111" s="302">
        <f>SUM(B111:D111)</f>
        <v>0.72107883059823019</v>
      </c>
      <c r="F111" s="303"/>
      <c r="G111" s="302">
        <v>0.44983441463999596</v>
      </c>
      <c r="H111" s="302">
        <v>1.4262566873358213E-2</v>
      </c>
      <c r="I111" s="302">
        <v>4.8783064629645406E-2</v>
      </c>
      <c r="J111" s="302">
        <f>SUM(G111:I111)</f>
        <v>0.51288004614299953</v>
      </c>
      <c r="K111" s="303"/>
      <c r="L111" s="302">
        <v>0.47117506203648235</v>
      </c>
      <c r="M111" s="302">
        <v>1.435588289005273E-2</v>
      </c>
      <c r="N111" s="302">
        <v>2.8709333253153804E-2</v>
      </c>
      <c r="O111" s="302">
        <f>SUM(L111:N111)</f>
        <v>0.51424027817968887</v>
      </c>
    </row>
    <row r="112" spans="1:15" s="236" customFormat="1" x14ac:dyDescent="0.2">
      <c r="A112" s="237" t="str">
        <f>name!E$5</f>
        <v>Professional occupations</v>
      </c>
      <c r="B112" s="302">
        <v>1.1873521498700921</v>
      </c>
      <c r="C112" s="302">
        <v>1.5569766087909786E-2</v>
      </c>
      <c r="D112" s="302">
        <v>8.6698058839304898E-2</v>
      </c>
      <c r="E112" s="302">
        <f t="shared" ref="E112:E119" si="56">SUM(B112:D112)</f>
        <v>1.2896199747973067</v>
      </c>
      <c r="F112" s="303"/>
      <c r="G112" s="302">
        <v>0.94624596503299563</v>
      </c>
      <c r="H112" s="302">
        <v>1.369750009800709E-2</v>
      </c>
      <c r="I112" s="302">
        <v>4.4260876268121883E-2</v>
      </c>
      <c r="J112" s="302">
        <f t="shared" ref="J112:J114" si="57">SUM(G112:I112)</f>
        <v>1.0042043413991246</v>
      </c>
      <c r="K112" s="303"/>
      <c r="L112" s="302">
        <v>1.0773310384189971</v>
      </c>
      <c r="M112" s="302">
        <v>1.3785438004906283E-2</v>
      </c>
      <c r="N112" s="302">
        <v>1.5820708831548114E-2</v>
      </c>
      <c r="O112" s="302">
        <f t="shared" ref="O112:O119" si="58">SUM(L112:N112)</f>
        <v>1.1069371852554515</v>
      </c>
    </row>
    <row r="113" spans="1:15" s="236" customFormat="1" x14ac:dyDescent="0.2">
      <c r="A113" s="237" t="str">
        <f>name!E$6</f>
        <v>Associate professional occupations</v>
      </c>
      <c r="B113" s="302">
        <v>0.74910653671543193</v>
      </c>
      <c r="C113" s="302">
        <v>2.7476137712549652E-2</v>
      </c>
      <c r="D113" s="302">
        <v>3.3734145503010203E-2</v>
      </c>
      <c r="E113" s="302">
        <f t="shared" si="56"/>
        <v>0.81031681993099181</v>
      </c>
      <c r="F113" s="303"/>
      <c r="G113" s="302">
        <v>0.57088307285430095</v>
      </c>
      <c r="H113" s="302">
        <v>2.0440134804984324E-2</v>
      </c>
      <c r="I113" s="302">
        <v>4.5096131849793393E-2</v>
      </c>
      <c r="J113" s="302">
        <f t="shared" si="57"/>
        <v>0.6364193395090787</v>
      </c>
      <c r="K113" s="303"/>
      <c r="L113" s="302">
        <v>0.50806388553881809</v>
      </c>
      <c r="M113" s="302">
        <v>2.0202979061649969E-2</v>
      </c>
      <c r="N113" s="302">
        <v>1.7291771435111548E-2</v>
      </c>
      <c r="O113" s="302">
        <f t="shared" si="58"/>
        <v>0.54555863603557953</v>
      </c>
    </row>
    <row r="114" spans="1:15" s="236" customFormat="1" x14ac:dyDescent="0.2">
      <c r="A114" s="237" t="str">
        <f>name!E$7</f>
        <v>Administrative and secretarial occupations</v>
      </c>
      <c r="B114" s="302">
        <v>0.33888716584383644</v>
      </c>
      <c r="C114" s="302">
        <v>7.5849085547432568E-2</v>
      </c>
      <c r="D114" s="302">
        <v>2.0273455006134776E-2</v>
      </c>
      <c r="E114" s="302">
        <f t="shared" si="56"/>
        <v>0.43500970639740377</v>
      </c>
      <c r="F114" s="303"/>
      <c r="G114" s="302">
        <v>0.20738080155319089</v>
      </c>
      <c r="H114" s="302">
        <v>4.8843603859407191E-2</v>
      </c>
      <c r="I114" s="302">
        <v>1.6702423990993729E-2</v>
      </c>
      <c r="J114" s="302">
        <f t="shared" si="57"/>
        <v>0.27292682940359181</v>
      </c>
      <c r="K114" s="303"/>
      <c r="L114" s="302">
        <v>0.12069323314346389</v>
      </c>
      <c r="M114" s="302">
        <v>3.7014652473667337E-2</v>
      </c>
      <c r="N114" s="302">
        <v>6.9722698838034503E-2</v>
      </c>
      <c r="O114" s="302">
        <f t="shared" si="58"/>
        <v>0.22743058445516573</v>
      </c>
    </row>
    <row r="115" spans="1:15" s="236" customFormat="1" x14ac:dyDescent="0.2">
      <c r="A115" s="237" t="str">
        <f>name!E$8</f>
        <v>Skilled trades occupations</v>
      </c>
      <c r="B115" s="302">
        <v>1.1154089186835261</v>
      </c>
      <c r="C115" s="302">
        <v>2.0964914309238719E-2</v>
      </c>
      <c r="D115" s="302">
        <v>8.9986866885365807E-2</v>
      </c>
      <c r="E115" s="302">
        <f t="shared" si="56"/>
        <v>1.2263606998781307</v>
      </c>
      <c r="F115" s="303"/>
      <c r="G115" s="302">
        <v>0.57110872053832162</v>
      </c>
      <c r="H115" s="302">
        <v>8.9905029066381821E-3</v>
      </c>
      <c r="I115" s="302">
        <v>6.2443781056527932E-2</v>
      </c>
      <c r="J115" s="302">
        <f>SUM(G115:I115)</f>
        <v>0.64254300450148771</v>
      </c>
      <c r="K115" s="303"/>
      <c r="L115" s="302">
        <v>0.49430234770670312</v>
      </c>
      <c r="M115" s="302">
        <v>6.6912850919741149E-3</v>
      </c>
      <c r="N115" s="302">
        <v>7.0278401976968566E-2</v>
      </c>
      <c r="O115" s="302">
        <f t="shared" si="58"/>
        <v>0.57127203477564581</v>
      </c>
    </row>
    <row r="116" spans="1:15" s="236" customFormat="1" x14ac:dyDescent="0.2">
      <c r="A116" s="237" t="str">
        <f>name!E$9</f>
        <v>Caring, leisure and other service occupations</v>
      </c>
      <c r="B116" s="302">
        <v>8.3150089469524818E-2</v>
      </c>
      <c r="C116" s="302">
        <v>4.5537200703076866E-3</v>
      </c>
      <c r="D116" s="302">
        <v>3.9194177483700089E-3</v>
      </c>
      <c r="E116" s="302">
        <f t="shared" si="56"/>
        <v>9.1623227288202519E-2</v>
      </c>
      <c r="F116" s="303"/>
      <c r="G116" s="302">
        <v>4.9876402838807003E-2</v>
      </c>
      <c r="H116" s="302">
        <v>2.4787328849391515E-3</v>
      </c>
      <c r="I116" s="302">
        <v>5.0367296427782877E-2</v>
      </c>
      <c r="J116" s="302">
        <f t="shared" ref="J116:J119" si="59">SUM(G116:I116)</f>
        <v>0.10272243215152904</v>
      </c>
      <c r="K116" s="303"/>
      <c r="L116" s="302">
        <v>5.218807464255578E-2</v>
      </c>
      <c r="M116" s="302">
        <v>1.5639351407025627E-3</v>
      </c>
      <c r="N116" s="302">
        <v>4.3050498618554978E-2</v>
      </c>
      <c r="O116" s="302">
        <f t="shared" si="58"/>
        <v>9.6802508401813314E-2</v>
      </c>
    </row>
    <row r="117" spans="1:15" s="236" customFormat="1" x14ac:dyDescent="0.2">
      <c r="A117" s="237" t="str">
        <f>name!E$10</f>
        <v>Sales and customer service occupations</v>
      </c>
      <c r="B117" s="302">
        <v>0.49100590499702296</v>
      </c>
      <c r="C117" s="302">
        <v>0.18549403562998867</v>
      </c>
      <c r="D117" s="302">
        <v>4.0060901762715026E-2</v>
      </c>
      <c r="E117" s="302">
        <f t="shared" si="56"/>
        <v>0.71656084238972662</v>
      </c>
      <c r="F117" s="303"/>
      <c r="G117" s="302">
        <v>0.29038658688545516</v>
      </c>
      <c r="H117" s="302">
        <v>0.12776021038538432</v>
      </c>
      <c r="I117" s="302">
        <v>1.3104616522103957E-2</v>
      </c>
      <c r="J117" s="302">
        <f t="shared" si="59"/>
        <v>0.43125141379294341</v>
      </c>
      <c r="K117" s="303"/>
      <c r="L117" s="302">
        <v>0.28930677408554134</v>
      </c>
      <c r="M117" s="302">
        <v>0.14407290593328492</v>
      </c>
      <c r="N117" s="302">
        <v>7.566632529507851E-3</v>
      </c>
      <c r="O117" s="302">
        <f t="shared" si="58"/>
        <v>0.44094631254833411</v>
      </c>
    </row>
    <row r="118" spans="1:15" s="236" customFormat="1" x14ac:dyDescent="0.2">
      <c r="A118" s="237" t="str">
        <f>name!E$11</f>
        <v>Process, plant and machine operatives</v>
      </c>
      <c r="B118" s="302">
        <v>0.21309039628896198</v>
      </c>
      <c r="C118" s="302">
        <v>4.7075494609623474E-3</v>
      </c>
      <c r="D118" s="302">
        <v>4.2390045112258065E-2</v>
      </c>
      <c r="E118" s="302">
        <f t="shared" si="56"/>
        <v>0.26018799086218242</v>
      </c>
      <c r="F118" s="303"/>
      <c r="G118" s="302">
        <v>0.11145623138043186</v>
      </c>
      <c r="H118" s="302">
        <v>2.8463677171377561E-3</v>
      </c>
      <c r="I118" s="302">
        <v>8.3047649251691228E-3</v>
      </c>
      <c r="J118" s="302">
        <f t="shared" si="59"/>
        <v>0.12260736402273874</v>
      </c>
      <c r="K118" s="303"/>
      <c r="L118" s="302">
        <v>0.12771616193535151</v>
      </c>
      <c r="M118" s="302">
        <v>3.2197518367461098E-3</v>
      </c>
      <c r="N118" s="302">
        <v>2.1428009416961206E-2</v>
      </c>
      <c r="O118" s="302">
        <f t="shared" si="58"/>
        <v>0.15236392318905884</v>
      </c>
    </row>
    <row r="119" spans="1:15" s="236" customFormat="1" x14ac:dyDescent="0.2">
      <c r="A119" s="237" t="str">
        <f>name!E$12</f>
        <v>Elementary occupations</v>
      </c>
      <c r="B119" s="302">
        <v>6.6360041317614138E-2</v>
      </c>
      <c r="C119" s="302">
        <v>1.1562765713071507E-2</v>
      </c>
      <c r="D119" s="302">
        <v>1.6319100827134711E-2</v>
      </c>
      <c r="E119" s="302">
        <f t="shared" si="56"/>
        <v>9.4241907857820356E-2</v>
      </c>
      <c r="F119" s="303"/>
      <c r="G119" s="302">
        <v>3.4994938454799313E-2</v>
      </c>
      <c r="H119" s="302">
        <v>5.4596980399630457E-3</v>
      </c>
      <c r="I119" s="302">
        <v>2.7990592581749997E-2</v>
      </c>
      <c r="J119" s="302">
        <f t="shared" si="59"/>
        <v>6.8445229076512348E-2</v>
      </c>
      <c r="K119" s="303"/>
      <c r="L119" s="302">
        <v>1.9096061162690282E-2</v>
      </c>
      <c r="M119" s="302">
        <v>2.0628250940277907E-3</v>
      </c>
      <c r="N119" s="302">
        <v>2.9289650902546791E-2</v>
      </c>
      <c r="O119" s="302">
        <f t="shared" si="58"/>
        <v>5.0448537159264867E-2</v>
      </c>
    </row>
    <row r="120" spans="1:15" s="236" customFormat="1" x14ac:dyDescent="0.2">
      <c r="A120" s="237"/>
      <c r="B120" s="302"/>
      <c r="C120" s="302"/>
      <c r="D120" s="302"/>
      <c r="E120" s="302"/>
      <c r="F120" s="303"/>
      <c r="G120" s="302"/>
      <c r="H120" s="302"/>
      <c r="I120" s="302"/>
      <c r="J120" s="302"/>
      <c r="K120" s="303"/>
      <c r="L120" s="302"/>
      <c r="M120" s="302"/>
      <c r="N120" s="302"/>
      <c r="O120" s="302"/>
    </row>
    <row r="121" spans="1:15" s="236" customFormat="1" x14ac:dyDescent="0.2">
      <c r="A121" s="244" t="s">
        <v>33</v>
      </c>
      <c r="B121" s="311">
        <f>SUM(B111:B119)</f>
        <v>4.8878811644199107</v>
      </c>
      <c r="C121" s="311">
        <f t="shared" ref="C121:E121" si="60">SUM(C111:C119)</f>
        <v>0.36092582747079915</v>
      </c>
      <c r="D121" s="311">
        <f t="shared" si="60"/>
        <v>0.39619300810928471</v>
      </c>
      <c r="E121" s="311">
        <f t="shared" si="60"/>
        <v>5.6449999999999951</v>
      </c>
      <c r="F121" s="311"/>
      <c r="G121" s="311">
        <f t="shared" ref="G121:J121" si="61">SUM(G111:G119)</f>
        <v>3.2321671341782987</v>
      </c>
      <c r="H121" s="311">
        <f t="shared" si="61"/>
        <v>0.24477931756981927</v>
      </c>
      <c r="I121" s="311">
        <f t="shared" si="61"/>
        <v>0.31705354825188836</v>
      </c>
      <c r="J121" s="311">
        <f t="shared" si="61"/>
        <v>3.7940000000000067</v>
      </c>
      <c r="K121" s="311"/>
      <c r="L121" s="311">
        <f t="shared" ref="L121:O121" si="62">SUM(L111:L119)</f>
        <v>3.1598726386706035</v>
      </c>
      <c r="M121" s="311">
        <f t="shared" si="62"/>
        <v>0.24296965552701183</v>
      </c>
      <c r="N121" s="311">
        <f t="shared" si="62"/>
        <v>0.30315770580238738</v>
      </c>
      <c r="O121" s="311">
        <f t="shared" si="62"/>
        <v>3.7060000000000026</v>
      </c>
    </row>
    <row r="122" spans="1:15" s="236" customFormat="1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37"/>
      <c r="M122" s="237"/>
      <c r="N122" s="240"/>
    </row>
    <row r="123" spans="1:15" s="236" customFormat="1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37"/>
      <c r="M123" s="237"/>
      <c r="N123" s="240"/>
      <c r="O123" s="251" t="s">
        <v>36</v>
      </c>
    </row>
    <row r="124" spans="1:15" s="236" customFormat="1" x14ac:dyDescent="0.2">
      <c r="A124" s="242"/>
      <c r="B124" s="242"/>
      <c r="C124" s="242"/>
      <c r="D124" s="242"/>
      <c r="E124" s="242"/>
      <c r="F124" s="242"/>
      <c r="G124" s="242"/>
      <c r="H124" s="242"/>
      <c r="I124" s="242"/>
      <c r="J124" s="242"/>
      <c r="K124" s="242"/>
      <c r="L124" s="242"/>
      <c r="M124" s="242"/>
      <c r="N124" s="242"/>
      <c r="O124" s="242"/>
    </row>
    <row r="125" spans="1:15" s="236" customFormat="1" x14ac:dyDescent="0.2">
      <c r="A125" s="241" t="str">
        <f>name!B10</f>
        <v>Water and sewerage</v>
      </c>
      <c r="B125" s="377">
        <f>$B$6</f>
        <v>2015</v>
      </c>
      <c r="C125" s="377"/>
      <c r="D125" s="377"/>
      <c r="E125" s="377"/>
      <c r="F125" s="263"/>
      <c r="G125" s="377">
        <f>$G$6</f>
        <v>2020</v>
      </c>
      <c r="H125" s="377"/>
      <c r="I125" s="377"/>
      <c r="J125" s="377"/>
      <c r="K125" s="263"/>
      <c r="L125" s="377">
        <f>$L$6</f>
        <v>2035</v>
      </c>
      <c r="M125" s="377"/>
      <c r="N125" s="377"/>
      <c r="O125" s="377"/>
    </row>
    <row r="126" spans="1:15" s="236" customFormat="1" x14ac:dyDescent="0.2">
      <c r="A126" s="254"/>
      <c r="B126" s="268" t="str">
        <f>$B$7</f>
        <v>FT</v>
      </c>
      <c r="C126" s="268" t="str">
        <f>$C$7</f>
        <v>PT</v>
      </c>
      <c r="D126" s="268" t="str">
        <f>$D$7</f>
        <v>SE</v>
      </c>
      <c r="E126" s="268" t="str">
        <f>$E$7</f>
        <v>Total</v>
      </c>
      <c r="F126" s="268"/>
      <c r="G126" s="268" t="str">
        <f>$G$7</f>
        <v>FT</v>
      </c>
      <c r="H126" s="268" t="str">
        <f>$H$7</f>
        <v>PT</v>
      </c>
      <c r="I126" s="268" t="str">
        <f>$I$7</f>
        <v>SE</v>
      </c>
      <c r="J126" s="268" t="str">
        <f>$J$7</f>
        <v>Total</v>
      </c>
      <c r="K126" s="268"/>
      <c r="L126" s="268" t="str">
        <f>$L$7</f>
        <v>FT</v>
      </c>
      <c r="M126" s="268" t="str">
        <f>$M$7</f>
        <v>PT</v>
      </c>
      <c r="N126" s="268" t="str">
        <f>$N$7</f>
        <v>SE</v>
      </c>
      <c r="O126" s="268" t="str">
        <f>$O$7</f>
        <v>Total</v>
      </c>
    </row>
    <row r="127" spans="1:15" s="236" customFormat="1" x14ac:dyDescent="0.2">
      <c r="A127" s="258"/>
      <c r="B127" s="239"/>
      <c r="C127" s="239"/>
      <c r="D127" s="239"/>
      <c r="E127" s="239"/>
      <c r="F127" s="239"/>
      <c r="G127" s="239"/>
      <c r="H127" s="239"/>
      <c r="I127" s="239"/>
      <c r="J127" s="239"/>
      <c r="K127" s="239"/>
      <c r="L127" s="239"/>
      <c r="M127" s="239"/>
      <c r="N127" s="239"/>
      <c r="O127" s="239"/>
    </row>
    <row r="128" spans="1:15" s="236" customFormat="1" x14ac:dyDescent="0.2">
      <c r="A128" s="237" t="str">
        <f>name!E$4</f>
        <v>Managers, directors and senior officials</v>
      </c>
      <c r="B128" s="302">
        <v>0.4252836534695783</v>
      </c>
      <c r="C128" s="302">
        <v>1.7110312212107189E-2</v>
      </c>
      <c r="D128" s="302">
        <v>9.277030818777841E-3</v>
      </c>
      <c r="E128" s="302">
        <f>SUM(B128:D128)</f>
        <v>0.45167099650046333</v>
      </c>
      <c r="F128" s="303"/>
      <c r="G128" s="302">
        <v>0.56069277321845534</v>
      </c>
      <c r="H128" s="302">
        <v>6.4104166996183098E-2</v>
      </c>
      <c r="I128" s="302">
        <v>5.2626910193649699E-2</v>
      </c>
      <c r="J128" s="302">
        <f>SUM(G128:I128)</f>
        <v>0.67742385040828823</v>
      </c>
      <c r="K128" s="303"/>
      <c r="L128" s="302">
        <v>0.67843622502062895</v>
      </c>
      <c r="M128" s="302">
        <v>9.812446580955389E-2</v>
      </c>
      <c r="N128" s="302">
        <v>5.9450993008464709E-2</v>
      </c>
      <c r="O128" s="302">
        <f>SUM(L128:N128)</f>
        <v>0.83601168383864755</v>
      </c>
    </row>
    <row r="129" spans="1:15" s="236" customFormat="1" x14ac:dyDescent="0.2">
      <c r="A129" s="237" t="str">
        <f>name!E$5</f>
        <v>Professional occupations</v>
      </c>
      <c r="B129" s="302">
        <v>0.40513694774271719</v>
      </c>
      <c r="C129" s="302">
        <v>3.3815826969852254E-2</v>
      </c>
      <c r="D129" s="302">
        <v>9.7361245092851614E-3</v>
      </c>
      <c r="E129" s="302">
        <f t="shared" ref="E129:E136" si="63">SUM(B129:D129)</f>
        <v>0.44868889922185462</v>
      </c>
      <c r="F129" s="303"/>
      <c r="G129" s="302">
        <v>0.59826474399257346</v>
      </c>
      <c r="H129" s="302">
        <v>6.002656442530882E-2</v>
      </c>
      <c r="I129" s="302">
        <v>2.3962664508688072E-2</v>
      </c>
      <c r="J129" s="302">
        <f t="shared" ref="J129:J131" si="64">SUM(G129:I129)</f>
        <v>0.68225397292657042</v>
      </c>
      <c r="K129" s="303"/>
      <c r="L129" s="302">
        <v>0.79660983855094236</v>
      </c>
      <c r="M129" s="302">
        <v>7.8546029039851667E-2</v>
      </c>
      <c r="N129" s="302">
        <v>2.2676203143383738E-2</v>
      </c>
      <c r="O129" s="302">
        <f t="shared" ref="O129:O136" si="65">SUM(L129:N129)</f>
        <v>0.8978320707341777</v>
      </c>
    </row>
    <row r="130" spans="1:15" s="236" customFormat="1" x14ac:dyDescent="0.2">
      <c r="A130" s="237" t="str">
        <f>name!E$6</f>
        <v>Associate professional occupations</v>
      </c>
      <c r="B130" s="302">
        <v>0.42037371611115243</v>
      </c>
      <c r="C130" s="302">
        <v>3.7968557410687179E-2</v>
      </c>
      <c r="D130" s="302">
        <v>1.37080204435759E-2</v>
      </c>
      <c r="E130" s="302">
        <f t="shared" si="63"/>
        <v>0.47205029396541548</v>
      </c>
      <c r="F130" s="303"/>
      <c r="G130" s="302">
        <v>0.54283516804956544</v>
      </c>
      <c r="H130" s="302">
        <v>5.1956642469802021E-2</v>
      </c>
      <c r="I130" s="302">
        <v>1.4356650103119168E-2</v>
      </c>
      <c r="J130" s="302">
        <f t="shared" si="64"/>
        <v>0.60914846062248662</v>
      </c>
      <c r="K130" s="303"/>
      <c r="L130" s="302">
        <v>0.68534355154940474</v>
      </c>
      <c r="M130" s="302">
        <v>5.1794934144695937E-2</v>
      </c>
      <c r="N130" s="302">
        <v>1.4613503303809892E-2</v>
      </c>
      <c r="O130" s="302">
        <f t="shared" si="65"/>
        <v>0.75175198899791051</v>
      </c>
    </row>
    <row r="131" spans="1:15" s="236" customFormat="1" x14ac:dyDescent="0.2">
      <c r="A131" s="237" t="str">
        <f>name!E$7</f>
        <v>Administrative and secretarial occupations</v>
      </c>
      <c r="B131" s="302">
        <v>0.15481499163666734</v>
      </c>
      <c r="C131" s="302">
        <v>6.3720888450112992E-2</v>
      </c>
      <c r="D131" s="302">
        <v>5.1538440202911536E-3</v>
      </c>
      <c r="E131" s="302">
        <f t="shared" si="63"/>
        <v>0.22368972410707147</v>
      </c>
      <c r="F131" s="303"/>
      <c r="G131" s="302">
        <v>0.15907083513613093</v>
      </c>
      <c r="H131" s="302">
        <v>8.3055295266592166E-2</v>
      </c>
      <c r="I131" s="302">
        <v>3.0445883400007359E-3</v>
      </c>
      <c r="J131" s="302">
        <f t="shared" si="64"/>
        <v>0.24517071874272384</v>
      </c>
      <c r="K131" s="303"/>
      <c r="L131" s="302">
        <v>0.12524889700933994</v>
      </c>
      <c r="M131" s="302">
        <v>8.0572497097839188E-2</v>
      </c>
      <c r="N131" s="302">
        <v>4.9169533698630655E-3</v>
      </c>
      <c r="O131" s="302">
        <f t="shared" si="65"/>
        <v>0.2107383474770422</v>
      </c>
    </row>
    <row r="132" spans="1:15" s="236" customFormat="1" x14ac:dyDescent="0.2">
      <c r="A132" s="237" t="str">
        <f>name!E$8</f>
        <v>Skilled trades occupations</v>
      </c>
      <c r="B132" s="302">
        <v>0.23827176316592469</v>
      </c>
      <c r="C132" s="302">
        <v>2.6362236807925342E-2</v>
      </c>
      <c r="D132" s="302">
        <v>2.1978694407405925E-2</v>
      </c>
      <c r="E132" s="302">
        <f t="shared" si="63"/>
        <v>0.28661269438125592</v>
      </c>
      <c r="F132" s="303"/>
      <c r="G132" s="302">
        <v>0.26497683893225643</v>
      </c>
      <c r="H132" s="302">
        <v>7.3317494098647351E-2</v>
      </c>
      <c r="I132" s="302">
        <v>6.0358343350675817E-2</v>
      </c>
      <c r="J132" s="302">
        <f>SUM(G132:I132)</f>
        <v>0.39865267638157958</v>
      </c>
      <c r="K132" s="303"/>
      <c r="L132" s="302">
        <v>0.33321384309232704</v>
      </c>
      <c r="M132" s="302">
        <v>0.11368449422472307</v>
      </c>
      <c r="N132" s="302">
        <v>6.0347400067227025E-2</v>
      </c>
      <c r="O132" s="302">
        <f t="shared" si="65"/>
        <v>0.50724573738427714</v>
      </c>
    </row>
    <row r="133" spans="1:15" s="236" customFormat="1" x14ac:dyDescent="0.2">
      <c r="A133" s="237" t="str">
        <f>name!E$9</f>
        <v>Caring, leisure and other service occupations</v>
      </c>
      <c r="B133" s="302">
        <v>6.5790310510647265E-2</v>
      </c>
      <c r="C133" s="302">
        <v>1.2417432370550567E-2</v>
      </c>
      <c r="D133" s="302">
        <v>8.8776698955219824E-3</v>
      </c>
      <c r="E133" s="302">
        <f t="shared" si="63"/>
        <v>8.7085412776719814E-2</v>
      </c>
      <c r="F133" s="303"/>
      <c r="G133" s="302">
        <v>7.4002486653296617E-2</v>
      </c>
      <c r="H133" s="302">
        <v>1.9610475182092229E-2</v>
      </c>
      <c r="I133" s="302">
        <v>2.2602775919221686E-3</v>
      </c>
      <c r="J133" s="302">
        <f t="shared" ref="J133:J136" si="66">SUM(G133:I133)</f>
        <v>9.5873239427311019E-2</v>
      </c>
      <c r="K133" s="303"/>
      <c r="L133" s="302">
        <v>0.10703925489000278</v>
      </c>
      <c r="M133" s="302">
        <v>1.8134648933633847E-2</v>
      </c>
      <c r="N133" s="302">
        <v>3.2642758452280174E-3</v>
      </c>
      <c r="O133" s="302">
        <f t="shared" si="65"/>
        <v>0.12843817966886464</v>
      </c>
    </row>
    <row r="134" spans="1:15" s="236" customFormat="1" x14ac:dyDescent="0.2">
      <c r="A134" s="237" t="str">
        <f>name!E$10</f>
        <v>Sales and customer service occupations</v>
      </c>
      <c r="B134" s="302">
        <v>7.0933125017472481E-2</v>
      </c>
      <c r="C134" s="302">
        <v>3.4769454755904185E-2</v>
      </c>
      <c r="D134" s="302">
        <v>3.9600475410372579E-3</v>
      </c>
      <c r="E134" s="302">
        <f t="shared" si="63"/>
        <v>0.10966262731441392</v>
      </c>
      <c r="F134" s="303"/>
      <c r="G134" s="302">
        <v>8.1702248384257631E-2</v>
      </c>
      <c r="H134" s="302">
        <v>5.0436617717796423E-2</v>
      </c>
      <c r="I134" s="302">
        <v>9.4816337058159072E-3</v>
      </c>
      <c r="J134" s="302">
        <f t="shared" si="66"/>
        <v>0.14162049980786995</v>
      </c>
      <c r="K134" s="303"/>
      <c r="L134" s="302">
        <v>0.10820633930359756</v>
      </c>
      <c r="M134" s="302">
        <v>6.1997312101691932E-2</v>
      </c>
      <c r="N134" s="302">
        <v>8.6398967058238466E-3</v>
      </c>
      <c r="O134" s="302">
        <f t="shared" si="65"/>
        <v>0.17884354811111333</v>
      </c>
    </row>
    <row r="135" spans="1:15" s="236" customFormat="1" x14ac:dyDescent="0.2">
      <c r="A135" s="237" t="str">
        <f>name!E$11</f>
        <v>Process, plant and machine operatives</v>
      </c>
      <c r="B135" s="302">
        <v>0.60241662308337662</v>
      </c>
      <c r="C135" s="302">
        <v>2.6603156189558833E-2</v>
      </c>
      <c r="D135" s="302">
        <v>4.5732499131431468E-3</v>
      </c>
      <c r="E135" s="302">
        <f t="shared" si="63"/>
        <v>0.63359302918607863</v>
      </c>
      <c r="F135" s="303"/>
      <c r="G135" s="302">
        <v>0.61833149375338126</v>
      </c>
      <c r="H135" s="302">
        <v>0.10036142239687161</v>
      </c>
      <c r="I135" s="302">
        <v>1.6958071465064478E-2</v>
      </c>
      <c r="J135" s="302">
        <f t="shared" si="66"/>
        <v>0.73565098761531733</v>
      </c>
      <c r="K135" s="303"/>
      <c r="L135" s="302">
        <v>0.8254111048537971</v>
      </c>
      <c r="M135" s="302">
        <v>0.13479244417049013</v>
      </c>
      <c r="N135" s="302">
        <v>1.9131662812273232E-2</v>
      </c>
      <c r="O135" s="302">
        <f t="shared" si="65"/>
        <v>0.97933521183656047</v>
      </c>
    </row>
    <row r="136" spans="1:15" s="236" customFormat="1" x14ac:dyDescent="0.2">
      <c r="A136" s="237" t="str">
        <f>name!E$12</f>
        <v>Elementary occupations</v>
      </c>
      <c r="B136" s="302">
        <v>0.58773089021016878</v>
      </c>
      <c r="C136" s="302">
        <v>2.8425918279538442E-2</v>
      </c>
      <c r="D136" s="302">
        <v>1.578951405702202E-2</v>
      </c>
      <c r="E136" s="302">
        <f t="shared" si="63"/>
        <v>0.63194632254672922</v>
      </c>
      <c r="F136" s="303"/>
      <c r="G136" s="302">
        <v>0.57533075201116224</v>
      </c>
      <c r="H136" s="302">
        <v>4.0915643075227923E-2</v>
      </c>
      <c r="I136" s="302">
        <v>8.959198981459162E-3</v>
      </c>
      <c r="J136" s="302">
        <f t="shared" si="66"/>
        <v>0.62520559406784926</v>
      </c>
      <c r="K136" s="303"/>
      <c r="L136" s="302">
        <v>0.52608202024411876</v>
      </c>
      <c r="M136" s="302">
        <v>2.3078157059283583E-2</v>
      </c>
      <c r="N136" s="302">
        <v>1.1643054647999883E-2</v>
      </c>
      <c r="O136" s="302">
        <f t="shared" si="65"/>
        <v>0.56080323195140225</v>
      </c>
    </row>
    <row r="137" spans="1:15" s="236" customFormat="1" x14ac:dyDescent="0.2">
      <c r="A137" s="237"/>
      <c r="B137" s="302"/>
      <c r="C137" s="302"/>
      <c r="D137" s="302"/>
      <c r="E137" s="302"/>
      <c r="F137" s="303"/>
      <c r="G137" s="302"/>
      <c r="H137" s="302"/>
      <c r="I137" s="302"/>
      <c r="J137" s="302"/>
      <c r="K137" s="303"/>
      <c r="L137" s="302"/>
      <c r="M137" s="302"/>
      <c r="N137" s="302"/>
      <c r="O137" s="302"/>
    </row>
    <row r="138" spans="1:15" s="236" customFormat="1" x14ac:dyDescent="0.2">
      <c r="A138" s="244" t="s">
        <v>33</v>
      </c>
      <c r="B138" s="311">
        <f>SUM(B128:B136)</f>
        <v>2.9707520209477054</v>
      </c>
      <c r="C138" s="311">
        <f t="shared" ref="C138:E138" si="67">SUM(C128:C136)</f>
        <v>0.28119378344623702</v>
      </c>
      <c r="D138" s="311">
        <f t="shared" si="67"/>
        <v>9.3054195606060389E-2</v>
      </c>
      <c r="E138" s="311">
        <f t="shared" si="67"/>
        <v>3.3450000000000024</v>
      </c>
      <c r="F138" s="311"/>
      <c r="G138" s="311">
        <f t="shared" ref="G138:J138" si="68">SUM(G128:G136)</f>
        <v>3.4752073401310795</v>
      </c>
      <c r="H138" s="311">
        <f t="shared" si="68"/>
        <v>0.54378432162852164</v>
      </c>
      <c r="I138" s="311">
        <f t="shared" si="68"/>
        <v>0.19200833824039518</v>
      </c>
      <c r="J138" s="311">
        <f t="shared" si="68"/>
        <v>4.2109999999999959</v>
      </c>
      <c r="K138" s="311"/>
      <c r="L138" s="311">
        <f t="shared" ref="L138:O138" si="69">SUM(L128:L136)</f>
        <v>4.1855910745141598</v>
      </c>
      <c r="M138" s="311">
        <f t="shared" si="69"/>
        <v>0.66072498258176326</v>
      </c>
      <c r="N138" s="311">
        <f t="shared" si="69"/>
        <v>0.20468394290407343</v>
      </c>
      <c r="O138" s="311">
        <f t="shared" si="69"/>
        <v>5.0509999999999957</v>
      </c>
    </row>
    <row r="139" spans="1:15" s="236" customFormat="1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37"/>
      <c r="M139" s="237"/>
      <c r="N139" s="240"/>
    </row>
    <row r="140" spans="1:15" s="236" customFormat="1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37"/>
      <c r="M140" s="237"/>
      <c r="N140" s="240"/>
      <c r="O140" s="251" t="s">
        <v>36</v>
      </c>
    </row>
    <row r="141" spans="1:15" s="236" customFormat="1" x14ac:dyDescent="0.2">
      <c r="A141" s="242"/>
      <c r="B141" s="242"/>
      <c r="C141" s="242"/>
      <c r="D141" s="242"/>
      <c r="E141" s="242"/>
      <c r="F141" s="242"/>
      <c r="G141" s="242"/>
      <c r="H141" s="242"/>
      <c r="I141" s="242"/>
      <c r="J141" s="242"/>
      <c r="K141" s="242"/>
      <c r="L141" s="242"/>
      <c r="M141" s="242"/>
      <c r="N141" s="242"/>
      <c r="O141" s="242"/>
    </row>
    <row r="142" spans="1:15" s="236" customFormat="1" x14ac:dyDescent="0.2">
      <c r="A142" s="241" t="str">
        <f>name!B11</f>
        <v>Construction</v>
      </c>
      <c r="B142" s="377">
        <f>$B$6</f>
        <v>2015</v>
      </c>
      <c r="C142" s="377"/>
      <c r="D142" s="377"/>
      <c r="E142" s="377"/>
      <c r="F142" s="263"/>
      <c r="G142" s="377">
        <f>$G$6</f>
        <v>2020</v>
      </c>
      <c r="H142" s="377"/>
      <c r="I142" s="377"/>
      <c r="J142" s="377"/>
      <c r="K142" s="263"/>
      <c r="L142" s="377">
        <f>$L$6</f>
        <v>2035</v>
      </c>
      <c r="M142" s="377"/>
      <c r="N142" s="377"/>
      <c r="O142" s="377"/>
    </row>
    <row r="143" spans="1:15" s="236" customFormat="1" x14ac:dyDescent="0.2">
      <c r="A143" s="254"/>
      <c r="B143" s="268" t="str">
        <f>$B$7</f>
        <v>FT</v>
      </c>
      <c r="C143" s="268" t="str">
        <f>$C$7</f>
        <v>PT</v>
      </c>
      <c r="D143" s="268" t="str">
        <f>$D$7</f>
        <v>SE</v>
      </c>
      <c r="E143" s="268" t="str">
        <f>$E$7</f>
        <v>Total</v>
      </c>
      <c r="F143" s="268"/>
      <c r="G143" s="268" t="str">
        <f>$G$7</f>
        <v>FT</v>
      </c>
      <c r="H143" s="268" t="str">
        <f>$H$7</f>
        <v>PT</v>
      </c>
      <c r="I143" s="268" t="str">
        <f>$I$7</f>
        <v>SE</v>
      </c>
      <c r="J143" s="268" t="str">
        <f>$J$7</f>
        <v>Total</v>
      </c>
      <c r="K143" s="268"/>
      <c r="L143" s="268" t="str">
        <f>$L$7</f>
        <v>FT</v>
      </c>
      <c r="M143" s="268" t="str">
        <f>$M$7</f>
        <v>PT</v>
      </c>
      <c r="N143" s="268" t="str">
        <f>$N$7</f>
        <v>SE</v>
      </c>
      <c r="O143" s="268" t="str">
        <f>$O$7</f>
        <v>Total</v>
      </c>
    </row>
    <row r="144" spans="1:15" s="236" customFormat="1" x14ac:dyDescent="0.2">
      <c r="A144" s="258"/>
      <c r="B144" s="239"/>
      <c r="C144" s="239"/>
      <c r="D144" s="239"/>
      <c r="E144" s="239"/>
      <c r="F144" s="239"/>
      <c r="G144" s="239"/>
      <c r="H144" s="239"/>
      <c r="I144" s="239"/>
      <c r="J144" s="239"/>
      <c r="K144" s="239"/>
      <c r="L144" s="239"/>
      <c r="M144" s="239"/>
      <c r="N144" s="239"/>
      <c r="O144" s="239"/>
    </row>
    <row r="145" spans="1:15" s="236" customFormat="1" x14ac:dyDescent="0.2">
      <c r="A145" s="237" t="str">
        <f>name!E$4</f>
        <v>Managers, directors and senior officials</v>
      </c>
      <c r="B145" s="302">
        <v>4.7830204327876311</v>
      </c>
      <c r="C145" s="302">
        <v>0.33864594033247775</v>
      </c>
      <c r="D145" s="302">
        <v>1.4566192390112729</v>
      </c>
      <c r="E145" s="302">
        <f>SUM(B145:D145)</f>
        <v>6.5782856121313813</v>
      </c>
      <c r="F145" s="303"/>
      <c r="G145" s="302">
        <v>6.1339849438563041</v>
      </c>
      <c r="H145" s="302">
        <v>0.8417220424150258</v>
      </c>
      <c r="I145" s="302">
        <v>2.4724229614955502</v>
      </c>
      <c r="J145" s="302">
        <f>SUM(G145:I145)</f>
        <v>9.4481299477668799</v>
      </c>
      <c r="K145" s="303"/>
      <c r="L145" s="302">
        <v>7.4382958081407695</v>
      </c>
      <c r="M145" s="302">
        <v>1.0217154977177534</v>
      </c>
      <c r="N145" s="302">
        <v>2.8092830301503122</v>
      </c>
      <c r="O145" s="302">
        <f>SUM(L145:N145)</f>
        <v>11.269294336008834</v>
      </c>
    </row>
    <row r="146" spans="1:15" s="236" customFormat="1" x14ac:dyDescent="0.2">
      <c r="A146" s="237" t="str">
        <f>name!E$5</f>
        <v>Professional occupations</v>
      </c>
      <c r="B146" s="302">
        <v>5.0572361109597299</v>
      </c>
      <c r="C146" s="302">
        <v>0.20907570403133074</v>
      </c>
      <c r="D146" s="302">
        <v>0.71482117741764251</v>
      </c>
      <c r="E146" s="302">
        <f t="shared" ref="E146:E153" si="70">SUM(B146:D146)</f>
        <v>5.9811329924087033</v>
      </c>
      <c r="F146" s="303"/>
      <c r="G146" s="302">
        <v>7.294646168728149</v>
      </c>
      <c r="H146" s="302">
        <v>0.46110132808671339</v>
      </c>
      <c r="I146" s="302">
        <v>1.0473281602813502</v>
      </c>
      <c r="J146" s="302">
        <f t="shared" ref="J146:J148" si="71">SUM(G146:I146)</f>
        <v>8.8030756570962119</v>
      </c>
      <c r="K146" s="303"/>
      <c r="L146" s="302">
        <v>10.514624160991435</v>
      </c>
      <c r="M146" s="302">
        <v>0.56779983424606884</v>
      </c>
      <c r="N146" s="302">
        <v>0.87579454088210884</v>
      </c>
      <c r="O146" s="302">
        <f t="shared" ref="O146:O153" si="72">SUM(L146:N146)</f>
        <v>11.958218536119613</v>
      </c>
    </row>
    <row r="147" spans="1:15" s="236" customFormat="1" x14ac:dyDescent="0.2">
      <c r="A147" s="237" t="str">
        <f>name!E$6</f>
        <v>Associate professional occupations</v>
      </c>
      <c r="B147" s="302">
        <v>2.9027853433437039</v>
      </c>
      <c r="C147" s="302">
        <v>0.26108614928499418</v>
      </c>
      <c r="D147" s="302">
        <v>0.32983635161396002</v>
      </c>
      <c r="E147" s="302">
        <f t="shared" si="70"/>
        <v>3.4937078442426581</v>
      </c>
      <c r="F147" s="303"/>
      <c r="G147" s="302">
        <v>3.9476416417913742</v>
      </c>
      <c r="H147" s="302">
        <v>0.49286019801201325</v>
      </c>
      <c r="I147" s="302">
        <v>0.4208906214833994</v>
      </c>
      <c r="J147" s="302">
        <f t="shared" si="71"/>
        <v>4.8613924612867869</v>
      </c>
      <c r="K147" s="303"/>
      <c r="L147" s="302">
        <v>4.6118727530285284</v>
      </c>
      <c r="M147" s="302">
        <v>0.52315560504742098</v>
      </c>
      <c r="N147" s="302">
        <v>0.42234797515781519</v>
      </c>
      <c r="O147" s="302">
        <f t="shared" si="72"/>
        <v>5.5573763332337647</v>
      </c>
    </row>
    <row r="148" spans="1:15" s="236" customFormat="1" x14ac:dyDescent="0.2">
      <c r="A148" s="237" t="str">
        <f>name!E$7</f>
        <v>Administrative and secretarial occupations</v>
      </c>
      <c r="B148" s="302">
        <v>2.1579041377307555</v>
      </c>
      <c r="C148" s="302">
        <v>1.8636899171221286</v>
      </c>
      <c r="D148" s="302">
        <v>0.64673472086398986</v>
      </c>
      <c r="E148" s="302">
        <f t="shared" si="70"/>
        <v>4.6683287757168745</v>
      </c>
      <c r="F148" s="303"/>
      <c r="G148" s="302">
        <v>2.4518250944426461</v>
      </c>
      <c r="H148" s="302">
        <v>2.5037516787442029</v>
      </c>
      <c r="I148" s="302">
        <v>0.64247603336432779</v>
      </c>
      <c r="J148" s="302">
        <f t="shared" si="71"/>
        <v>5.5980528065511761</v>
      </c>
      <c r="K148" s="303"/>
      <c r="L148" s="302">
        <v>1.9912190688067943</v>
      </c>
      <c r="M148" s="302">
        <v>2.9752703446677202</v>
      </c>
      <c r="N148" s="302">
        <v>0.55649471942477935</v>
      </c>
      <c r="O148" s="302">
        <f t="shared" si="72"/>
        <v>5.5229841328992935</v>
      </c>
    </row>
    <row r="149" spans="1:15" s="236" customFormat="1" x14ac:dyDescent="0.2">
      <c r="A149" s="237" t="str">
        <f>name!E$8</f>
        <v>Skilled trades occupations</v>
      </c>
      <c r="B149" s="302">
        <v>8.1652286665847651</v>
      </c>
      <c r="C149" s="302">
        <v>0.52858974562182548</v>
      </c>
      <c r="D149" s="302">
        <v>16.559834514598069</v>
      </c>
      <c r="E149" s="302">
        <f t="shared" si="70"/>
        <v>25.253652926804662</v>
      </c>
      <c r="F149" s="303"/>
      <c r="G149" s="302">
        <v>7.3317617922782521</v>
      </c>
      <c r="H149" s="302">
        <v>0.53352727390495902</v>
      </c>
      <c r="I149" s="302">
        <v>16.288838203328613</v>
      </c>
      <c r="J149" s="302">
        <f>SUM(G149:I149)</f>
        <v>24.154127269511825</v>
      </c>
      <c r="K149" s="303"/>
      <c r="L149" s="302">
        <v>6.0100648869903486</v>
      </c>
      <c r="M149" s="302">
        <v>0.99692036540186457</v>
      </c>
      <c r="N149" s="302">
        <v>19.601830909985679</v>
      </c>
      <c r="O149" s="302">
        <f t="shared" si="72"/>
        <v>26.608816162377892</v>
      </c>
    </row>
    <row r="150" spans="1:15" s="236" customFormat="1" x14ac:dyDescent="0.2">
      <c r="A150" s="237" t="str">
        <f>name!E$9</f>
        <v>Caring, leisure and other service occupations</v>
      </c>
      <c r="B150" s="302">
        <v>0.12840823631072051</v>
      </c>
      <c r="C150" s="302">
        <v>2.8631616702579615E-2</v>
      </c>
      <c r="D150" s="302">
        <v>1.9658958490192148E-2</v>
      </c>
      <c r="E150" s="302">
        <f t="shared" si="70"/>
        <v>0.17669881150349226</v>
      </c>
      <c r="F150" s="303"/>
      <c r="G150" s="302">
        <v>0.15833889885203745</v>
      </c>
      <c r="H150" s="302">
        <v>5.0174471598089382E-2</v>
      </c>
      <c r="I150" s="302">
        <v>2.6116402068702929E-2</v>
      </c>
      <c r="J150" s="302">
        <f t="shared" ref="J150:J153" si="73">SUM(G150:I150)</f>
        <v>0.23462977251882977</v>
      </c>
      <c r="K150" s="303"/>
      <c r="L150" s="302">
        <v>0.18939127002668141</v>
      </c>
      <c r="M150" s="302">
        <v>4.3002078627733226E-2</v>
      </c>
      <c r="N150" s="302">
        <v>4.793456324283106E-2</v>
      </c>
      <c r="O150" s="302">
        <f t="shared" si="72"/>
        <v>0.28032791189724571</v>
      </c>
    </row>
    <row r="151" spans="1:15" s="236" customFormat="1" x14ac:dyDescent="0.2">
      <c r="A151" s="237" t="str">
        <f>name!E$10</f>
        <v>Sales and customer service occupations</v>
      </c>
      <c r="B151" s="302">
        <v>0.50598062231114382</v>
      </c>
      <c r="C151" s="302">
        <v>0.21486913351305764</v>
      </c>
      <c r="D151" s="302">
        <v>0.11382577231015757</v>
      </c>
      <c r="E151" s="302">
        <f t="shared" si="70"/>
        <v>0.83467552813435908</v>
      </c>
      <c r="F151" s="303"/>
      <c r="G151" s="302">
        <v>0.58013188937876159</v>
      </c>
      <c r="H151" s="302">
        <v>0.34696955888553876</v>
      </c>
      <c r="I151" s="302">
        <v>0.12607771387042005</v>
      </c>
      <c r="J151" s="302">
        <f t="shared" si="73"/>
        <v>1.0531791621347204</v>
      </c>
      <c r="K151" s="303"/>
      <c r="L151" s="302">
        <v>0.76118211723156215</v>
      </c>
      <c r="M151" s="302">
        <v>0.44467972617218865</v>
      </c>
      <c r="N151" s="302">
        <v>0.14823828060159078</v>
      </c>
      <c r="O151" s="302">
        <f t="shared" si="72"/>
        <v>1.3541001240053416</v>
      </c>
    </row>
    <row r="152" spans="1:15" s="236" customFormat="1" x14ac:dyDescent="0.2">
      <c r="A152" s="237" t="str">
        <f>name!E$11</f>
        <v>Process, plant and machine operatives</v>
      </c>
      <c r="B152" s="302">
        <v>3.315861286342864</v>
      </c>
      <c r="C152" s="302">
        <v>0.11705735395713882</v>
      </c>
      <c r="D152" s="302">
        <v>1.0899342372361707</v>
      </c>
      <c r="E152" s="302">
        <f t="shared" si="70"/>
        <v>4.5228528775361738</v>
      </c>
      <c r="F152" s="303"/>
      <c r="G152" s="302">
        <v>2.9944642656281615</v>
      </c>
      <c r="H152" s="302">
        <v>0.22881002116949326</v>
      </c>
      <c r="I152" s="302">
        <v>1.4737793662464542</v>
      </c>
      <c r="J152" s="302">
        <f t="shared" si="73"/>
        <v>4.6970536530441089</v>
      </c>
      <c r="K152" s="303"/>
      <c r="L152" s="302">
        <v>3.6750265893124934</v>
      </c>
      <c r="M152" s="302">
        <v>0.30052980042210392</v>
      </c>
      <c r="N152" s="302">
        <v>2.2659149331533763</v>
      </c>
      <c r="O152" s="302">
        <f t="shared" si="72"/>
        <v>6.241471322887973</v>
      </c>
    </row>
    <row r="153" spans="1:15" s="236" customFormat="1" x14ac:dyDescent="0.2">
      <c r="A153" s="237" t="str">
        <f>name!E$12</f>
        <v>Elementary occupations</v>
      </c>
      <c r="B153" s="302">
        <v>1.5567536793381032</v>
      </c>
      <c r="C153" s="302">
        <v>0.40591618676937141</v>
      </c>
      <c r="D153" s="302">
        <v>1.2919947654143418</v>
      </c>
      <c r="E153" s="302">
        <f t="shared" si="70"/>
        <v>3.2546646315218162</v>
      </c>
      <c r="F153" s="303"/>
      <c r="G153" s="302">
        <v>1.3649125790240377</v>
      </c>
      <c r="H153" s="302">
        <v>0.54168322751268305</v>
      </c>
      <c r="I153" s="302">
        <v>1.4227634635526378</v>
      </c>
      <c r="J153" s="302">
        <f t="shared" si="73"/>
        <v>3.3293592700893586</v>
      </c>
      <c r="K153" s="303"/>
      <c r="L153" s="302">
        <v>1.1380614580236379</v>
      </c>
      <c r="M153" s="302">
        <v>0.42211072644985925</v>
      </c>
      <c r="N153" s="302">
        <v>2.1022389560965222</v>
      </c>
      <c r="O153" s="302">
        <f t="shared" si="72"/>
        <v>3.6624111405700193</v>
      </c>
    </row>
    <row r="154" spans="1:15" s="236" customFormat="1" x14ac:dyDescent="0.2">
      <c r="A154" s="237"/>
      <c r="B154" s="302"/>
      <c r="C154" s="302"/>
      <c r="D154" s="302"/>
      <c r="E154" s="302"/>
      <c r="F154" s="303"/>
      <c r="G154" s="302"/>
      <c r="H154" s="302"/>
      <c r="I154" s="302"/>
      <c r="J154" s="302"/>
      <c r="K154" s="303"/>
      <c r="L154" s="302"/>
      <c r="M154" s="302"/>
      <c r="N154" s="302"/>
      <c r="O154" s="302"/>
    </row>
    <row r="155" spans="1:15" s="236" customFormat="1" x14ac:dyDescent="0.2">
      <c r="A155" s="244" t="s">
        <v>33</v>
      </c>
      <c r="B155" s="311">
        <f>SUM(B145:B153)</f>
        <v>28.573178515709419</v>
      </c>
      <c r="C155" s="311">
        <f t="shared" ref="C155:E155" si="74">SUM(C145:C153)</f>
        <v>3.9675617473349041</v>
      </c>
      <c r="D155" s="311">
        <f t="shared" si="74"/>
        <v>22.223259736955796</v>
      </c>
      <c r="E155" s="311">
        <f t="shared" si="74"/>
        <v>54.764000000000124</v>
      </c>
      <c r="F155" s="311"/>
      <c r="G155" s="311">
        <f t="shared" ref="G155:J155" si="75">SUM(G145:G153)</f>
        <v>32.257707273979719</v>
      </c>
      <c r="H155" s="311">
        <f t="shared" si="75"/>
        <v>6.0005998003287182</v>
      </c>
      <c r="I155" s="311">
        <f t="shared" si="75"/>
        <v>23.920692925691455</v>
      </c>
      <c r="J155" s="311">
        <f t="shared" si="75"/>
        <v>62.178999999999895</v>
      </c>
      <c r="K155" s="311"/>
      <c r="L155" s="311">
        <f t="shared" ref="L155:O155" si="76">SUM(L145:L153)</f>
        <v>36.329738112552249</v>
      </c>
      <c r="M155" s="311">
        <f t="shared" si="76"/>
        <v>7.2951839787527133</v>
      </c>
      <c r="N155" s="311">
        <f t="shared" si="76"/>
        <v>28.83007790869501</v>
      </c>
      <c r="O155" s="311">
        <f t="shared" si="76"/>
        <v>72.45499999999997</v>
      </c>
    </row>
    <row r="156" spans="1:15" s="236" customFormat="1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37"/>
      <c r="M156" s="237"/>
      <c r="N156" s="240"/>
    </row>
    <row r="157" spans="1:15" s="236" customFormat="1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37"/>
      <c r="M157" s="237"/>
      <c r="N157" s="240"/>
      <c r="O157" s="251" t="s">
        <v>36</v>
      </c>
    </row>
    <row r="158" spans="1:15" s="236" customFormat="1" x14ac:dyDescent="0.2">
      <c r="A158" s="242"/>
      <c r="B158" s="242"/>
      <c r="C158" s="242"/>
      <c r="D158" s="242"/>
      <c r="E158" s="242"/>
      <c r="F158" s="242"/>
      <c r="G158" s="242"/>
      <c r="H158" s="242"/>
      <c r="I158" s="242"/>
      <c r="J158" s="242"/>
      <c r="K158" s="242"/>
      <c r="L158" s="242"/>
      <c r="M158" s="242"/>
      <c r="N158" s="242"/>
      <c r="O158" s="242"/>
    </row>
    <row r="159" spans="1:15" s="236" customFormat="1" x14ac:dyDescent="0.2">
      <c r="A159" s="241" t="str">
        <f>name!B12</f>
        <v>Wholesale and retail trade</v>
      </c>
      <c r="B159" s="377">
        <f>$B$6</f>
        <v>2015</v>
      </c>
      <c r="C159" s="377"/>
      <c r="D159" s="377"/>
      <c r="E159" s="377"/>
      <c r="F159" s="263"/>
      <c r="G159" s="377">
        <f>$G$6</f>
        <v>2020</v>
      </c>
      <c r="H159" s="377"/>
      <c r="I159" s="377"/>
      <c r="J159" s="377"/>
      <c r="K159" s="263"/>
      <c r="L159" s="377">
        <f>$L$6</f>
        <v>2035</v>
      </c>
      <c r="M159" s="377"/>
      <c r="N159" s="377"/>
      <c r="O159" s="377"/>
    </row>
    <row r="160" spans="1:15" s="236" customFormat="1" x14ac:dyDescent="0.2">
      <c r="A160" s="254"/>
      <c r="B160" s="268" t="str">
        <f>$B$7</f>
        <v>FT</v>
      </c>
      <c r="C160" s="268" t="str">
        <f>$C$7</f>
        <v>PT</v>
      </c>
      <c r="D160" s="268" t="str">
        <f>$D$7</f>
        <v>SE</v>
      </c>
      <c r="E160" s="268" t="str">
        <f>$E$7</f>
        <v>Total</v>
      </c>
      <c r="F160" s="268"/>
      <c r="G160" s="268" t="str">
        <f>$G$7</f>
        <v>FT</v>
      </c>
      <c r="H160" s="268" t="str">
        <f>$H$7</f>
        <v>PT</v>
      </c>
      <c r="I160" s="268" t="str">
        <f>$I$7</f>
        <v>SE</v>
      </c>
      <c r="J160" s="268" t="str">
        <f>$J$7</f>
        <v>Total</v>
      </c>
      <c r="K160" s="268"/>
      <c r="L160" s="268" t="str">
        <f>$L$7</f>
        <v>FT</v>
      </c>
      <c r="M160" s="268" t="str">
        <f>$M$7</f>
        <v>PT</v>
      </c>
      <c r="N160" s="268" t="str">
        <f>$N$7</f>
        <v>SE</v>
      </c>
      <c r="O160" s="268" t="str">
        <f>$O$7</f>
        <v>Total</v>
      </c>
    </row>
    <row r="161" spans="1:15" s="236" customFormat="1" x14ac:dyDescent="0.2">
      <c r="A161" s="258"/>
      <c r="B161" s="239"/>
      <c r="C161" s="239"/>
      <c r="D161" s="239"/>
      <c r="E161" s="239"/>
      <c r="F161" s="239"/>
      <c r="G161" s="239"/>
      <c r="H161" s="239"/>
      <c r="I161" s="239"/>
      <c r="J161" s="239"/>
      <c r="K161" s="239"/>
      <c r="L161" s="239"/>
      <c r="M161" s="239"/>
      <c r="N161" s="239"/>
      <c r="O161" s="239"/>
    </row>
    <row r="162" spans="1:15" s="236" customFormat="1" x14ac:dyDescent="0.2">
      <c r="A162" s="237" t="str">
        <f>name!E$4</f>
        <v>Managers, directors and senior officials</v>
      </c>
      <c r="B162" s="302">
        <v>13.959953343223933</v>
      </c>
      <c r="C162" s="302">
        <v>1.1511938301597595</v>
      </c>
      <c r="D162" s="302">
        <v>3.0422110658969248</v>
      </c>
      <c r="E162" s="302">
        <f>SUM(B162:D162)</f>
        <v>18.153358239280617</v>
      </c>
      <c r="F162" s="303"/>
      <c r="G162" s="302">
        <v>17.027707513637491</v>
      </c>
      <c r="H162" s="302">
        <v>2.0455819628106071</v>
      </c>
      <c r="I162" s="302">
        <v>3.0708351668487968</v>
      </c>
      <c r="J162" s="302">
        <f>SUM(G162:I162)</f>
        <v>22.144124643296898</v>
      </c>
      <c r="K162" s="303"/>
      <c r="L162" s="302">
        <v>20.370910412826678</v>
      </c>
      <c r="M162" s="302">
        <v>2.3053927031085766</v>
      </c>
      <c r="N162" s="302">
        <v>3.7277039676787824</v>
      </c>
      <c r="O162" s="302">
        <f>SUM(L162:N162)</f>
        <v>26.404007083614037</v>
      </c>
    </row>
    <row r="163" spans="1:15" s="236" customFormat="1" x14ac:dyDescent="0.2">
      <c r="A163" s="237" t="str">
        <f>name!E$5</f>
        <v>Professional occupations</v>
      </c>
      <c r="B163" s="302">
        <v>8.748330367985675</v>
      </c>
      <c r="C163" s="302">
        <v>1.242810885154676</v>
      </c>
      <c r="D163" s="302">
        <v>0.64682239713417433</v>
      </c>
      <c r="E163" s="302">
        <f t="shared" ref="E163:E170" si="77">SUM(B163:D163)</f>
        <v>10.637963650274525</v>
      </c>
      <c r="F163" s="303"/>
      <c r="G163" s="302">
        <v>12.174648499857907</v>
      </c>
      <c r="H163" s="302">
        <v>1.9420764108481781</v>
      </c>
      <c r="I163" s="302">
        <v>0.63649377179001654</v>
      </c>
      <c r="J163" s="302">
        <f t="shared" ref="J163:J165" si="78">SUM(G163:I163)</f>
        <v>14.753218682496103</v>
      </c>
      <c r="K163" s="303"/>
      <c r="L163" s="302">
        <v>16.014471311789347</v>
      </c>
      <c r="M163" s="302">
        <v>2.1905171725617483</v>
      </c>
      <c r="N163" s="302">
        <v>0.48932561429795435</v>
      </c>
      <c r="O163" s="302">
        <f t="shared" ref="O163:O170" si="79">SUM(L163:N163)</f>
        <v>18.694314098649048</v>
      </c>
    </row>
    <row r="164" spans="1:15" s="236" customFormat="1" x14ac:dyDescent="0.2">
      <c r="A164" s="237" t="str">
        <f>name!E$6</f>
        <v>Associate professional occupations</v>
      </c>
      <c r="B164" s="302">
        <v>8.9752341663675193</v>
      </c>
      <c r="C164" s="302">
        <v>2.0987086519256661</v>
      </c>
      <c r="D164" s="302">
        <v>0.61740503773505895</v>
      </c>
      <c r="E164" s="302">
        <f t="shared" si="77"/>
        <v>11.691347856028244</v>
      </c>
      <c r="F164" s="303"/>
      <c r="G164" s="302">
        <v>11.150705335090384</v>
      </c>
      <c r="H164" s="302">
        <v>2.7338032244206181</v>
      </c>
      <c r="I164" s="302">
        <v>0.49904499647113493</v>
      </c>
      <c r="J164" s="302">
        <f t="shared" si="78"/>
        <v>14.383553555982136</v>
      </c>
      <c r="K164" s="303"/>
      <c r="L164" s="302">
        <v>12.379944776101738</v>
      </c>
      <c r="M164" s="302">
        <v>2.6870134227001663</v>
      </c>
      <c r="N164" s="302">
        <v>0.43495288095640755</v>
      </c>
      <c r="O164" s="302">
        <f t="shared" si="79"/>
        <v>15.501911079758312</v>
      </c>
    </row>
    <row r="165" spans="1:15" s="236" customFormat="1" x14ac:dyDescent="0.2">
      <c r="A165" s="237" t="str">
        <f>name!E$7</f>
        <v>Administrative and secretarial occupations</v>
      </c>
      <c r="B165" s="302">
        <v>8.8737742316311845</v>
      </c>
      <c r="C165" s="302">
        <v>3.7757457213735059</v>
      </c>
      <c r="D165" s="302">
        <v>0.2490729139866521</v>
      </c>
      <c r="E165" s="302">
        <f t="shared" si="77"/>
        <v>12.898592866991342</v>
      </c>
      <c r="F165" s="303"/>
      <c r="G165" s="302">
        <v>9.6631391585330437</v>
      </c>
      <c r="H165" s="302">
        <v>4.2562210892398795</v>
      </c>
      <c r="I165" s="302">
        <v>0.22375163756656374</v>
      </c>
      <c r="J165" s="302">
        <f t="shared" si="78"/>
        <v>14.143111885339486</v>
      </c>
      <c r="K165" s="303"/>
      <c r="L165" s="302">
        <v>9.0651343370424495</v>
      </c>
      <c r="M165" s="302">
        <v>3.8663702342465931</v>
      </c>
      <c r="N165" s="302">
        <v>0.19965069928827323</v>
      </c>
      <c r="O165" s="302">
        <f t="shared" si="79"/>
        <v>13.131155270577317</v>
      </c>
    </row>
    <row r="166" spans="1:15" s="236" customFormat="1" x14ac:dyDescent="0.2">
      <c r="A166" s="237" t="str">
        <f>name!E$8</f>
        <v>Skilled trades occupations</v>
      </c>
      <c r="B166" s="302">
        <v>7.6580603096696995</v>
      </c>
      <c r="C166" s="302">
        <v>1.3910846132519934</v>
      </c>
      <c r="D166" s="302">
        <v>1.5145838808780545</v>
      </c>
      <c r="E166" s="302">
        <f t="shared" si="77"/>
        <v>10.563728803799748</v>
      </c>
      <c r="F166" s="303"/>
      <c r="G166" s="302">
        <v>7.1487101575772565</v>
      </c>
      <c r="H166" s="302">
        <v>1.2499380798871675</v>
      </c>
      <c r="I166" s="302">
        <v>1.3107481523997033</v>
      </c>
      <c r="J166" s="302">
        <f>SUM(G166:I166)</f>
        <v>9.7093963898641285</v>
      </c>
      <c r="K166" s="303"/>
      <c r="L166" s="302">
        <v>7.0060218099629008</v>
      </c>
      <c r="M166" s="302">
        <v>1.312785089577708</v>
      </c>
      <c r="N166" s="302">
        <v>1.4375454127717011</v>
      </c>
      <c r="O166" s="302">
        <f t="shared" si="79"/>
        <v>9.7563523123123108</v>
      </c>
    </row>
    <row r="167" spans="1:15" s="236" customFormat="1" x14ac:dyDescent="0.2">
      <c r="A167" s="237" t="str">
        <f>name!E$9</f>
        <v>Caring, leisure and other service occupations</v>
      </c>
      <c r="B167" s="302">
        <v>0.93031521793209548</v>
      </c>
      <c r="C167" s="302">
        <v>0.36715075754707238</v>
      </c>
      <c r="D167" s="302">
        <v>0.12778317810299766</v>
      </c>
      <c r="E167" s="302">
        <f t="shared" si="77"/>
        <v>1.4252491535821656</v>
      </c>
      <c r="F167" s="303"/>
      <c r="G167" s="302">
        <v>1.0405014617594421</v>
      </c>
      <c r="H167" s="302">
        <v>0.36261628719088584</v>
      </c>
      <c r="I167" s="302">
        <v>0.15044996448741224</v>
      </c>
      <c r="J167" s="302">
        <f t="shared" ref="J167:J170" si="80">SUM(G167:I167)</f>
        <v>1.5535677134377401</v>
      </c>
      <c r="K167" s="303"/>
      <c r="L167" s="302">
        <v>1.4540240072036075</v>
      </c>
      <c r="M167" s="302">
        <v>0.29194868380875777</v>
      </c>
      <c r="N167" s="302">
        <v>0.2523214068849019</v>
      </c>
      <c r="O167" s="302">
        <f t="shared" si="79"/>
        <v>1.9982940978972672</v>
      </c>
    </row>
    <row r="168" spans="1:15" s="236" customFormat="1" x14ac:dyDescent="0.2">
      <c r="A168" s="237" t="str">
        <f>name!E$10</f>
        <v>Sales and customer service occupations</v>
      </c>
      <c r="B168" s="302">
        <v>10.109486249006942</v>
      </c>
      <c r="C168" s="302">
        <v>28.915358041058639</v>
      </c>
      <c r="D168" s="302">
        <v>1.4795008435118473</v>
      </c>
      <c r="E168" s="302">
        <f t="shared" si="77"/>
        <v>40.504345133577431</v>
      </c>
      <c r="F168" s="303"/>
      <c r="G168" s="302">
        <v>9.8961837753586313</v>
      </c>
      <c r="H168" s="302">
        <v>31.108919332387135</v>
      </c>
      <c r="I168" s="302">
        <v>1.0051710886027654</v>
      </c>
      <c r="J168" s="302">
        <f t="shared" si="80"/>
        <v>42.010274196348533</v>
      </c>
      <c r="K168" s="303"/>
      <c r="L168" s="302">
        <v>8.4053320810288099</v>
      </c>
      <c r="M168" s="302">
        <v>28.879929028384112</v>
      </c>
      <c r="N168" s="302">
        <v>0.80044513609883983</v>
      </c>
      <c r="O168" s="302">
        <f t="shared" si="79"/>
        <v>38.085706245511759</v>
      </c>
    </row>
    <row r="169" spans="1:15" s="236" customFormat="1" x14ac:dyDescent="0.2">
      <c r="A169" s="237" t="str">
        <f>name!E$11</f>
        <v>Process, plant and machine operatives</v>
      </c>
      <c r="B169" s="302">
        <v>6.2988417323471113</v>
      </c>
      <c r="C169" s="302">
        <v>1.1037418977073146</v>
      </c>
      <c r="D169" s="302">
        <v>0.14866561776206927</v>
      </c>
      <c r="E169" s="302">
        <f t="shared" si="77"/>
        <v>7.5512492478164956</v>
      </c>
      <c r="F169" s="303"/>
      <c r="G169" s="302">
        <v>5.411885828842153</v>
      </c>
      <c r="H169" s="302">
        <v>1.1981124378471708</v>
      </c>
      <c r="I169" s="302">
        <v>0.14564005229625041</v>
      </c>
      <c r="J169" s="302">
        <f t="shared" si="80"/>
        <v>6.7556383189855742</v>
      </c>
      <c r="K169" s="303"/>
      <c r="L169" s="302">
        <v>5.7717628120189044</v>
      </c>
      <c r="M169" s="302">
        <v>1.6431215918273956</v>
      </c>
      <c r="N169" s="302">
        <v>0.18861613849223124</v>
      </c>
      <c r="O169" s="302">
        <f t="shared" si="79"/>
        <v>7.6035005423385318</v>
      </c>
    </row>
    <row r="170" spans="1:15" s="236" customFormat="1" x14ac:dyDescent="0.2">
      <c r="A170" s="237" t="str">
        <f>name!E$12</f>
        <v>Elementary occupations</v>
      </c>
      <c r="B170" s="302">
        <v>6.3058431264479111</v>
      </c>
      <c r="C170" s="302">
        <v>7.6793644772208598</v>
      </c>
      <c r="D170" s="302">
        <v>0.12395744498051932</v>
      </c>
      <c r="E170" s="302">
        <f t="shared" si="77"/>
        <v>14.10916504864929</v>
      </c>
      <c r="F170" s="303"/>
      <c r="G170" s="302">
        <v>5.3521403924481836</v>
      </c>
      <c r="H170" s="302">
        <v>6.9025618138960576</v>
      </c>
      <c r="I170" s="302">
        <v>9.141240790510248E-2</v>
      </c>
      <c r="J170" s="302">
        <f t="shared" si="80"/>
        <v>12.346114614249343</v>
      </c>
      <c r="K170" s="303"/>
      <c r="L170" s="302">
        <v>4.6075112977224979</v>
      </c>
      <c r="M170" s="302">
        <v>5.5390611116015922</v>
      </c>
      <c r="N170" s="302">
        <v>0.10818686001724093</v>
      </c>
      <c r="O170" s="302">
        <f t="shared" si="79"/>
        <v>10.254759269341331</v>
      </c>
    </row>
    <row r="171" spans="1:15" s="236" customFormat="1" x14ac:dyDescent="0.2">
      <c r="A171" s="237"/>
      <c r="B171" s="302"/>
      <c r="C171" s="302"/>
      <c r="D171" s="302"/>
      <c r="E171" s="302"/>
      <c r="F171" s="303"/>
      <c r="G171" s="302"/>
      <c r="H171" s="302"/>
      <c r="I171" s="302"/>
      <c r="J171" s="302"/>
      <c r="K171" s="303"/>
      <c r="L171" s="302"/>
      <c r="M171" s="302"/>
      <c r="N171" s="302"/>
      <c r="O171" s="302"/>
    </row>
    <row r="172" spans="1:15" s="236" customFormat="1" x14ac:dyDescent="0.2">
      <c r="A172" s="244" t="s">
        <v>33</v>
      </c>
      <c r="B172" s="311">
        <f>SUM(B162:B170)</f>
        <v>71.859838744612077</v>
      </c>
      <c r="C172" s="311">
        <f t="shared" ref="C172:E172" si="81">SUM(C162:C170)</f>
        <v>47.725158875399487</v>
      </c>
      <c r="D172" s="311">
        <f t="shared" si="81"/>
        <v>7.9500023799882991</v>
      </c>
      <c r="E172" s="311">
        <f t="shared" si="81"/>
        <v>127.53499999999987</v>
      </c>
      <c r="F172" s="311"/>
      <c r="G172" s="311">
        <f t="shared" ref="G172:J172" si="82">SUM(G162:G170)</f>
        <v>78.865622123104487</v>
      </c>
      <c r="H172" s="311">
        <f t="shared" si="82"/>
        <v>51.799830638527702</v>
      </c>
      <c r="I172" s="311">
        <f t="shared" si="82"/>
        <v>7.1335472383677452</v>
      </c>
      <c r="J172" s="311">
        <f t="shared" si="82"/>
        <v>137.79899999999995</v>
      </c>
      <c r="K172" s="311"/>
      <c r="L172" s="311">
        <f t="shared" ref="L172:O172" si="83">SUM(L162:L170)</f>
        <v>85.075112845696935</v>
      </c>
      <c r="M172" s="311">
        <f t="shared" si="83"/>
        <v>48.716139037816653</v>
      </c>
      <c r="N172" s="311">
        <f t="shared" si="83"/>
        <v>7.638748116486334</v>
      </c>
      <c r="O172" s="311">
        <f t="shared" si="83"/>
        <v>141.42999999999992</v>
      </c>
    </row>
    <row r="173" spans="1:15" s="236" customFormat="1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37"/>
      <c r="M173" s="237"/>
      <c r="N173" s="240"/>
    </row>
    <row r="174" spans="1:15" s="236" customFormat="1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37"/>
      <c r="M174" s="237"/>
      <c r="N174" s="240"/>
      <c r="O174" s="251" t="s">
        <v>36</v>
      </c>
    </row>
    <row r="175" spans="1:15" s="236" customFormat="1" x14ac:dyDescent="0.2">
      <c r="A175" s="242"/>
      <c r="B175" s="242"/>
      <c r="C175" s="242"/>
      <c r="D175" s="242"/>
      <c r="E175" s="242"/>
      <c r="F175" s="242"/>
      <c r="G175" s="242"/>
      <c r="H175" s="242"/>
      <c r="I175" s="242"/>
      <c r="J175" s="242"/>
      <c r="K175" s="242"/>
      <c r="L175" s="242"/>
      <c r="M175" s="242"/>
      <c r="N175" s="242"/>
      <c r="O175" s="242"/>
    </row>
    <row r="176" spans="1:15" s="236" customFormat="1" x14ac:dyDescent="0.2">
      <c r="A176" s="241" t="str">
        <f>name!B13</f>
        <v>Transport and storage</v>
      </c>
      <c r="B176" s="377">
        <f>$B$6</f>
        <v>2015</v>
      </c>
      <c r="C176" s="377"/>
      <c r="D176" s="377"/>
      <c r="E176" s="377"/>
      <c r="F176" s="263"/>
      <c r="G176" s="377">
        <f>$G$6</f>
        <v>2020</v>
      </c>
      <c r="H176" s="377"/>
      <c r="I176" s="377"/>
      <c r="J176" s="377"/>
      <c r="K176" s="263"/>
      <c r="L176" s="377">
        <f>$L$6</f>
        <v>2035</v>
      </c>
      <c r="M176" s="377"/>
      <c r="N176" s="377"/>
      <c r="O176" s="377"/>
    </row>
    <row r="177" spans="1:15" s="236" customFormat="1" x14ac:dyDescent="0.2">
      <c r="A177" s="254"/>
      <c r="B177" s="268" t="str">
        <f>$B$7</f>
        <v>FT</v>
      </c>
      <c r="C177" s="268" t="str">
        <f>$C$7</f>
        <v>PT</v>
      </c>
      <c r="D177" s="268" t="str">
        <f>$D$7</f>
        <v>SE</v>
      </c>
      <c r="E177" s="268" t="str">
        <f>$E$7</f>
        <v>Total</v>
      </c>
      <c r="F177" s="268"/>
      <c r="G177" s="268" t="str">
        <f>$G$7</f>
        <v>FT</v>
      </c>
      <c r="H177" s="268" t="str">
        <f>$H$7</f>
        <v>PT</v>
      </c>
      <c r="I177" s="268" t="str">
        <f>$I$7</f>
        <v>SE</v>
      </c>
      <c r="J177" s="268" t="str">
        <f>$J$7</f>
        <v>Total</v>
      </c>
      <c r="K177" s="268"/>
      <c r="L177" s="268" t="str">
        <f>$L$7</f>
        <v>FT</v>
      </c>
      <c r="M177" s="268" t="str">
        <f>$M$7</f>
        <v>PT</v>
      </c>
      <c r="N177" s="268" t="str">
        <f>$N$7</f>
        <v>SE</v>
      </c>
      <c r="O177" s="268" t="str">
        <f>$O$7</f>
        <v>Total</v>
      </c>
    </row>
    <row r="178" spans="1:15" s="236" customFormat="1" x14ac:dyDescent="0.2">
      <c r="A178" s="258"/>
      <c r="B178" s="239"/>
      <c r="C178" s="239"/>
      <c r="D178" s="239"/>
      <c r="E178" s="239"/>
      <c r="F178" s="239"/>
      <c r="G178" s="239"/>
      <c r="H178" s="239"/>
      <c r="I178" s="239"/>
      <c r="J178" s="239"/>
      <c r="K178" s="239"/>
      <c r="L178" s="239"/>
      <c r="M178" s="239"/>
      <c r="N178" s="239"/>
      <c r="O178" s="239"/>
    </row>
    <row r="179" spans="1:15" s="236" customFormat="1" x14ac:dyDescent="0.2">
      <c r="A179" s="237" t="str">
        <f>name!E$4</f>
        <v>Managers, directors and senior officials</v>
      </c>
      <c r="B179" s="302">
        <v>1.9342196642422418</v>
      </c>
      <c r="C179" s="302">
        <v>0.11614894253240943</v>
      </c>
      <c r="D179" s="302">
        <v>0.59638729615771158</v>
      </c>
      <c r="E179" s="302">
        <f>SUM(B179:D179)</f>
        <v>2.6467559029323628</v>
      </c>
      <c r="F179" s="303"/>
      <c r="G179" s="302">
        <v>2.2178555827136761</v>
      </c>
      <c r="H179" s="302">
        <v>0.24635675651963185</v>
      </c>
      <c r="I179" s="302">
        <v>0.45076012379007774</v>
      </c>
      <c r="J179" s="302">
        <f>SUM(G179:I179)</f>
        <v>2.9149724630233855</v>
      </c>
      <c r="K179" s="303"/>
      <c r="L179" s="302">
        <v>2.3680981503929797</v>
      </c>
      <c r="M179" s="302">
        <v>0.32379555539756388</v>
      </c>
      <c r="N179" s="302">
        <v>0.43716683863136802</v>
      </c>
      <c r="O179" s="302">
        <f>SUM(L179:N179)</f>
        <v>3.1290605444219115</v>
      </c>
    </row>
    <row r="180" spans="1:15" s="236" customFormat="1" x14ac:dyDescent="0.2">
      <c r="A180" s="237" t="str">
        <f>name!E$5</f>
        <v>Professional occupations</v>
      </c>
      <c r="B180" s="302">
        <v>1.6742806745649315</v>
      </c>
      <c r="C180" s="302">
        <v>8.9766784083235476E-2</v>
      </c>
      <c r="D180" s="302">
        <v>0.18038856592751823</v>
      </c>
      <c r="E180" s="302">
        <f t="shared" ref="E180:E187" si="84">SUM(B180:D180)</f>
        <v>1.9444360245756851</v>
      </c>
      <c r="F180" s="303"/>
      <c r="G180" s="302">
        <v>2.4465559346579471</v>
      </c>
      <c r="H180" s="302">
        <v>0.18817356784675482</v>
      </c>
      <c r="I180" s="302">
        <v>0.13305418617600143</v>
      </c>
      <c r="J180" s="302">
        <f t="shared" ref="J180:J182" si="85">SUM(G180:I180)</f>
        <v>2.7677836886807032</v>
      </c>
      <c r="K180" s="303"/>
      <c r="L180" s="302">
        <v>3.476368850494004</v>
      </c>
      <c r="M180" s="302">
        <v>0.26836205998636747</v>
      </c>
      <c r="N180" s="302">
        <v>0.10357864072831877</v>
      </c>
      <c r="O180" s="302">
        <f t="shared" ref="O180:O187" si="86">SUM(L180:N180)</f>
        <v>3.8483095512086902</v>
      </c>
    </row>
    <row r="181" spans="1:15" s="236" customFormat="1" x14ac:dyDescent="0.2">
      <c r="A181" s="237" t="str">
        <f>name!E$6</f>
        <v>Associate professional occupations</v>
      </c>
      <c r="B181" s="302">
        <v>1.9411815732199844</v>
      </c>
      <c r="C181" s="302">
        <v>0.14709058172343684</v>
      </c>
      <c r="D181" s="302">
        <v>0.14527276413683676</v>
      </c>
      <c r="E181" s="302">
        <f t="shared" si="84"/>
        <v>2.2335449190802579</v>
      </c>
      <c r="F181" s="303"/>
      <c r="G181" s="302">
        <v>2.6954689911065857</v>
      </c>
      <c r="H181" s="302">
        <v>0.24418944848067975</v>
      </c>
      <c r="I181" s="302">
        <v>0.110069785211085</v>
      </c>
      <c r="J181" s="302">
        <f t="shared" si="85"/>
        <v>3.0497282247983502</v>
      </c>
      <c r="K181" s="303"/>
      <c r="L181" s="302">
        <v>3.3426820629012464</v>
      </c>
      <c r="M181" s="302">
        <v>0.28145792287856547</v>
      </c>
      <c r="N181" s="302">
        <v>8.4604333947579421E-2</v>
      </c>
      <c r="O181" s="302">
        <f t="shared" si="86"/>
        <v>3.7087443197273915</v>
      </c>
    </row>
    <row r="182" spans="1:15" s="236" customFormat="1" x14ac:dyDescent="0.2">
      <c r="A182" s="237" t="str">
        <f>name!E$7</f>
        <v>Administrative and secretarial occupations</v>
      </c>
      <c r="B182" s="302">
        <v>2.1938102241763429</v>
      </c>
      <c r="C182" s="302">
        <v>0.67568111641301098</v>
      </c>
      <c r="D182" s="302">
        <v>0.10541074304152336</v>
      </c>
      <c r="E182" s="302">
        <f t="shared" si="84"/>
        <v>2.9749020836308775</v>
      </c>
      <c r="F182" s="303"/>
      <c r="G182" s="302">
        <v>2.3545794154827608</v>
      </c>
      <c r="H182" s="302">
        <v>0.96643100548661964</v>
      </c>
      <c r="I182" s="302">
        <v>6.3393492464699497E-2</v>
      </c>
      <c r="J182" s="302">
        <f t="shared" si="85"/>
        <v>3.3844039134340802</v>
      </c>
      <c r="K182" s="303"/>
      <c r="L182" s="302">
        <v>2.0434100992236188</v>
      </c>
      <c r="M182" s="302">
        <v>0.92916951832545491</v>
      </c>
      <c r="N182" s="302">
        <v>5.6075562449068049E-2</v>
      </c>
      <c r="O182" s="302">
        <f t="shared" si="86"/>
        <v>3.0286551799981418</v>
      </c>
    </row>
    <row r="183" spans="1:15" s="236" customFormat="1" x14ac:dyDescent="0.2">
      <c r="A183" s="237" t="str">
        <f>name!E$8</f>
        <v>Skilled trades occupations</v>
      </c>
      <c r="B183" s="302">
        <v>1.1470055408592055</v>
      </c>
      <c r="C183" s="302">
        <v>0.15482045525831792</v>
      </c>
      <c r="D183" s="302">
        <v>0.50216991373400566</v>
      </c>
      <c r="E183" s="302">
        <f t="shared" si="84"/>
        <v>1.803995909851529</v>
      </c>
      <c r="F183" s="303"/>
      <c r="G183" s="302">
        <v>1.0176271023001955</v>
      </c>
      <c r="H183" s="302">
        <v>0.19113547298057609</v>
      </c>
      <c r="I183" s="302">
        <v>0.24776775912100182</v>
      </c>
      <c r="J183" s="302">
        <f>SUM(G183:I183)</f>
        <v>1.4565303344017735</v>
      </c>
      <c r="K183" s="303"/>
      <c r="L183" s="302">
        <v>1.1077223946032406</v>
      </c>
      <c r="M183" s="302">
        <v>0.26524540707172034</v>
      </c>
      <c r="N183" s="302">
        <v>0.23635897408000295</v>
      </c>
      <c r="O183" s="302">
        <f t="shared" si="86"/>
        <v>1.6093267757549639</v>
      </c>
    </row>
    <row r="184" spans="1:15" s="236" customFormat="1" x14ac:dyDescent="0.2">
      <c r="A184" s="237" t="str">
        <f>name!E$9</f>
        <v>Caring, leisure and other service occupations</v>
      </c>
      <c r="B184" s="302">
        <v>1.5879885457688809</v>
      </c>
      <c r="C184" s="302">
        <v>0.83818766647603216</v>
      </c>
      <c r="D184" s="302">
        <v>0.29424257619841981</v>
      </c>
      <c r="E184" s="302">
        <f t="shared" si="84"/>
        <v>2.7204187884433328</v>
      </c>
      <c r="F184" s="303"/>
      <c r="G184" s="302">
        <v>1.7583727672398444</v>
      </c>
      <c r="H184" s="302">
        <v>0.85741883793056739</v>
      </c>
      <c r="I184" s="302">
        <v>0.1526513717107319</v>
      </c>
      <c r="J184" s="302">
        <f t="shared" ref="J184:J187" si="87">SUM(G184:I184)</f>
        <v>2.7684429768811438</v>
      </c>
      <c r="K184" s="303"/>
      <c r="L184" s="302">
        <v>2.2449501564394434</v>
      </c>
      <c r="M184" s="302">
        <v>0.91846163597807484</v>
      </c>
      <c r="N184" s="302">
        <v>0.18168926193120938</v>
      </c>
      <c r="O184" s="302">
        <f t="shared" si="86"/>
        <v>3.3451010543487278</v>
      </c>
    </row>
    <row r="185" spans="1:15" s="236" customFormat="1" x14ac:dyDescent="0.2">
      <c r="A185" s="237" t="str">
        <f>name!E$10</f>
        <v>Sales and customer service occupations</v>
      </c>
      <c r="B185" s="302">
        <v>0.84293122907095408</v>
      </c>
      <c r="C185" s="302">
        <v>0.20430583519987744</v>
      </c>
      <c r="D185" s="302">
        <v>0.11032813898026141</v>
      </c>
      <c r="E185" s="302">
        <f t="shared" si="84"/>
        <v>1.157565203251093</v>
      </c>
      <c r="F185" s="303"/>
      <c r="G185" s="302">
        <v>0.91602826747187738</v>
      </c>
      <c r="H185" s="302">
        <v>0.29620836805966472</v>
      </c>
      <c r="I185" s="302">
        <v>5.8299061897226563E-2</v>
      </c>
      <c r="J185" s="302">
        <f t="shared" si="87"/>
        <v>1.2705356974287687</v>
      </c>
      <c r="K185" s="303"/>
      <c r="L185" s="302">
        <v>1.2022013948286585</v>
      </c>
      <c r="M185" s="302">
        <v>0.40725828281480869</v>
      </c>
      <c r="N185" s="302">
        <v>5.0340045397543429E-2</v>
      </c>
      <c r="O185" s="302">
        <f t="shared" si="86"/>
        <v>1.6597997230410106</v>
      </c>
    </row>
    <row r="186" spans="1:15" s="236" customFormat="1" x14ac:dyDescent="0.2">
      <c r="A186" s="237" t="str">
        <f>name!E$11</f>
        <v>Process, plant and machine operatives</v>
      </c>
      <c r="B186" s="302">
        <v>5.6106914464503106</v>
      </c>
      <c r="C186" s="302">
        <v>0.85995054667432091</v>
      </c>
      <c r="D186" s="302">
        <v>2.8946185270391411</v>
      </c>
      <c r="E186" s="302">
        <f t="shared" si="84"/>
        <v>9.3652605201637726</v>
      </c>
      <c r="F186" s="303"/>
      <c r="G186" s="302">
        <v>4.3350357611569414</v>
      </c>
      <c r="H186" s="302">
        <v>1.1862891648350589</v>
      </c>
      <c r="I186" s="302">
        <v>1.7252348494406311</v>
      </c>
      <c r="J186" s="302">
        <f t="shared" si="87"/>
        <v>7.2465597754326314</v>
      </c>
      <c r="K186" s="303"/>
      <c r="L186" s="302">
        <v>3.6570026140778551</v>
      </c>
      <c r="M186" s="302">
        <v>1.5968232452686908</v>
      </c>
      <c r="N186" s="302">
        <v>2.0337502821540232</v>
      </c>
      <c r="O186" s="302">
        <f t="shared" si="86"/>
        <v>7.2875761415005691</v>
      </c>
    </row>
    <row r="187" spans="1:15" s="236" customFormat="1" x14ac:dyDescent="0.2">
      <c r="A187" s="237" t="str">
        <f>name!E$12</f>
        <v>Elementary occupations</v>
      </c>
      <c r="B187" s="302">
        <v>4.1537887827341349</v>
      </c>
      <c r="C187" s="302">
        <v>0.89869441325645238</v>
      </c>
      <c r="D187" s="302">
        <v>0.19663745208050123</v>
      </c>
      <c r="E187" s="302">
        <f t="shared" si="84"/>
        <v>5.2491206480710879</v>
      </c>
      <c r="F187" s="303"/>
      <c r="G187" s="302">
        <v>3.2045092560311379</v>
      </c>
      <c r="H187" s="302">
        <v>1.169427078652953</v>
      </c>
      <c r="I187" s="302">
        <v>0.11010659123504556</v>
      </c>
      <c r="J187" s="302">
        <f t="shared" si="87"/>
        <v>4.4840429259191366</v>
      </c>
      <c r="K187" s="303"/>
      <c r="L187" s="302">
        <v>2.4711780708553288</v>
      </c>
      <c r="M187" s="302">
        <v>1.0847359542582531</v>
      </c>
      <c r="N187" s="302">
        <v>0.12051268488498172</v>
      </c>
      <c r="O187" s="302">
        <f t="shared" si="86"/>
        <v>3.6764267099985637</v>
      </c>
    </row>
    <row r="188" spans="1:15" s="236" customFormat="1" x14ac:dyDescent="0.2">
      <c r="A188" s="237"/>
      <c r="B188" s="302"/>
      <c r="C188" s="302"/>
      <c r="D188" s="302"/>
      <c r="E188" s="302"/>
      <c r="F188" s="303"/>
      <c r="G188" s="302"/>
      <c r="H188" s="302"/>
      <c r="I188" s="302"/>
      <c r="J188" s="302"/>
      <c r="K188" s="303"/>
      <c r="L188" s="302"/>
      <c r="M188" s="302"/>
      <c r="N188" s="302"/>
      <c r="O188" s="302"/>
    </row>
    <row r="189" spans="1:15" s="236" customFormat="1" x14ac:dyDescent="0.2">
      <c r="A189" s="244" t="s">
        <v>33</v>
      </c>
      <c r="B189" s="311">
        <f>SUM(B179:B187)</f>
        <v>21.085897681086987</v>
      </c>
      <c r="C189" s="311">
        <f t="shared" ref="C189:E189" si="88">SUM(C179:C187)</f>
        <v>3.9846463416170939</v>
      </c>
      <c r="D189" s="311">
        <f t="shared" si="88"/>
        <v>5.0254559772959189</v>
      </c>
      <c r="E189" s="311">
        <f t="shared" si="88"/>
        <v>30.095999999999997</v>
      </c>
      <c r="F189" s="311"/>
      <c r="G189" s="311">
        <f t="shared" ref="G189:J189" si="89">SUM(G179:G187)</f>
        <v>20.946033078160966</v>
      </c>
      <c r="H189" s="311">
        <f t="shared" si="89"/>
        <v>5.3456297007925064</v>
      </c>
      <c r="I189" s="311">
        <f t="shared" si="89"/>
        <v>3.0513372210465004</v>
      </c>
      <c r="J189" s="311">
        <f t="shared" si="89"/>
        <v>29.342999999999972</v>
      </c>
      <c r="K189" s="311"/>
      <c r="L189" s="311">
        <f t="shared" ref="L189:O189" si="90">SUM(L179:L187)</f>
        <v>21.913613793816374</v>
      </c>
      <c r="M189" s="311">
        <f t="shared" si="90"/>
        <v>6.0753095819795</v>
      </c>
      <c r="N189" s="311">
        <f t="shared" si="90"/>
        <v>3.3040766242040949</v>
      </c>
      <c r="O189" s="311">
        <f t="shared" si="90"/>
        <v>31.292999999999971</v>
      </c>
    </row>
    <row r="190" spans="1:15" s="236" customFormat="1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37"/>
      <c r="M190" s="237"/>
      <c r="N190" s="240"/>
    </row>
    <row r="191" spans="1:15" s="236" customFormat="1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37"/>
      <c r="M191" s="237"/>
      <c r="N191" s="240"/>
      <c r="O191" s="251" t="s">
        <v>36</v>
      </c>
    </row>
    <row r="192" spans="1:15" s="236" customFormat="1" x14ac:dyDescent="0.2">
      <c r="A192" s="242"/>
      <c r="B192" s="242"/>
      <c r="C192" s="242"/>
      <c r="D192" s="242"/>
      <c r="E192" s="242"/>
      <c r="F192" s="242"/>
      <c r="G192" s="242"/>
      <c r="H192" s="242"/>
      <c r="I192" s="242"/>
      <c r="J192" s="242"/>
      <c r="K192" s="242"/>
      <c r="L192" s="242"/>
      <c r="M192" s="242"/>
      <c r="N192" s="242"/>
      <c r="O192" s="242"/>
    </row>
    <row r="193" spans="1:15" s="236" customFormat="1" x14ac:dyDescent="0.2">
      <c r="A193" s="241" t="str">
        <f>name!B14</f>
        <v>Accommodation and food</v>
      </c>
      <c r="B193" s="377">
        <f>$B$6</f>
        <v>2015</v>
      </c>
      <c r="C193" s="377"/>
      <c r="D193" s="377"/>
      <c r="E193" s="377"/>
      <c r="F193" s="263"/>
      <c r="G193" s="377">
        <f>$G$6</f>
        <v>2020</v>
      </c>
      <c r="H193" s="377"/>
      <c r="I193" s="377"/>
      <c r="J193" s="377"/>
      <c r="K193" s="263"/>
      <c r="L193" s="377">
        <f>$L$6</f>
        <v>2035</v>
      </c>
      <c r="M193" s="377"/>
      <c r="N193" s="377"/>
      <c r="O193" s="377"/>
    </row>
    <row r="194" spans="1:15" s="236" customFormat="1" x14ac:dyDescent="0.2">
      <c r="A194" s="254"/>
      <c r="B194" s="268" t="str">
        <f>$B$7</f>
        <v>FT</v>
      </c>
      <c r="C194" s="268" t="str">
        <f>$C$7</f>
        <v>PT</v>
      </c>
      <c r="D194" s="268" t="str">
        <f>$D$7</f>
        <v>SE</v>
      </c>
      <c r="E194" s="268" t="str">
        <f>$E$7</f>
        <v>Total</v>
      </c>
      <c r="F194" s="268"/>
      <c r="G194" s="268" t="str">
        <f>$G$7</f>
        <v>FT</v>
      </c>
      <c r="H194" s="268" t="str">
        <f>$H$7</f>
        <v>PT</v>
      </c>
      <c r="I194" s="268" t="str">
        <f>$I$7</f>
        <v>SE</v>
      </c>
      <c r="J194" s="268" t="str">
        <f>$J$7</f>
        <v>Total</v>
      </c>
      <c r="K194" s="268"/>
      <c r="L194" s="268" t="str">
        <f>$L$7</f>
        <v>FT</v>
      </c>
      <c r="M194" s="268" t="str">
        <f>$M$7</f>
        <v>PT</v>
      </c>
      <c r="N194" s="268" t="str">
        <f>$N$7</f>
        <v>SE</v>
      </c>
      <c r="O194" s="268" t="str">
        <f>$O$7</f>
        <v>Total</v>
      </c>
    </row>
    <row r="195" spans="1:15" s="236" customFormat="1" x14ac:dyDescent="0.2">
      <c r="A195" s="258"/>
      <c r="B195" s="239"/>
      <c r="C195" s="239"/>
      <c r="D195" s="239"/>
      <c r="E195" s="239"/>
      <c r="F195" s="239"/>
      <c r="G195" s="239"/>
      <c r="H195" s="239"/>
      <c r="I195" s="239"/>
      <c r="J195" s="239"/>
      <c r="K195" s="239"/>
      <c r="L195" s="239"/>
      <c r="M195" s="239"/>
      <c r="N195" s="239"/>
      <c r="O195" s="239"/>
    </row>
    <row r="196" spans="1:15" s="236" customFormat="1" x14ac:dyDescent="0.2">
      <c r="A196" s="237" t="str">
        <f>name!E$4</f>
        <v>Managers, directors and senior officials</v>
      </c>
      <c r="B196" s="302">
        <v>3.1756934159755783</v>
      </c>
      <c r="C196" s="302">
        <v>0.34674533507567545</v>
      </c>
      <c r="D196" s="302">
        <v>1.2654264676905358</v>
      </c>
      <c r="E196" s="302">
        <f>SUM(B196:D196)</f>
        <v>4.7878652187417892</v>
      </c>
      <c r="F196" s="303"/>
      <c r="G196" s="302">
        <v>3.6056818575174949</v>
      </c>
      <c r="H196" s="302">
        <v>0.65004731098906809</v>
      </c>
      <c r="I196" s="302">
        <v>0.89330389633158724</v>
      </c>
      <c r="J196" s="302">
        <f>SUM(G196:I196)</f>
        <v>5.1490330648381502</v>
      </c>
      <c r="K196" s="303"/>
      <c r="L196" s="302">
        <v>5.1840386294545331</v>
      </c>
      <c r="M196" s="302">
        <v>1.0177516917117924</v>
      </c>
      <c r="N196" s="302">
        <v>1.238194139900114</v>
      </c>
      <c r="O196" s="302">
        <f>SUM(L196:N196)</f>
        <v>7.4399844610664392</v>
      </c>
    </row>
    <row r="197" spans="1:15" s="236" customFormat="1" x14ac:dyDescent="0.2">
      <c r="A197" s="237" t="str">
        <f>name!E$5</f>
        <v>Professional occupations</v>
      </c>
      <c r="B197" s="302">
        <v>1.1133109233420695</v>
      </c>
      <c r="C197" s="302">
        <v>0.19371932454494833</v>
      </c>
      <c r="D197" s="302">
        <v>8.8426984294821598E-2</v>
      </c>
      <c r="E197" s="302">
        <f t="shared" ref="E197:E204" si="91">SUM(B197:D197)</f>
        <v>1.3954572321818393</v>
      </c>
      <c r="F197" s="303"/>
      <c r="G197" s="302">
        <v>1.5118238820272969</v>
      </c>
      <c r="H197" s="302">
        <v>0.35818539612301309</v>
      </c>
      <c r="I197" s="302">
        <v>6.1970484227055665E-2</v>
      </c>
      <c r="J197" s="302">
        <f t="shared" ref="J197:J199" si="92">SUM(G197:I197)</f>
        <v>1.9319797623773656</v>
      </c>
      <c r="K197" s="303"/>
      <c r="L197" s="302">
        <v>2.0666248683580895</v>
      </c>
      <c r="M197" s="302">
        <v>0.50695414280539819</v>
      </c>
      <c r="N197" s="302">
        <v>4.2570816479319998E-2</v>
      </c>
      <c r="O197" s="302">
        <f t="shared" ref="O197:O204" si="93">SUM(L197:N197)</f>
        <v>2.6161498276428077</v>
      </c>
    </row>
    <row r="198" spans="1:15" s="236" customFormat="1" x14ac:dyDescent="0.2">
      <c r="A198" s="237" t="str">
        <f>name!E$6</f>
        <v>Associate professional occupations</v>
      </c>
      <c r="B198" s="302">
        <v>1.0821221897380178</v>
      </c>
      <c r="C198" s="302">
        <v>0.53905352574691012</v>
      </c>
      <c r="D198" s="302">
        <v>5.6261232265577388E-2</v>
      </c>
      <c r="E198" s="302">
        <f t="shared" si="91"/>
        <v>1.6774369477505051</v>
      </c>
      <c r="F198" s="303"/>
      <c r="G198" s="302">
        <v>1.3294084158993567</v>
      </c>
      <c r="H198" s="302">
        <v>0.76970911285065258</v>
      </c>
      <c r="I198" s="302">
        <v>3.3871245800615679E-2</v>
      </c>
      <c r="J198" s="302">
        <f t="shared" si="92"/>
        <v>2.1329887745506251</v>
      </c>
      <c r="K198" s="303"/>
      <c r="L198" s="302">
        <v>1.6760870532117933</v>
      </c>
      <c r="M198" s="302">
        <v>1.1011913562089672</v>
      </c>
      <c r="N198" s="302">
        <v>2.7925127420438685E-2</v>
      </c>
      <c r="O198" s="302">
        <f t="shared" si="93"/>
        <v>2.8052035368411992</v>
      </c>
    </row>
    <row r="199" spans="1:15" s="236" customFormat="1" x14ac:dyDescent="0.2">
      <c r="A199" s="237" t="str">
        <f>name!E$7</f>
        <v>Administrative and secretarial occupations</v>
      </c>
      <c r="B199" s="302">
        <v>1.7597030975475219</v>
      </c>
      <c r="C199" s="302">
        <v>0.65161415296805913</v>
      </c>
      <c r="D199" s="302">
        <v>1.7402315668941647E-2</v>
      </c>
      <c r="E199" s="302">
        <f t="shared" si="91"/>
        <v>2.4287195661845229</v>
      </c>
      <c r="F199" s="303"/>
      <c r="G199" s="302">
        <v>1.7356835670995303</v>
      </c>
      <c r="H199" s="302">
        <v>0.90223410550728977</v>
      </c>
      <c r="I199" s="302">
        <v>1.2367295191983697E-2</v>
      </c>
      <c r="J199" s="302">
        <f t="shared" si="92"/>
        <v>2.6502849677988034</v>
      </c>
      <c r="K199" s="303"/>
      <c r="L199" s="302">
        <v>2.2839718157118716</v>
      </c>
      <c r="M199" s="302">
        <v>1.1967205951702964</v>
      </c>
      <c r="N199" s="302">
        <v>9.4916596471124083E-3</v>
      </c>
      <c r="O199" s="302">
        <f t="shared" si="93"/>
        <v>3.4901840705292804</v>
      </c>
    </row>
    <row r="200" spans="1:15" s="236" customFormat="1" x14ac:dyDescent="0.2">
      <c r="A200" s="237" t="str">
        <f>name!E$8</f>
        <v>Skilled trades occupations</v>
      </c>
      <c r="B200" s="302">
        <v>7.6319575989536279</v>
      </c>
      <c r="C200" s="302">
        <v>2.1658583073397213</v>
      </c>
      <c r="D200" s="302">
        <v>0.45662652450654168</v>
      </c>
      <c r="E200" s="302">
        <f t="shared" si="91"/>
        <v>10.254442430799891</v>
      </c>
      <c r="F200" s="303"/>
      <c r="G200" s="302">
        <v>5.6291970183870133</v>
      </c>
      <c r="H200" s="302">
        <v>2.110633906927716</v>
      </c>
      <c r="I200" s="302">
        <v>0.32715143986945677</v>
      </c>
      <c r="J200" s="302">
        <f>SUM(G200:I200)</f>
        <v>8.0669823651841863</v>
      </c>
      <c r="K200" s="303"/>
      <c r="L200" s="302">
        <v>5.912934665944177</v>
      </c>
      <c r="M200" s="302">
        <v>2.2588327281095242</v>
      </c>
      <c r="N200" s="302">
        <v>0.37480262141697529</v>
      </c>
      <c r="O200" s="302">
        <f t="shared" si="93"/>
        <v>8.5465700154706763</v>
      </c>
    </row>
    <row r="201" spans="1:15" s="236" customFormat="1" x14ac:dyDescent="0.2">
      <c r="A201" s="237" t="str">
        <f>name!E$9</f>
        <v>Caring, leisure and other service occupations</v>
      </c>
      <c r="B201" s="302">
        <v>1.2181173097990681</v>
      </c>
      <c r="C201" s="302">
        <v>1.1891263191187584</v>
      </c>
      <c r="D201" s="302">
        <v>8.8891140308351102E-2</v>
      </c>
      <c r="E201" s="302">
        <f t="shared" si="91"/>
        <v>2.4961347692261775</v>
      </c>
      <c r="F201" s="303"/>
      <c r="G201" s="302">
        <v>1.1304585664405891</v>
      </c>
      <c r="H201" s="302">
        <v>1.2958497521443821</v>
      </c>
      <c r="I201" s="302">
        <v>8.2777077944266489E-2</v>
      </c>
      <c r="J201" s="302">
        <f t="shared" ref="J201:J204" si="94">SUM(G201:I201)</f>
        <v>2.5090853965292381</v>
      </c>
      <c r="K201" s="303"/>
      <c r="L201" s="302">
        <v>1.424878636392638</v>
      </c>
      <c r="M201" s="302">
        <v>1.7321147366401086</v>
      </c>
      <c r="N201" s="302">
        <v>0.13919512378780002</v>
      </c>
      <c r="O201" s="302">
        <f t="shared" si="93"/>
        <v>3.2961884968205468</v>
      </c>
    </row>
    <row r="202" spans="1:15" s="236" customFormat="1" x14ac:dyDescent="0.2">
      <c r="A202" s="237" t="str">
        <f>name!E$10</f>
        <v>Sales and customer service occupations</v>
      </c>
      <c r="B202" s="302">
        <v>0.91550525558908868</v>
      </c>
      <c r="C202" s="302">
        <v>1.9150668899431487</v>
      </c>
      <c r="D202" s="302">
        <v>0.44111155891181758</v>
      </c>
      <c r="E202" s="302">
        <f t="shared" si="91"/>
        <v>3.271683704444055</v>
      </c>
      <c r="F202" s="303"/>
      <c r="G202" s="302">
        <v>0.88011657459687742</v>
      </c>
      <c r="H202" s="302">
        <v>2.4119612132534081</v>
      </c>
      <c r="I202" s="302">
        <v>0.2265409525059312</v>
      </c>
      <c r="J202" s="302">
        <f t="shared" si="94"/>
        <v>3.5186187403562164</v>
      </c>
      <c r="K202" s="303"/>
      <c r="L202" s="302">
        <v>1.1660911540727659</v>
      </c>
      <c r="M202" s="302">
        <v>3.1208015931941659</v>
      </c>
      <c r="N202" s="302">
        <v>0.19385608897636544</v>
      </c>
      <c r="O202" s="302">
        <f t="shared" si="93"/>
        <v>4.480748836243297</v>
      </c>
    </row>
    <row r="203" spans="1:15" s="236" customFormat="1" x14ac:dyDescent="0.2">
      <c r="A203" s="237" t="str">
        <f>name!E$11</f>
        <v>Process, plant and machine operatives</v>
      </c>
      <c r="B203" s="302">
        <v>0.59310337192681062</v>
      </c>
      <c r="C203" s="302">
        <v>0.64965909102155206</v>
      </c>
      <c r="D203" s="302">
        <v>6.0014832879270917E-2</v>
      </c>
      <c r="E203" s="302">
        <f t="shared" si="91"/>
        <v>1.3027772958276336</v>
      </c>
      <c r="F203" s="303"/>
      <c r="G203" s="302">
        <v>0.4689640251854747</v>
      </c>
      <c r="H203" s="302">
        <v>0.91196654586126236</v>
      </c>
      <c r="I203" s="302">
        <v>4.0691477455076258E-2</v>
      </c>
      <c r="J203" s="302">
        <f t="shared" si="94"/>
        <v>1.4216220485018132</v>
      </c>
      <c r="K203" s="303"/>
      <c r="L203" s="302">
        <v>0.56540871262867221</v>
      </c>
      <c r="M203" s="302">
        <v>1.6458738490102722</v>
      </c>
      <c r="N203" s="302">
        <v>5.8998071422440394E-2</v>
      </c>
      <c r="O203" s="302">
        <f t="shared" si="93"/>
        <v>2.2702806330613847</v>
      </c>
    </row>
    <row r="204" spans="1:15" s="236" customFormat="1" x14ac:dyDescent="0.2">
      <c r="A204" s="237" t="str">
        <f>name!E$12</f>
        <v>Elementary occupations</v>
      </c>
      <c r="B204" s="302">
        <v>7.7205530280291077</v>
      </c>
      <c r="C204" s="302">
        <v>21.218799338607791</v>
      </c>
      <c r="D204" s="302">
        <v>9.9130468206678535E-2</v>
      </c>
      <c r="E204" s="302">
        <f t="shared" si="91"/>
        <v>29.038482834843578</v>
      </c>
      <c r="F204" s="303"/>
      <c r="G204" s="302">
        <v>6.9593939823333475</v>
      </c>
      <c r="H204" s="302">
        <v>21.962347825271056</v>
      </c>
      <c r="I204" s="302">
        <v>5.2663072259096749E-2</v>
      </c>
      <c r="J204" s="302">
        <f t="shared" si="94"/>
        <v>28.974404879863503</v>
      </c>
      <c r="K204" s="303"/>
      <c r="L204" s="302">
        <v>8.3481881952065287</v>
      </c>
      <c r="M204" s="302">
        <v>25.302268773593244</v>
      </c>
      <c r="N204" s="302">
        <v>6.2233153524566452E-2</v>
      </c>
      <c r="O204" s="302">
        <f t="shared" si="93"/>
        <v>33.712690122324339</v>
      </c>
    </row>
    <row r="205" spans="1:15" s="236" customFormat="1" x14ac:dyDescent="0.2">
      <c r="A205" s="237"/>
      <c r="B205" s="302"/>
      <c r="C205" s="302"/>
      <c r="D205" s="302"/>
      <c r="E205" s="302"/>
      <c r="F205" s="303"/>
      <c r="G205" s="302"/>
      <c r="H205" s="302"/>
      <c r="I205" s="302"/>
      <c r="J205" s="302"/>
      <c r="K205" s="303"/>
      <c r="L205" s="302"/>
      <c r="M205" s="302"/>
      <c r="N205" s="302"/>
      <c r="O205" s="302"/>
    </row>
    <row r="206" spans="1:15" s="236" customFormat="1" x14ac:dyDescent="0.2">
      <c r="A206" s="244" t="s">
        <v>33</v>
      </c>
      <c r="B206" s="311">
        <f>SUM(B196:B204)</f>
        <v>25.210066190900893</v>
      </c>
      <c r="C206" s="311">
        <f t="shared" ref="C206:E206" si="95">SUM(C196:C204)</f>
        <v>28.869642284366563</v>
      </c>
      <c r="D206" s="311">
        <f t="shared" si="95"/>
        <v>2.5732915247325363</v>
      </c>
      <c r="E206" s="311">
        <f t="shared" si="95"/>
        <v>56.652999999999992</v>
      </c>
      <c r="F206" s="311"/>
      <c r="G206" s="311">
        <f t="shared" ref="G206:J206" si="96">SUM(G196:G204)</f>
        <v>23.250727889486981</v>
      </c>
      <c r="H206" s="311">
        <f t="shared" si="96"/>
        <v>31.372935168927846</v>
      </c>
      <c r="I206" s="311">
        <f t="shared" si="96"/>
        <v>1.7313369415850699</v>
      </c>
      <c r="J206" s="311">
        <f t="shared" si="96"/>
        <v>56.354999999999905</v>
      </c>
      <c r="K206" s="311"/>
      <c r="L206" s="311">
        <f t="shared" ref="L206:O206" si="97">SUM(L196:L204)</f>
        <v>28.628223730981073</v>
      </c>
      <c r="M206" s="311">
        <f t="shared" si="97"/>
        <v>37.882509466443764</v>
      </c>
      <c r="N206" s="311">
        <f t="shared" si="97"/>
        <v>2.1472668025751322</v>
      </c>
      <c r="O206" s="311">
        <f t="shared" si="97"/>
        <v>68.657999999999973</v>
      </c>
    </row>
    <row r="207" spans="1:15" s="236" customFormat="1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37"/>
      <c r="M207" s="237"/>
      <c r="N207" s="240"/>
    </row>
    <row r="208" spans="1:15" s="236" customFormat="1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37"/>
      <c r="M208" s="237"/>
      <c r="N208" s="240"/>
      <c r="O208" s="251" t="s">
        <v>36</v>
      </c>
    </row>
    <row r="209" spans="1:15" s="236" customFormat="1" x14ac:dyDescent="0.2">
      <c r="A209" s="242"/>
      <c r="B209" s="242"/>
      <c r="C209" s="242"/>
      <c r="D209" s="242"/>
      <c r="E209" s="242"/>
      <c r="F209" s="242"/>
      <c r="G209" s="242"/>
      <c r="H209" s="242"/>
      <c r="I209" s="242"/>
      <c r="J209" s="242"/>
      <c r="K209" s="242"/>
      <c r="L209" s="242"/>
      <c r="M209" s="242"/>
      <c r="N209" s="242"/>
      <c r="O209" s="242"/>
    </row>
    <row r="210" spans="1:15" s="236" customFormat="1" x14ac:dyDescent="0.2">
      <c r="A210" s="241" t="str">
        <f>name!B15</f>
        <v>Media</v>
      </c>
      <c r="B210" s="377">
        <f>$B$6</f>
        <v>2015</v>
      </c>
      <c r="C210" s="377"/>
      <c r="D210" s="377"/>
      <c r="E210" s="377"/>
      <c r="F210" s="263"/>
      <c r="G210" s="377">
        <f>$G$6</f>
        <v>2020</v>
      </c>
      <c r="H210" s="377"/>
      <c r="I210" s="377"/>
      <c r="J210" s="377"/>
      <c r="K210" s="263"/>
      <c r="L210" s="377">
        <f>$L$6</f>
        <v>2035</v>
      </c>
      <c r="M210" s="377"/>
      <c r="N210" s="377"/>
      <c r="O210" s="377"/>
    </row>
    <row r="211" spans="1:15" s="236" customFormat="1" x14ac:dyDescent="0.2">
      <c r="A211" s="254"/>
      <c r="B211" s="268" t="str">
        <f>$B$7</f>
        <v>FT</v>
      </c>
      <c r="C211" s="268" t="str">
        <f>$C$7</f>
        <v>PT</v>
      </c>
      <c r="D211" s="268" t="str">
        <f>$D$7</f>
        <v>SE</v>
      </c>
      <c r="E211" s="268" t="str">
        <f>$E$7</f>
        <v>Total</v>
      </c>
      <c r="F211" s="268"/>
      <c r="G211" s="268" t="str">
        <f>$G$7</f>
        <v>FT</v>
      </c>
      <c r="H211" s="268" t="str">
        <f>$H$7</f>
        <v>PT</v>
      </c>
      <c r="I211" s="268" t="str">
        <f>$I$7</f>
        <v>SE</v>
      </c>
      <c r="J211" s="268" t="str">
        <f>$J$7</f>
        <v>Total</v>
      </c>
      <c r="K211" s="268"/>
      <c r="L211" s="268" t="str">
        <f>$L$7</f>
        <v>FT</v>
      </c>
      <c r="M211" s="268" t="str">
        <f>$M$7</f>
        <v>PT</v>
      </c>
      <c r="N211" s="268" t="str">
        <f>$N$7</f>
        <v>SE</v>
      </c>
      <c r="O211" s="268" t="str">
        <f>$O$7</f>
        <v>Total</v>
      </c>
    </row>
    <row r="212" spans="1:15" s="236" customFormat="1" x14ac:dyDescent="0.2">
      <c r="A212" s="258"/>
      <c r="B212" s="239"/>
      <c r="C212" s="239"/>
      <c r="D212" s="239"/>
      <c r="E212" s="239"/>
      <c r="F212" s="239"/>
      <c r="G212" s="239"/>
      <c r="H212" s="239"/>
      <c r="I212" s="239"/>
      <c r="J212" s="239"/>
      <c r="K212" s="239"/>
      <c r="L212" s="239"/>
      <c r="M212" s="239"/>
      <c r="N212" s="239"/>
      <c r="O212" s="239"/>
    </row>
    <row r="213" spans="1:15" s="236" customFormat="1" x14ac:dyDescent="0.2">
      <c r="A213" s="237" t="str">
        <f>name!E$4</f>
        <v>Managers, directors and senior officials</v>
      </c>
      <c r="B213" s="302">
        <v>0.97329202534822346</v>
      </c>
      <c r="C213" s="302">
        <v>0.15401984055027865</v>
      </c>
      <c r="D213" s="302">
        <v>0.30506239050598211</v>
      </c>
      <c r="E213" s="302">
        <f>SUM(B213:D213)</f>
        <v>1.4323742564044843</v>
      </c>
      <c r="F213" s="303"/>
      <c r="G213" s="302">
        <v>0.6455808991255656</v>
      </c>
      <c r="H213" s="302">
        <v>0.16541623461985122</v>
      </c>
      <c r="I213" s="302">
        <v>0.2204421419350279</v>
      </c>
      <c r="J213" s="302">
        <f>SUM(G213:I213)</f>
        <v>1.0314392756804447</v>
      </c>
      <c r="K213" s="303"/>
      <c r="L213" s="302">
        <v>0.67468935721533974</v>
      </c>
      <c r="M213" s="302">
        <v>0.20999298112895315</v>
      </c>
      <c r="N213" s="302">
        <v>0.22344805192163625</v>
      </c>
      <c r="O213" s="302">
        <f>SUM(L213:N213)</f>
        <v>1.1081303902659292</v>
      </c>
    </row>
    <row r="214" spans="1:15" s="236" customFormat="1" x14ac:dyDescent="0.2">
      <c r="A214" s="237" t="str">
        <f>name!E$5</f>
        <v>Professional occupations</v>
      </c>
      <c r="B214" s="302">
        <v>1.2646258905726593</v>
      </c>
      <c r="C214" s="302">
        <v>0.1742261359981834</v>
      </c>
      <c r="D214" s="302">
        <v>0.44986637172697874</v>
      </c>
      <c r="E214" s="302">
        <f t="shared" ref="E214:E221" si="98">SUM(B214:D214)</f>
        <v>1.8887183982978213</v>
      </c>
      <c r="F214" s="303"/>
      <c r="G214" s="302">
        <v>0.95214582890706445</v>
      </c>
      <c r="H214" s="302">
        <v>0.16353572274323391</v>
      </c>
      <c r="I214" s="302">
        <v>0.29157569954244561</v>
      </c>
      <c r="J214" s="302">
        <f t="shared" ref="J214:J216" si="99">SUM(G214:I214)</f>
        <v>1.4072572511927439</v>
      </c>
      <c r="K214" s="303"/>
      <c r="L214" s="302">
        <v>0.9886432935042242</v>
      </c>
      <c r="M214" s="302">
        <v>0.21429024682925552</v>
      </c>
      <c r="N214" s="302">
        <v>0.22021372940080494</v>
      </c>
      <c r="O214" s="302">
        <f t="shared" ref="O214:O221" si="100">SUM(L214:N214)</f>
        <v>1.4231472697342846</v>
      </c>
    </row>
    <row r="215" spans="1:15" s="236" customFormat="1" x14ac:dyDescent="0.2">
      <c r="A215" s="237" t="str">
        <f>name!E$6</f>
        <v>Associate professional occupations</v>
      </c>
      <c r="B215" s="302">
        <v>0.92631141130799366</v>
      </c>
      <c r="C215" s="302">
        <v>0.2465996996768427</v>
      </c>
      <c r="D215" s="302">
        <v>0.9074852447936046</v>
      </c>
      <c r="E215" s="302">
        <f t="shared" si="98"/>
        <v>2.0803963557784408</v>
      </c>
      <c r="F215" s="303"/>
      <c r="G215" s="302">
        <v>0.64859319391678805</v>
      </c>
      <c r="H215" s="302">
        <v>0.19064463097318876</v>
      </c>
      <c r="I215" s="302">
        <v>0.84776834934785439</v>
      </c>
      <c r="J215" s="302">
        <f t="shared" si="99"/>
        <v>1.6870061742378311</v>
      </c>
      <c r="K215" s="303"/>
      <c r="L215" s="302">
        <v>0.5838383638484832</v>
      </c>
      <c r="M215" s="302">
        <v>0.17802197066262557</v>
      </c>
      <c r="N215" s="302">
        <v>0.8096715618334247</v>
      </c>
      <c r="O215" s="302">
        <f t="shared" si="100"/>
        <v>1.5715318963445335</v>
      </c>
    </row>
    <row r="216" spans="1:15" s="236" customFormat="1" x14ac:dyDescent="0.2">
      <c r="A216" s="237" t="str">
        <f>name!E$7</f>
        <v>Administrative and secretarial occupations</v>
      </c>
      <c r="B216" s="302">
        <v>0.40272073371768075</v>
      </c>
      <c r="C216" s="302">
        <v>0.23534624605334095</v>
      </c>
      <c r="D216" s="302">
        <v>5.5536477051841733E-2</v>
      </c>
      <c r="E216" s="302">
        <f t="shared" si="98"/>
        <v>0.6936034568228634</v>
      </c>
      <c r="F216" s="303"/>
      <c r="G216" s="302">
        <v>0.24029312994620836</v>
      </c>
      <c r="H216" s="302">
        <v>0.18212617718917268</v>
      </c>
      <c r="I216" s="302">
        <v>4.8984272706110381E-2</v>
      </c>
      <c r="J216" s="302">
        <f t="shared" si="99"/>
        <v>0.47140357984149139</v>
      </c>
      <c r="K216" s="303"/>
      <c r="L216" s="302">
        <v>0.13561759164687356</v>
      </c>
      <c r="M216" s="302">
        <v>0.11948436548474167</v>
      </c>
      <c r="N216" s="302">
        <v>3.4290826850900374E-2</v>
      </c>
      <c r="O216" s="302">
        <f t="shared" si="100"/>
        <v>0.28939278398251556</v>
      </c>
    </row>
    <row r="217" spans="1:15" s="236" customFormat="1" x14ac:dyDescent="0.2">
      <c r="A217" s="237" t="str">
        <f>name!E$8</f>
        <v>Skilled trades occupations</v>
      </c>
      <c r="B217" s="302">
        <v>0.36676904552039979</v>
      </c>
      <c r="C217" s="302">
        <v>8.7185531530052277E-2</v>
      </c>
      <c r="D217" s="302">
        <v>0.15811805010654062</v>
      </c>
      <c r="E217" s="302">
        <f t="shared" si="98"/>
        <v>0.61207262715699273</v>
      </c>
      <c r="F217" s="303"/>
      <c r="G217" s="302">
        <v>0.18556423322564319</v>
      </c>
      <c r="H217" s="302">
        <v>5.1684890108793506E-2</v>
      </c>
      <c r="I217" s="302">
        <v>9.5948953289908767E-2</v>
      </c>
      <c r="J217" s="302">
        <f>SUM(G217:I217)</f>
        <v>0.33319807662434547</v>
      </c>
      <c r="K217" s="303"/>
      <c r="L217" s="302">
        <v>0.14059235990726734</v>
      </c>
      <c r="M217" s="302">
        <v>7.2642316795307485E-2</v>
      </c>
      <c r="N217" s="302">
        <v>9.0442195588907343E-2</v>
      </c>
      <c r="O217" s="302">
        <f t="shared" si="100"/>
        <v>0.30367687229148221</v>
      </c>
    </row>
    <row r="218" spans="1:15" s="236" customFormat="1" x14ac:dyDescent="0.2">
      <c r="A218" s="237" t="str">
        <f>name!E$9</f>
        <v>Caring, leisure and other service occupations</v>
      </c>
      <c r="B218" s="302">
        <v>0.15148647614743083</v>
      </c>
      <c r="C218" s="302">
        <v>6.9959803602205356E-2</v>
      </c>
      <c r="D218" s="302">
        <v>2.5284646580809179E-2</v>
      </c>
      <c r="E218" s="302">
        <f t="shared" si="98"/>
        <v>0.24673092633044535</v>
      </c>
      <c r="F218" s="303"/>
      <c r="G218" s="302">
        <v>8.3762895311766783E-2</v>
      </c>
      <c r="H218" s="302">
        <v>8.3567775500770353E-2</v>
      </c>
      <c r="I218" s="302">
        <v>2.7073104772058019E-2</v>
      </c>
      <c r="J218" s="302">
        <f t="shared" ref="J218:J221" si="101">SUM(G218:I218)</f>
        <v>0.19440377558459515</v>
      </c>
      <c r="K218" s="303"/>
      <c r="L218" s="302">
        <v>8.1733836707832921E-2</v>
      </c>
      <c r="M218" s="302">
        <v>7.7871140144774906E-2</v>
      </c>
      <c r="N218" s="302">
        <v>2.571103351205321E-2</v>
      </c>
      <c r="O218" s="302">
        <f t="shared" si="100"/>
        <v>0.18531601036466103</v>
      </c>
    </row>
    <row r="219" spans="1:15" s="236" customFormat="1" x14ac:dyDescent="0.2">
      <c r="A219" s="237" t="str">
        <f>name!E$10</f>
        <v>Sales and customer service occupations</v>
      </c>
      <c r="B219" s="302">
        <v>0.24031977303745217</v>
      </c>
      <c r="C219" s="302">
        <v>8.9673809057344525E-2</v>
      </c>
      <c r="D219" s="302">
        <v>5.8195195268222269E-2</v>
      </c>
      <c r="E219" s="302">
        <f t="shared" si="98"/>
        <v>0.38818877736301893</v>
      </c>
      <c r="F219" s="303"/>
      <c r="G219" s="302">
        <v>0.13935583293581061</v>
      </c>
      <c r="H219" s="302">
        <v>7.8007166463060898E-2</v>
      </c>
      <c r="I219" s="302">
        <v>3.3431191759481609E-2</v>
      </c>
      <c r="J219" s="302">
        <f t="shared" si="101"/>
        <v>0.25079419115835311</v>
      </c>
      <c r="K219" s="303"/>
      <c r="L219" s="302">
        <v>0.13525629720627802</v>
      </c>
      <c r="M219" s="302">
        <v>8.2918718933477492E-2</v>
      </c>
      <c r="N219" s="302">
        <v>2.5832120965939353E-2</v>
      </c>
      <c r="O219" s="302">
        <f t="shared" si="100"/>
        <v>0.24400713710569485</v>
      </c>
    </row>
    <row r="220" spans="1:15" s="236" customFormat="1" x14ac:dyDescent="0.2">
      <c r="A220" s="237" t="str">
        <f>name!E$11</f>
        <v>Process, plant and machine operatives</v>
      </c>
      <c r="B220" s="302">
        <v>7.287728687035544E-2</v>
      </c>
      <c r="C220" s="302">
        <v>5.6242539124013662E-2</v>
      </c>
      <c r="D220" s="302">
        <v>2.697161185967057E-2</v>
      </c>
      <c r="E220" s="302">
        <f t="shared" si="98"/>
        <v>0.15609143785403967</v>
      </c>
      <c r="F220" s="303"/>
      <c r="G220" s="302">
        <v>3.3541797081808052E-2</v>
      </c>
      <c r="H220" s="302">
        <v>3.5899979527867804E-2</v>
      </c>
      <c r="I220" s="302">
        <v>1.7737780649011197E-2</v>
      </c>
      <c r="J220" s="302">
        <f t="shared" si="101"/>
        <v>8.7179557258687049E-2</v>
      </c>
      <c r="K220" s="303"/>
      <c r="L220" s="302">
        <v>2.2117629482453046E-2</v>
      </c>
      <c r="M220" s="302">
        <v>4.4620750734831009E-2</v>
      </c>
      <c r="N220" s="302">
        <v>1.4577975744333114E-2</v>
      </c>
      <c r="O220" s="302">
        <f t="shared" si="100"/>
        <v>8.1316355961617168E-2</v>
      </c>
    </row>
    <row r="221" spans="1:15" s="236" customFormat="1" x14ac:dyDescent="0.2">
      <c r="A221" s="237" t="str">
        <f>name!E$12</f>
        <v>Elementary occupations</v>
      </c>
      <c r="B221" s="302">
        <v>0.25617680770629042</v>
      </c>
      <c r="C221" s="302">
        <v>0.29418377129381634</v>
      </c>
      <c r="D221" s="302">
        <v>3.9463184991782002E-2</v>
      </c>
      <c r="E221" s="302">
        <f t="shared" si="98"/>
        <v>0.58982376399188874</v>
      </c>
      <c r="F221" s="303"/>
      <c r="G221" s="302">
        <v>0.12025415219263728</v>
      </c>
      <c r="H221" s="302">
        <v>0.25163610091450206</v>
      </c>
      <c r="I221" s="302">
        <v>2.2427865314369695E-2</v>
      </c>
      <c r="J221" s="302">
        <f t="shared" si="101"/>
        <v>0.39431811842150905</v>
      </c>
      <c r="K221" s="303"/>
      <c r="L221" s="302">
        <v>8.9088752546080827E-2</v>
      </c>
      <c r="M221" s="302">
        <v>0.19942434654858654</v>
      </c>
      <c r="N221" s="302">
        <v>2.3968184854617623E-2</v>
      </c>
      <c r="O221" s="302">
        <f t="shared" si="100"/>
        <v>0.31248128394928498</v>
      </c>
    </row>
    <row r="222" spans="1:15" s="236" customFormat="1" x14ac:dyDescent="0.2">
      <c r="A222" s="237"/>
      <c r="B222" s="302"/>
      <c r="C222" s="302"/>
      <c r="D222" s="302"/>
      <c r="E222" s="302"/>
      <c r="F222" s="303"/>
      <c r="G222" s="302"/>
      <c r="H222" s="302"/>
      <c r="I222" s="302"/>
      <c r="J222" s="302"/>
      <c r="K222" s="303"/>
      <c r="L222" s="302"/>
      <c r="M222" s="302"/>
      <c r="N222" s="302"/>
      <c r="O222" s="302"/>
    </row>
    <row r="223" spans="1:15" s="236" customFormat="1" x14ac:dyDescent="0.2">
      <c r="A223" s="244" t="s">
        <v>33</v>
      </c>
      <c r="B223" s="311">
        <f>SUM(B213:B221)</f>
        <v>4.6545794502284856</v>
      </c>
      <c r="C223" s="311">
        <f t="shared" ref="C223:E223" si="102">SUM(C213:C221)</f>
        <v>1.4074373768860777</v>
      </c>
      <c r="D223" s="311">
        <f t="shared" si="102"/>
        <v>2.0259831728854318</v>
      </c>
      <c r="E223" s="311">
        <f t="shared" si="102"/>
        <v>8.0879999999999956</v>
      </c>
      <c r="F223" s="311"/>
      <c r="G223" s="311">
        <f t="shared" ref="G223:J223" si="103">SUM(G213:G221)</f>
        <v>3.049091962643292</v>
      </c>
      <c r="H223" s="311">
        <f t="shared" si="103"/>
        <v>1.2025186780404411</v>
      </c>
      <c r="I223" s="311">
        <f t="shared" si="103"/>
        <v>1.6053893593162674</v>
      </c>
      <c r="J223" s="311">
        <f t="shared" si="103"/>
        <v>5.857000000000002</v>
      </c>
      <c r="K223" s="311"/>
      <c r="L223" s="311">
        <f t="shared" ref="L223:O223" si="104">SUM(L213:L221)</f>
        <v>2.8515774820648327</v>
      </c>
      <c r="M223" s="311">
        <f t="shared" si="104"/>
        <v>1.1992668372625532</v>
      </c>
      <c r="N223" s="311">
        <f t="shared" si="104"/>
        <v>1.468155680672617</v>
      </c>
      <c r="O223" s="311">
        <f t="shared" si="104"/>
        <v>5.5190000000000019</v>
      </c>
    </row>
    <row r="224" spans="1:15" s="236" customFormat="1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37"/>
      <c r="M224" s="237"/>
      <c r="N224" s="240"/>
    </row>
    <row r="225" spans="1:15" s="236" customFormat="1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37"/>
      <c r="M225" s="237"/>
      <c r="N225" s="240"/>
      <c r="O225" s="251" t="s">
        <v>36</v>
      </c>
    </row>
    <row r="226" spans="1:15" s="236" customFormat="1" x14ac:dyDescent="0.2">
      <c r="A226" s="242"/>
      <c r="B226" s="242"/>
      <c r="C226" s="242"/>
      <c r="D226" s="242"/>
      <c r="E226" s="242"/>
      <c r="F226" s="242"/>
      <c r="G226" s="242"/>
      <c r="H226" s="242"/>
      <c r="I226" s="242"/>
      <c r="J226" s="242"/>
      <c r="K226" s="242"/>
      <c r="L226" s="242"/>
      <c r="M226" s="242"/>
      <c r="N226" s="242"/>
      <c r="O226" s="242"/>
    </row>
    <row r="227" spans="1:15" s="236" customFormat="1" x14ac:dyDescent="0.2">
      <c r="A227" s="241" t="str">
        <f>name!B16</f>
        <v>Information technology</v>
      </c>
      <c r="B227" s="377">
        <f>$B$6</f>
        <v>2015</v>
      </c>
      <c r="C227" s="377"/>
      <c r="D227" s="377"/>
      <c r="E227" s="377"/>
      <c r="F227" s="263"/>
      <c r="G227" s="377">
        <f>$G$6</f>
        <v>2020</v>
      </c>
      <c r="H227" s="377"/>
      <c r="I227" s="377"/>
      <c r="J227" s="377"/>
      <c r="K227" s="263"/>
      <c r="L227" s="377">
        <f>$L$6</f>
        <v>2035</v>
      </c>
      <c r="M227" s="377"/>
      <c r="N227" s="377"/>
      <c r="O227" s="377"/>
    </row>
    <row r="228" spans="1:15" s="236" customFormat="1" x14ac:dyDescent="0.2">
      <c r="A228" s="254"/>
      <c r="B228" s="268" t="str">
        <f>$B$7</f>
        <v>FT</v>
      </c>
      <c r="C228" s="268" t="str">
        <f>$C$7</f>
        <v>PT</v>
      </c>
      <c r="D228" s="268" t="str">
        <f>$D$7</f>
        <v>SE</v>
      </c>
      <c r="E228" s="268" t="str">
        <f>$E$7</f>
        <v>Total</v>
      </c>
      <c r="F228" s="268"/>
      <c r="G228" s="268" t="str">
        <f>$G$7</f>
        <v>FT</v>
      </c>
      <c r="H228" s="268" t="str">
        <f>$H$7</f>
        <v>PT</v>
      </c>
      <c r="I228" s="268" t="str">
        <f>$I$7</f>
        <v>SE</v>
      </c>
      <c r="J228" s="268" t="str">
        <f>$J$7</f>
        <v>Total</v>
      </c>
      <c r="K228" s="268"/>
      <c r="L228" s="268" t="str">
        <f>$L$7</f>
        <v>FT</v>
      </c>
      <c r="M228" s="268" t="str">
        <f>$M$7</f>
        <v>PT</v>
      </c>
      <c r="N228" s="268" t="str">
        <f>$N$7</f>
        <v>SE</v>
      </c>
      <c r="O228" s="268" t="str">
        <f>$O$7</f>
        <v>Total</v>
      </c>
    </row>
    <row r="229" spans="1:15" s="236" customFormat="1" x14ac:dyDescent="0.2">
      <c r="A229" s="258"/>
      <c r="B229" s="239"/>
      <c r="C229" s="239"/>
      <c r="D229" s="239"/>
      <c r="E229" s="239"/>
      <c r="F229" s="239"/>
      <c r="G229" s="239"/>
      <c r="H229" s="239"/>
      <c r="I229" s="239"/>
      <c r="J229" s="239"/>
      <c r="K229" s="239"/>
      <c r="L229" s="239"/>
      <c r="M229" s="239"/>
      <c r="N229" s="239"/>
      <c r="O229" s="239"/>
    </row>
    <row r="230" spans="1:15" s="236" customFormat="1" x14ac:dyDescent="0.2">
      <c r="A230" s="237" t="str">
        <f>name!E$4</f>
        <v>Managers, directors and senior officials</v>
      </c>
      <c r="B230" s="302">
        <v>7.9936930560045205</v>
      </c>
      <c r="C230" s="302">
        <v>0.67579268059319686</v>
      </c>
      <c r="D230" s="302">
        <v>1.1631145877979427</v>
      </c>
      <c r="E230" s="302">
        <f>SUM(B230:D230)</f>
        <v>9.8326003243956599</v>
      </c>
      <c r="F230" s="303"/>
      <c r="G230" s="302">
        <v>7.7766078200954407</v>
      </c>
      <c r="H230" s="302">
        <v>1.1403319928519615</v>
      </c>
      <c r="I230" s="302">
        <v>1.1406185688648813</v>
      </c>
      <c r="J230" s="302">
        <f>SUM(G230:I230)</f>
        <v>10.057558381812285</v>
      </c>
      <c r="K230" s="303"/>
      <c r="L230" s="302">
        <v>8.7323020842912928</v>
      </c>
      <c r="M230" s="302">
        <v>1.3891766988569161</v>
      </c>
      <c r="N230" s="302">
        <v>1.3780097609447159</v>
      </c>
      <c r="O230" s="302">
        <f>SUM(L230:N230)</f>
        <v>11.499488544092925</v>
      </c>
    </row>
    <row r="231" spans="1:15" s="236" customFormat="1" x14ac:dyDescent="0.2">
      <c r="A231" s="237" t="str">
        <f>name!E$5</f>
        <v>Professional occupations</v>
      </c>
      <c r="B231" s="302">
        <v>20.832539062476474</v>
      </c>
      <c r="C231" s="302">
        <v>1.0162083027508992</v>
      </c>
      <c r="D231" s="302">
        <v>2.6694642321222197</v>
      </c>
      <c r="E231" s="302">
        <f t="shared" ref="E231:E238" si="105">SUM(B231:D231)</f>
        <v>24.518211597349595</v>
      </c>
      <c r="F231" s="303"/>
      <c r="G231" s="302">
        <v>22.700818795498449</v>
      </c>
      <c r="H231" s="302">
        <v>1.6164203177615091</v>
      </c>
      <c r="I231" s="302">
        <v>2.3236885449714011</v>
      </c>
      <c r="J231" s="302">
        <f t="shared" ref="J231:J233" si="106">SUM(G231:I231)</f>
        <v>26.640927658231359</v>
      </c>
      <c r="K231" s="303"/>
      <c r="L231" s="302">
        <v>28.327528207293724</v>
      </c>
      <c r="M231" s="302">
        <v>2.1393407473401984</v>
      </c>
      <c r="N231" s="302">
        <v>2.2750501824788971</v>
      </c>
      <c r="O231" s="302">
        <f t="shared" ref="O231:O238" si="107">SUM(L231:N231)</f>
        <v>32.741919137112824</v>
      </c>
    </row>
    <row r="232" spans="1:15" s="236" customFormat="1" x14ac:dyDescent="0.2">
      <c r="A232" s="237" t="str">
        <f>name!E$6</f>
        <v>Associate professional occupations</v>
      </c>
      <c r="B232" s="302">
        <v>7.5919666362521117</v>
      </c>
      <c r="C232" s="302">
        <v>0.68551149680587486</v>
      </c>
      <c r="D232" s="302">
        <v>1.2562220552670733</v>
      </c>
      <c r="E232" s="302">
        <f t="shared" si="105"/>
        <v>9.5337001883250601</v>
      </c>
      <c r="F232" s="303"/>
      <c r="G232" s="302">
        <v>7.7688285643659762</v>
      </c>
      <c r="H232" s="302">
        <v>0.91767658966857879</v>
      </c>
      <c r="I232" s="302">
        <v>1.2782376082130773</v>
      </c>
      <c r="J232" s="302">
        <f t="shared" si="106"/>
        <v>9.9647427622476314</v>
      </c>
      <c r="K232" s="303"/>
      <c r="L232" s="302">
        <v>8.482979793750431</v>
      </c>
      <c r="M232" s="302">
        <v>0.92225364335239179</v>
      </c>
      <c r="N232" s="302">
        <v>1.5986624121655497</v>
      </c>
      <c r="O232" s="302">
        <f t="shared" si="107"/>
        <v>11.003895849268371</v>
      </c>
    </row>
    <row r="233" spans="1:15" s="236" customFormat="1" x14ac:dyDescent="0.2">
      <c r="A233" s="237" t="str">
        <f>name!E$7</f>
        <v>Administrative and secretarial occupations</v>
      </c>
      <c r="B233" s="302">
        <v>2.4653947265644915</v>
      </c>
      <c r="C233" s="302">
        <v>0.94692874483241452</v>
      </c>
      <c r="D233" s="302">
        <v>0.20479249435400282</v>
      </c>
      <c r="E233" s="302">
        <f t="shared" si="105"/>
        <v>3.6171159657509091</v>
      </c>
      <c r="F233" s="303"/>
      <c r="G233" s="302">
        <v>2.2203326453679151</v>
      </c>
      <c r="H233" s="302">
        <v>0.95155296540094403</v>
      </c>
      <c r="I233" s="302">
        <v>0.17904636902288712</v>
      </c>
      <c r="J233" s="302">
        <f t="shared" si="106"/>
        <v>3.3509319797917461</v>
      </c>
      <c r="K233" s="303"/>
      <c r="L233" s="302">
        <v>1.9309890410977244</v>
      </c>
      <c r="M233" s="302">
        <v>0.77141066203950626</v>
      </c>
      <c r="N233" s="302">
        <v>0.15522456847737331</v>
      </c>
      <c r="O233" s="302">
        <f t="shared" si="107"/>
        <v>2.8576242716146041</v>
      </c>
    </row>
    <row r="234" spans="1:15" s="236" customFormat="1" x14ac:dyDescent="0.2">
      <c r="A234" s="237" t="str">
        <f>name!E$8</f>
        <v>Skilled trades occupations</v>
      </c>
      <c r="B234" s="302">
        <v>3.0591411873272096</v>
      </c>
      <c r="C234" s="302">
        <v>0.21304886563903169</v>
      </c>
      <c r="D234" s="302">
        <v>0.7834865474105186</v>
      </c>
      <c r="E234" s="302">
        <f t="shared" si="105"/>
        <v>4.0556766003767599</v>
      </c>
      <c r="F234" s="303"/>
      <c r="G234" s="302">
        <v>2.1439278278589686</v>
      </c>
      <c r="H234" s="302">
        <v>0.16704526071242948</v>
      </c>
      <c r="I234" s="302">
        <v>0.52431834662781918</v>
      </c>
      <c r="J234" s="302">
        <f>SUM(G234:I234)</f>
        <v>2.8352914351992169</v>
      </c>
      <c r="K234" s="303"/>
      <c r="L234" s="302">
        <v>1.7729639118784009</v>
      </c>
      <c r="M234" s="302">
        <v>0.20006848887106504</v>
      </c>
      <c r="N234" s="302">
        <v>0.94906468117440779</v>
      </c>
      <c r="O234" s="302">
        <f t="shared" si="107"/>
        <v>2.9220970819238739</v>
      </c>
    </row>
    <row r="235" spans="1:15" s="236" customFormat="1" x14ac:dyDescent="0.2">
      <c r="A235" s="237" t="str">
        <f>name!E$9</f>
        <v>Caring, leisure and other service occupations</v>
      </c>
      <c r="B235" s="302">
        <v>0.86640151590585779</v>
      </c>
      <c r="C235" s="302">
        <v>0.14922787035340865</v>
      </c>
      <c r="D235" s="302">
        <v>0.13216409038126739</v>
      </c>
      <c r="E235" s="302">
        <f t="shared" si="105"/>
        <v>1.1477934766405338</v>
      </c>
      <c r="F235" s="303"/>
      <c r="G235" s="302">
        <v>0.73894740391047609</v>
      </c>
      <c r="H235" s="302">
        <v>0.14364931467587064</v>
      </c>
      <c r="I235" s="302">
        <v>0.13514591015966718</v>
      </c>
      <c r="J235" s="302">
        <f t="shared" ref="J235:J238" si="108">SUM(G235:I235)</f>
        <v>1.0177426287460138</v>
      </c>
      <c r="K235" s="303"/>
      <c r="L235" s="302">
        <v>1.0480947246189702</v>
      </c>
      <c r="M235" s="302">
        <v>0.1576260558164754</v>
      </c>
      <c r="N235" s="302">
        <v>0.22071364709824065</v>
      </c>
      <c r="O235" s="302">
        <f t="shared" si="107"/>
        <v>1.4264344275336864</v>
      </c>
    </row>
    <row r="236" spans="1:15" s="236" customFormat="1" x14ac:dyDescent="0.2">
      <c r="A236" s="237" t="str">
        <f>name!E$10</f>
        <v>Sales and customer service occupations</v>
      </c>
      <c r="B236" s="302">
        <v>1.5716232310922369</v>
      </c>
      <c r="C236" s="302">
        <v>0.59307682003137074</v>
      </c>
      <c r="D236" s="302">
        <v>0.16399325125734177</v>
      </c>
      <c r="E236" s="302">
        <f t="shared" si="105"/>
        <v>2.3286933023809491</v>
      </c>
      <c r="F236" s="303"/>
      <c r="G236" s="302">
        <v>1.272779304961192</v>
      </c>
      <c r="H236" s="302">
        <v>0.40002348051567738</v>
      </c>
      <c r="I236" s="302">
        <v>9.9943245854437576E-2</v>
      </c>
      <c r="J236" s="302">
        <f t="shared" si="108"/>
        <v>1.7727460313313068</v>
      </c>
      <c r="K236" s="303"/>
      <c r="L236" s="302">
        <v>1.6511849603558786</v>
      </c>
      <c r="M236" s="302">
        <v>0.51100720313188397</v>
      </c>
      <c r="N236" s="302">
        <v>0.1311815422377286</v>
      </c>
      <c r="O236" s="302">
        <f t="shared" si="107"/>
        <v>2.2933737057254913</v>
      </c>
    </row>
    <row r="237" spans="1:15" s="236" customFormat="1" x14ac:dyDescent="0.2">
      <c r="A237" s="237" t="str">
        <f>name!E$11</f>
        <v>Process, plant and machine operatives</v>
      </c>
      <c r="B237" s="302">
        <v>0.23494199711251842</v>
      </c>
      <c r="C237" s="302">
        <v>0.12848372923405293</v>
      </c>
      <c r="D237" s="302">
        <v>0.21343799573030112</v>
      </c>
      <c r="E237" s="302">
        <f t="shared" si="105"/>
        <v>0.57686372207687242</v>
      </c>
      <c r="F237" s="303"/>
      <c r="G237" s="302">
        <v>0.15559788099129088</v>
      </c>
      <c r="H237" s="302">
        <v>0.1522392550655097</v>
      </c>
      <c r="I237" s="302">
        <v>0.18964476548016915</v>
      </c>
      <c r="J237" s="302">
        <f t="shared" si="108"/>
        <v>0.4974819015369697</v>
      </c>
      <c r="K237" s="303"/>
      <c r="L237" s="302">
        <v>0.17931019355453562</v>
      </c>
      <c r="M237" s="302">
        <v>0.18242595557404795</v>
      </c>
      <c r="N237" s="302">
        <v>0.31367006463865132</v>
      </c>
      <c r="O237" s="302">
        <f t="shared" si="107"/>
        <v>0.67540621376723486</v>
      </c>
    </row>
    <row r="238" spans="1:15" s="236" customFormat="1" x14ac:dyDescent="0.2">
      <c r="A238" s="237" t="str">
        <f>name!E$12</f>
        <v>Elementary occupations</v>
      </c>
      <c r="B238" s="302">
        <v>0.37664466967941024</v>
      </c>
      <c r="C238" s="302">
        <v>0.19386872639292177</v>
      </c>
      <c r="D238" s="302">
        <v>0.23383142663132259</v>
      </c>
      <c r="E238" s="302">
        <f t="shared" si="105"/>
        <v>0.80434482270365459</v>
      </c>
      <c r="F238" s="303"/>
      <c r="G238" s="302">
        <v>0.24476447026802328</v>
      </c>
      <c r="H238" s="302">
        <v>0.12920446406793779</v>
      </c>
      <c r="I238" s="302">
        <v>0.14760828676751933</v>
      </c>
      <c r="J238" s="302">
        <f t="shared" si="108"/>
        <v>0.52157722110348037</v>
      </c>
      <c r="K238" s="303"/>
      <c r="L238" s="302">
        <v>0.21320000347655815</v>
      </c>
      <c r="M238" s="302">
        <v>0.10828168860684298</v>
      </c>
      <c r="N238" s="302">
        <v>0.21527907687772319</v>
      </c>
      <c r="O238" s="302">
        <f t="shared" si="107"/>
        <v>0.53676076896112435</v>
      </c>
    </row>
    <row r="239" spans="1:15" s="236" customFormat="1" x14ac:dyDescent="0.2">
      <c r="A239" s="237"/>
      <c r="B239" s="302"/>
      <c r="C239" s="302"/>
      <c r="D239" s="302"/>
      <c r="E239" s="302"/>
      <c r="F239" s="303"/>
      <c r="G239" s="302"/>
      <c r="H239" s="302"/>
      <c r="I239" s="302"/>
      <c r="J239" s="302"/>
      <c r="K239" s="303"/>
      <c r="L239" s="302"/>
      <c r="M239" s="302"/>
      <c r="N239" s="302"/>
      <c r="O239" s="302"/>
    </row>
    <row r="240" spans="1:15" s="236" customFormat="1" x14ac:dyDescent="0.2">
      <c r="A240" s="244" t="s">
        <v>33</v>
      </c>
      <c r="B240" s="311">
        <f>SUM(B230:B238)</f>
        <v>44.992346082414826</v>
      </c>
      <c r="C240" s="311">
        <f t="shared" ref="C240:E240" si="109">SUM(C230:C238)</f>
        <v>4.6021472366331713</v>
      </c>
      <c r="D240" s="311">
        <f t="shared" si="109"/>
        <v>6.820506680951989</v>
      </c>
      <c r="E240" s="311">
        <f t="shared" si="109"/>
        <v>56.414999999999999</v>
      </c>
      <c r="F240" s="311"/>
      <c r="G240" s="311">
        <f t="shared" ref="G240:J240" si="110">SUM(G230:G238)</f>
        <v>45.022604713317733</v>
      </c>
      <c r="H240" s="311">
        <f t="shared" si="110"/>
        <v>5.6181436407204179</v>
      </c>
      <c r="I240" s="311">
        <f t="shared" si="110"/>
        <v>6.0182516459618594</v>
      </c>
      <c r="J240" s="311">
        <f t="shared" si="110"/>
        <v>56.659000000000013</v>
      </c>
      <c r="K240" s="311"/>
      <c r="L240" s="311">
        <f t="shared" ref="L240:O240" si="111">SUM(L230:L238)</f>
        <v>52.338552920317511</v>
      </c>
      <c r="M240" s="311">
        <f t="shared" si="111"/>
        <v>6.3815911435893291</v>
      </c>
      <c r="N240" s="311">
        <f t="shared" si="111"/>
        <v>7.2368559360932867</v>
      </c>
      <c r="O240" s="311">
        <f t="shared" si="111"/>
        <v>65.957000000000136</v>
      </c>
    </row>
    <row r="241" spans="1:15" s="236" customFormat="1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37"/>
      <c r="M241" s="237"/>
      <c r="N241" s="240"/>
    </row>
    <row r="242" spans="1:15" s="236" customFormat="1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37"/>
      <c r="M242" s="237"/>
      <c r="N242" s="240"/>
      <c r="O242" s="251" t="s">
        <v>36</v>
      </c>
    </row>
    <row r="243" spans="1:15" s="236" customFormat="1" x14ac:dyDescent="0.2">
      <c r="A243" s="242"/>
      <c r="B243" s="242"/>
      <c r="C243" s="242"/>
      <c r="D243" s="242"/>
      <c r="E243" s="242"/>
      <c r="F243" s="242"/>
      <c r="G243" s="242"/>
      <c r="H243" s="242"/>
      <c r="I243" s="242"/>
      <c r="J243" s="242"/>
      <c r="K243" s="242"/>
      <c r="L243" s="242"/>
      <c r="M243" s="242"/>
      <c r="N243" s="242"/>
      <c r="O243" s="242"/>
    </row>
    <row r="244" spans="1:15" s="236" customFormat="1" x14ac:dyDescent="0.2">
      <c r="A244" s="241" t="str">
        <f>name!B17</f>
        <v>Finance and insurance</v>
      </c>
      <c r="B244" s="377">
        <f>$B$6</f>
        <v>2015</v>
      </c>
      <c r="C244" s="377"/>
      <c r="D244" s="377"/>
      <c r="E244" s="377"/>
      <c r="F244" s="263"/>
      <c r="G244" s="377">
        <f>$G$6</f>
        <v>2020</v>
      </c>
      <c r="H244" s="377"/>
      <c r="I244" s="377"/>
      <c r="J244" s="377"/>
      <c r="K244" s="263"/>
      <c r="L244" s="377">
        <f>$L$6</f>
        <v>2035</v>
      </c>
      <c r="M244" s="377"/>
      <c r="N244" s="377"/>
      <c r="O244" s="377"/>
    </row>
    <row r="245" spans="1:15" s="236" customFormat="1" x14ac:dyDescent="0.2">
      <c r="A245" s="254"/>
      <c r="B245" s="268" t="str">
        <f>$B$7</f>
        <v>FT</v>
      </c>
      <c r="C245" s="268" t="str">
        <f>$C$7</f>
        <v>PT</v>
      </c>
      <c r="D245" s="268" t="str">
        <f>$D$7</f>
        <v>SE</v>
      </c>
      <c r="E245" s="268" t="str">
        <f>$E$7</f>
        <v>Total</v>
      </c>
      <c r="F245" s="268"/>
      <c r="G245" s="268" t="str">
        <f>$G$7</f>
        <v>FT</v>
      </c>
      <c r="H245" s="268" t="str">
        <f>$H$7</f>
        <v>PT</v>
      </c>
      <c r="I245" s="268" t="str">
        <f>$I$7</f>
        <v>SE</v>
      </c>
      <c r="J245" s="268" t="str">
        <f>$J$7</f>
        <v>Total</v>
      </c>
      <c r="K245" s="268"/>
      <c r="L245" s="268" t="str">
        <f>$L$7</f>
        <v>FT</v>
      </c>
      <c r="M245" s="268" t="str">
        <f>$M$7</f>
        <v>PT</v>
      </c>
      <c r="N245" s="268" t="str">
        <f>$N$7</f>
        <v>SE</v>
      </c>
      <c r="O245" s="268" t="str">
        <f>$O$7</f>
        <v>Total</v>
      </c>
    </row>
    <row r="246" spans="1:15" s="236" customFormat="1" x14ac:dyDescent="0.2">
      <c r="A246" s="258"/>
      <c r="B246" s="239"/>
      <c r="C246" s="239"/>
      <c r="D246" s="239"/>
      <c r="E246" s="239"/>
      <c r="F246" s="239"/>
      <c r="G246" s="239"/>
      <c r="H246" s="239"/>
      <c r="I246" s="239"/>
      <c r="J246" s="239"/>
      <c r="K246" s="239"/>
      <c r="L246" s="239"/>
      <c r="M246" s="239"/>
      <c r="N246" s="239"/>
      <c r="O246" s="239"/>
    </row>
    <row r="247" spans="1:15" s="236" customFormat="1" x14ac:dyDescent="0.2">
      <c r="A247" s="237" t="str">
        <f>name!E$4</f>
        <v>Managers, directors and senior officials</v>
      </c>
      <c r="B247" s="302">
        <v>3.4258871917329121</v>
      </c>
      <c r="C247" s="302">
        <v>0.28053231128428302</v>
      </c>
      <c r="D247" s="302">
        <v>0.42359930629825271</v>
      </c>
      <c r="E247" s="302">
        <f>SUM(B247:D247)</f>
        <v>4.1300188093154482</v>
      </c>
      <c r="F247" s="303"/>
      <c r="G247" s="302">
        <v>3.549793644031336</v>
      </c>
      <c r="H247" s="302">
        <v>0.33921347515553552</v>
      </c>
      <c r="I247" s="302">
        <v>0.5607613935461282</v>
      </c>
      <c r="J247" s="302">
        <f>SUM(G247:I247)</f>
        <v>4.4497685127329998</v>
      </c>
      <c r="K247" s="303"/>
      <c r="L247" s="302">
        <v>3.2048229273922999</v>
      </c>
      <c r="M247" s="302">
        <v>0.37187017559559921</v>
      </c>
      <c r="N247" s="302">
        <v>0.61097935804450942</v>
      </c>
      <c r="O247" s="302">
        <f>SUM(L247:N247)</f>
        <v>4.1876724610324088</v>
      </c>
    </row>
    <row r="248" spans="1:15" s="236" customFormat="1" x14ac:dyDescent="0.2">
      <c r="A248" s="237" t="str">
        <f>name!E$5</f>
        <v>Professional occupations</v>
      </c>
      <c r="B248" s="302">
        <v>4.0171629078734528</v>
      </c>
      <c r="C248" s="302">
        <v>0.2373290400852191</v>
      </c>
      <c r="D248" s="302">
        <v>0.52443659023528644</v>
      </c>
      <c r="E248" s="302">
        <f t="shared" ref="E248:E255" si="112">SUM(B248:D248)</f>
        <v>4.7789285381939584</v>
      </c>
      <c r="F248" s="303"/>
      <c r="G248" s="302">
        <v>4.7918038487386108</v>
      </c>
      <c r="H248" s="302">
        <v>0.25996338467202484</v>
      </c>
      <c r="I248" s="302">
        <v>0.6209994734221711</v>
      </c>
      <c r="J248" s="302">
        <f t="shared" ref="J248:J250" si="113">SUM(G248:I248)</f>
        <v>5.6727667068328067</v>
      </c>
      <c r="K248" s="303"/>
      <c r="L248" s="302">
        <v>5.3017132646475131</v>
      </c>
      <c r="M248" s="302">
        <v>0.28197399453527072</v>
      </c>
      <c r="N248" s="302">
        <v>0.61885070361538852</v>
      </c>
      <c r="O248" s="302">
        <f t="shared" ref="O248:O255" si="114">SUM(L248:N248)</f>
        <v>6.2025379627981723</v>
      </c>
    </row>
    <row r="249" spans="1:15" s="236" customFormat="1" x14ac:dyDescent="0.2">
      <c r="A249" s="237" t="str">
        <f>name!E$6</f>
        <v>Associate professional occupations</v>
      </c>
      <c r="B249" s="302">
        <v>4.3473603429764385</v>
      </c>
      <c r="C249" s="302">
        <v>0.50701676062649526</v>
      </c>
      <c r="D249" s="302">
        <v>0.74924116764936055</v>
      </c>
      <c r="E249" s="302">
        <f t="shared" si="112"/>
        <v>5.6036182712522944</v>
      </c>
      <c r="F249" s="303"/>
      <c r="G249" s="302">
        <v>4.5534676947483765</v>
      </c>
      <c r="H249" s="302">
        <v>0.43939663456634664</v>
      </c>
      <c r="I249" s="302">
        <v>0.83075757353156843</v>
      </c>
      <c r="J249" s="302">
        <f t="shared" si="113"/>
        <v>5.8236219028462912</v>
      </c>
      <c r="K249" s="303"/>
      <c r="L249" s="302">
        <v>3.9294606105384267</v>
      </c>
      <c r="M249" s="302">
        <v>0.44404830668856204</v>
      </c>
      <c r="N249" s="302">
        <v>0.70728018741070309</v>
      </c>
      <c r="O249" s="302">
        <f t="shared" si="114"/>
        <v>5.0807891046376916</v>
      </c>
    </row>
    <row r="250" spans="1:15" s="236" customFormat="1" x14ac:dyDescent="0.2">
      <c r="A250" s="237" t="str">
        <f>name!E$7</f>
        <v>Administrative and secretarial occupations</v>
      </c>
      <c r="B250" s="302">
        <v>4.2693588307414307</v>
      </c>
      <c r="C250" s="302">
        <v>1.644478131103192</v>
      </c>
      <c r="D250" s="302">
        <v>0.17916295176615155</v>
      </c>
      <c r="E250" s="302">
        <f t="shared" si="112"/>
        <v>6.0929999136107744</v>
      </c>
      <c r="F250" s="303"/>
      <c r="G250" s="302">
        <v>3.7861135759611617</v>
      </c>
      <c r="H250" s="302">
        <v>1.2549428514951559</v>
      </c>
      <c r="I250" s="302">
        <v>0.14001996645153308</v>
      </c>
      <c r="J250" s="302">
        <f t="shared" si="113"/>
        <v>5.1810763939078504</v>
      </c>
      <c r="K250" s="303"/>
      <c r="L250" s="302">
        <v>2.5136618402970554</v>
      </c>
      <c r="M250" s="302">
        <v>0.89915127887564772</v>
      </c>
      <c r="N250" s="302">
        <v>0.12980784207731125</v>
      </c>
      <c r="O250" s="302">
        <f t="shared" si="114"/>
        <v>3.5426209612500146</v>
      </c>
    </row>
    <row r="251" spans="1:15" s="236" customFormat="1" x14ac:dyDescent="0.2">
      <c r="A251" s="237" t="str">
        <f>name!E$8</f>
        <v>Skilled trades occupations</v>
      </c>
      <c r="B251" s="302">
        <v>0.24093926522213713</v>
      </c>
      <c r="C251" s="302">
        <v>4.9832058507824468E-2</v>
      </c>
      <c r="D251" s="302">
        <v>0.19407407851974409</v>
      </c>
      <c r="E251" s="302">
        <f t="shared" si="112"/>
        <v>0.48484540224970574</v>
      </c>
      <c r="F251" s="303"/>
      <c r="G251" s="302">
        <v>0.17504071350781636</v>
      </c>
      <c r="H251" s="302">
        <v>2.9406843520644287E-2</v>
      </c>
      <c r="I251" s="302">
        <v>0.16132228371295773</v>
      </c>
      <c r="J251" s="302">
        <f>SUM(G251:I251)</f>
        <v>0.36576984074141838</v>
      </c>
      <c r="K251" s="303"/>
      <c r="L251" s="302">
        <v>0.17032559769815592</v>
      </c>
      <c r="M251" s="302">
        <v>3.2137246599282077E-2</v>
      </c>
      <c r="N251" s="302">
        <v>0.16208708681690645</v>
      </c>
      <c r="O251" s="302">
        <f t="shared" si="114"/>
        <v>0.36454993111434442</v>
      </c>
    </row>
    <row r="252" spans="1:15" s="236" customFormat="1" x14ac:dyDescent="0.2">
      <c r="A252" s="237" t="str">
        <f>name!E$9</f>
        <v>Caring, leisure and other service occupations</v>
      </c>
      <c r="B252" s="302">
        <v>0.20055655459774546</v>
      </c>
      <c r="C252" s="302">
        <v>1.6429769138538421E-2</v>
      </c>
      <c r="D252" s="302">
        <v>7.0202514631807308E-2</v>
      </c>
      <c r="E252" s="302">
        <f t="shared" si="112"/>
        <v>0.28718883836809117</v>
      </c>
      <c r="F252" s="303"/>
      <c r="G252" s="302">
        <v>0.15298020301792145</v>
      </c>
      <c r="H252" s="302">
        <v>1.1994731118487671E-2</v>
      </c>
      <c r="I252" s="302">
        <v>5.7201350486319219E-2</v>
      </c>
      <c r="J252" s="302">
        <f t="shared" ref="J252:J255" si="115">SUM(G252:I252)</f>
        <v>0.22217628462272834</v>
      </c>
      <c r="K252" s="303"/>
      <c r="L252" s="302">
        <v>0.1643192941971624</v>
      </c>
      <c r="M252" s="302">
        <v>9.4504497589536548E-3</v>
      </c>
      <c r="N252" s="302">
        <v>7.5045602128190878E-2</v>
      </c>
      <c r="O252" s="302">
        <f t="shared" si="114"/>
        <v>0.24881534608430694</v>
      </c>
    </row>
    <row r="253" spans="1:15" s="236" customFormat="1" x14ac:dyDescent="0.2">
      <c r="A253" s="237" t="str">
        <f>name!E$10</f>
        <v>Sales and customer service occupations</v>
      </c>
      <c r="B253" s="302">
        <v>1.1526031883710937</v>
      </c>
      <c r="C253" s="302">
        <v>0.43296298256849269</v>
      </c>
      <c r="D253" s="302">
        <v>0.26675598699355141</v>
      </c>
      <c r="E253" s="302">
        <f t="shared" si="112"/>
        <v>1.8523221579331377</v>
      </c>
      <c r="F253" s="303"/>
      <c r="G253" s="302">
        <v>0.95915683733904611</v>
      </c>
      <c r="H253" s="302">
        <v>0.35920224958138858</v>
      </c>
      <c r="I253" s="302">
        <v>0.12236092818881245</v>
      </c>
      <c r="J253" s="302">
        <f t="shared" si="115"/>
        <v>1.4407200151092472</v>
      </c>
      <c r="K253" s="303"/>
      <c r="L253" s="302">
        <v>0.95370033711262314</v>
      </c>
      <c r="M253" s="302">
        <v>0.39106218267051301</v>
      </c>
      <c r="N253" s="302">
        <v>9.8278740604334697E-2</v>
      </c>
      <c r="O253" s="302">
        <f t="shared" si="114"/>
        <v>1.4430412603874707</v>
      </c>
    </row>
    <row r="254" spans="1:15" s="236" customFormat="1" x14ac:dyDescent="0.2">
      <c r="A254" s="237" t="str">
        <f>name!E$11</f>
        <v>Process, plant and machine operatives</v>
      </c>
      <c r="B254" s="302">
        <v>9.3549834482006752E-2</v>
      </c>
      <c r="C254" s="302">
        <v>1.8839140414085378E-2</v>
      </c>
      <c r="D254" s="302">
        <v>5.1864906935980309E-2</v>
      </c>
      <c r="E254" s="302">
        <f t="shared" si="112"/>
        <v>0.16425388183207246</v>
      </c>
      <c r="F254" s="303"/>
      <c r="G254" s="302">
        <v>6.5962006211304172E-2</v>
      </c>
      <c r="H254" s="302">
        <v>1.183064442348946E-2</v>
      </c>
      <c r="I254" s="302">
        <v>9.6825245213423713E-2</v>
      </c>
      <c r="J254" s="302">
        <f t="shared" si="115"/>
        <v>0.17461789584821735</v>
      </c>
      <c r="K254" s="303"/>
      <c r="L254" s="302">
        <v>7.0299955183210458E-2</v>
      </c>
      <c r="M254" s="302">
        <v>2.1834373866154839E-2</v>
      </c>
      <c r="N254" s="302">
        <v>0.13925218803858941</v>
      </c>
      <c r="O254" s="302">
        <f t="shared" si="114"/>
        <v>0.23138651708795471</v>
      </c>
    </row>
    <row r="255" spans="1:15" s="236" customFormat="1" x14ac:dyDescent="0.2">
      <c r="A255" s="237" t="str">
        <f>name!E$12</f>
        <v>Elementary occupations</v>
      </c>
      <c r="B255" s="302">
        <v>0.21554434401186948</v>
      </c>
      <c r="C255" s="302">
        <v>6.2261730182312798E-2</v>
      </c>
      <c r="D255" s="302">
        <v>6.5018113050354792E-2</v>
      </c>
      <c r="E255" s="302">
        <f t="shared" si="112"/>
        <v>0.34282418724453712</v>
      </c>
      <c r="F255" s="303"/>
      <c r="G255" s="302">
        <v>0.15442754121889535</v>
      </c>
      <c r="H255" s="302">
        <v>3.9527137151935177E-2</v>
      </c>
      <c r="I255" s="302">
        <v>5.052776898765745E-2</v>
      </c>
      <c r="J255" s="302">
        <f t="shared" si="115"/>
        <v>0.24448244735848798</v>
      </c>
      <c r="K255" s="303"/>
      <c r="L255" s="302">
        <v>0.13887955139979122</v>
      </c>
      <c r="M255" s="302">
        <v>2.6680889416419502E-2</v>
      </c>
      <c r="N255" s="302">
        <v>6.1026014791432673E-2</v>
      </c>
      <c r="O255" s="302">
        <f t="shared" si="114"/>
        <v>0.2265864556076434</v>
      </c>
    </row>
    <row r="256" spans="1:15" s="236" customFormat="1" x14ac:dyDescent="0.2">
      <c r="A256" s="237"/>
      <c r="B256" s="302"/>
      <c r="C256" s="302"/>
      <c r="D256" s="302"/>
      <c r="E256" s="302"/>
      <c r="F256" s="303"/>
      <c r="G256" s="302"/>
      <c r="H256" s="302"/>
      <c r="I256" s="302"/>
      <c r="J256" s="302"/>
      <c r="K256" s="303"/>
      <c r="L256" s="302"/>
      <c r="M256" s="302"/>
      <c r="N256" s="302"/>
      <c r="O256" s="302"/>
    </row>
    <row r="257" spans="1:15" s="236" customFormat="1" x14ac:dyDescent="0.2">
      <c r="A257" s="244" t="s">
        <v>33</v>
      </c>
      <c r="B257" s="311">
        <f>SUM(B247:B255)</f>
        <v>17.962962460009091</v>
      </c>
      <c r="C257" s="311">
        <f t="shared" ref="C257:E257" si="116">SUM(C247:C255)</f>
        <v>3.2496819239104431</v>
      </c>
      <c r="D257" s="311">
        <f t="shared" si="116"/>
        <v>2.5243556160804888</v>
      </c>
      <c r="E257" s="311">
        <f t="shared" si="116"/>
        <v>23.737000000000023</v>
      </c>
      <c r="F257" s="311"/>
      <c r="G257" s="311">
        <f t="shared" ref="G257:J257" si="117">SUM(G247:G255)</f>
        <v>18.188746064774467</v>
      </c>
      <c r="H257" s="311">
        <f t="shared" si="117"/>
        <v>2.7454779516850083</v>
      </c>
      <c r="I257" s="311">
        <f t="shared" si="117"/>
        <v>2.6407759835405713</v>
      </c>
      <c r="J257" s="311">
        <f t="shared" si="117"/>
        <v>23.575000000000049</v>
      </c>
      <c r="K257" s="311"/>
      <c r="L257" s="311">
        <f t="shared" ref="L257:O257" si="118">SUM(L247:L255)</f>
        <v>16.447183378466239</v>
      </c>
      <c r="M257" s="311">
        <f t="shared" si="118"/>
        <v>2.4782088980064034</v>
      </c>
      <c r="N257" s="311">
        <f t="shared" si="118"/>
        <v>2.6026077235273664</v>
      </c>
      <c r="O257" s="311">
        <f t="shared" si="118"/>
        <v>21.528000000000009</v>
      </c>
    </row>
    <row r="258" spans="1:15" s="236" customFormat="1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37"/>
      <c r="M258" s="237"/>
      <c r="N258" s="240"/>
    </row>
    <row r="259" spans="1:15" s="236" customFormat="1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37"/>
      <c r="M259" s="237"/>
      <c r="N259" s="240"/>
      <c r="O259" s="251" t="s">
        <v>36</v>
      </c>
    </row>
    <row r="260" spans="1:15" s="236" customFormat="1" x14ac:dyDescent="0.2">
      <c r="A260" s="242"/>
      <c r="B260" s="242"/>
      <c r="C260" s="242"/>
      <c r="D260" s="242"/>
      <c r="E260" s="242"/>
      <c r="F260" s="242"/>
      <c r="G260" s="242"/>
      <c r="H260" s="242"/>
      <c r="I260" s="242"/>
      <c r="J260" s="242"/>
      <c r="K260" s="242"/>
      <c r="L260" s="242"/>
      <c r="M260" s="242"/>
      <c r="N260" s="242"/>
      <c r="O260" s="242"/>
    </row>
    <row r="261" spans="1:15" s="236" customFormat="1" x14ac:dyDescent="0.2">
      <c r="A261" s="241" t="str">
        <f>name!B18</f>
        <v>Real estate</v>
      </c>
      <c r="B261" s="377">
        <f>$B$6</f>
        <v>2015</v>
      </c>
      <c r="C261" s="377"/>
      <c r="D261" s="377"/>
      <c r="E261" s="377"/>
      <c r="F261" s="263"/>
      <c r="G261" s="377">
        <f>$G$6</f>
        <v>2020</v>
      </c>
      <c r="H261" s="377"/>
      <c r="I261" s="377"/>
      <c r="J261" s="377"/>
      <c r="K261" s="263"/>
      <c r="L261" s="377">
        <f>$L$6</f>
        <v>2035</v>
      </c>
      <c r="M261" s="377"/>
      <c r="N261" s="377"/>
      <c r="O261" s="377"/>
    </row>
    <row r="262" spans="1:15" s="236" customFormat="1" x14ac:dyDescent="0.2">
      <c r="A262" s="254"/>
      <c r="B262" s="268" t="str">
        <f>$B$7</f>
        <v>FT</v>
      </c>
      <c r="C262" s="268" t="str">
        <f>$C$7</f>
        <v>PT</v>
      </c>
      <c r="D262" s="268" t="str">
        <f>$D$7</f>
        <v>SE</v>
      </c>
      <c r="E262" s="268" t="str">
        <f>$E$7</f>
        <v>Total</v>
      </c>
      <c r="F262" s="268"/>
      <c r="G262" s="268" t="str">
        <f>$G$7</f>
        <v>FT</v>
      </c>
      <c r="H262" s="268" t="str">
        <f>$H$7</f>
        <v>PT</v>
      </c>
      <c r="I262" s="268" t="str">
        <f>$I$7</f>
        <v>SE</v>
      </c>
      <c r="J262" s="268" t="str">
        <f>$J$7</f>
        <v>Total</v>
      </c>
      <c r="K262" s="268"/>
      <c r="L262" s="268" t="str">
        <f>$L$7</f>
        <v>FT</v>
      </c>
      <c r="M262" s="268" t="str">
        <f>$M$7</f>
        <v>PT</v>
      </c>
      <c r="N262" s="268" t="str">
        <f>$N$7</f>
        <v>SE</v>
      </c>
      <c r="O262" s="268" t="str">
        <f>$O$7</f>
        <v>Total</v>
      </c>
    </row>
    <row r="263" spans="1:15" s="236" customFormat="1" x14ac:dyDescent="0.2">
      <c r="A263" s="258"/>
      <c r="B263" s="239"/>
      <c r="C263" s="239"/>
      <c r="D263" s="239"/>
      <c r="E263" s="239"/>
      <c r="F263" s="239"/>
      <c r="G263" s="239"/>
      <c r="H263" s="239"/>
      <c r="I263" s="239"/>
      <c r="J263" s="239"/>
      <c r="K263" s="239"/>
      <c r="L263" s="239"/>
      <c r="M263" s="239"/>
      <c r="N263" s="239"/>
      <c r="O263" s="239"/>
    </row>
    <row r="264" spans="1:15" s="236" customFormat="1" x14ac:dyDescent="0.2">
      <c r="A264" s="237" t="str">
        <f>name!E$4</f>
        <v>Managers, directors and senior officials</v>
      </c>
      <c r="B264" s="302">
        <v>2.1022817278990753</v>
      </c>
      <c r="C264" s="302">
        <v>0.47545202198389491</v>
      </c>
      <c r="D264" s="302">
        <v>0.77933233542801328</v>
      </c>
      <c r="E264" s="302">
        <f>SUM(B264:D264)</f>
        <v>3.3570660853109837</v>
      </c>
      <c r="F264" s="303"/>
      <c r="G264" s="302">
        <v>2.1566457786605229</v>
      </c>
      <c r="H264" s="302">
        <v>0.65158214160506578</v>
      </c>
      <c r="I264" s="302">
        <v>0.69278436286272904</v>
      </c>
      <c r="J264" s="302">
        <f>SUM(G264:I264)</f>
        <v>3.5010122831283175</v>
      </c>
      <c r="K264" s="303"/>
      <c r="L264" s="302">
        <v>2.6668319487211543</v>
      </c>
      <c r="M264" s="302">
        <v>0.74137726607772902</v>
      </c>
      <c r="N264" s="302">
        <v>0.83301029391586123</v>
      </c>
      <c r="O264" s="302">
        <f>SUM(L264:N264)</f>
        <v>4.2412195087147442</v>
      </c>
    </row>
    <row r="265" spans="1:15" s="236" customFormat="1" x14ac:dyDescent="0.2">
      <c r="A265" s="237" t="str">
        <f>name!E$5</f>
        <v>Professional occupations</v>
      </c>
      <c r="B265" s="302">
        <v>1.8085865119317455</v>
      </c>
      <c r="C265" s="302">
        <v>0.32997761543627735</v>
      </c>
      <c r="D265" s="302">
        <v>0.29139377005036365</v>
      </c>
      <c r="E265" s="302">
        <f t="shared" ref="E265:E272" si="119">SUM(B265:D265)</f>
        <v>2.4299578974183866</v>
      </c>
      <c r="F265" s="303"/>
      <c r="G265" s="302">
        <v>2.137069147455545</v>
      </c>
      <c r="H265" s="302">
        <v>0.51452636282954045</v>
      </c>
      <c r="I265" s="302">
        <v>0.20390347272494977</v>
      </c>
      <c r="J265" s="302">
        <f t="shared" ref="J265:J267" si="120">SUM(G265:I265)</f>
        <v>2.8554989830100355</v>
      </c>
      <c r="K265" s="303"/>
      <c r="L265" s="302">
        <v>2.7049619244208709</v>
      </c>
      <c r="M265" s="302">
        <v>0.61444772671362613</v>
      </c>
      <c r="N265" s="302">
        <v>0.16427961144449585</v>
      </c>
      <c r="O265" s="302">
        <f t="shared" ref="O265:O272" si="121">SUM(L265:N265)</f>
        <v>3.4836892625789928</v>
      </c>
    </row>
    <row r="266" spans="1:15" s="236" customFormat="1" x14ac:dyDescent="0.2">
      <c r="A266" s="237" t="str">
        <f>name!E$6</f>
        <v>Associate professional occupations</v>
      </c>
      <c r="B266" s="302">
        <v>1.7210451252738197</v>
      </c>
      <c r="C266" s="302">
        <v>0.46311912000528765</v>
      </c>
      <c r="D266" s="302">
        <v>0.1925723697099562</v>
      </c>
      <c r="E266" s="302">
        <f t="shared" si="119"/>
        <v>2.3767366149890634</v>
      </c>
      <c r="F266" s="303"/>
      <c r="G266" s="302">
        <v>1.8468576451362657</v>
      </c>
      <c r="H266" s="302">
        <v>0.57884490122867827</v>
      </c>
      <c r="I266" s="302">
        <v>0.1387145002586386</v>
      </c>
      <c r="J266" s="302">
        <f t="shared" si="120"/>
        <v>2.5644170466235825</v>
      </c>
      <c r="K266" s="303"/>
      <c r="L266" s="302">
        <v>2.0793616013436713</v>
      </c>
      <c r="M266" s="302">
        <v>0.57187512025167719</v>
      </c>
      <c r="N266" s="302">
        <v>0.12310912475817203</v>
      </c>
      <c r="O266" s="302">
        <f t="shared" si="121"/>
        <v>2.7743458463535209</v>
      </c>
    </row>
    <row r="267" spans="1:15" s="236" customFormat="1" x14ac:dyDescent="0.2">
      <c r="A267" s="237" t="str">
        <f>name!E$7</f>
        <v>Administrative and secretarial occupations</v>
      </c>
      <c r="B267" s="302">
        <v>1.3082415151906466</v>
      </c>
      <c r="C267" s="302">
        <v>1.3323961041366557</v>
      </c>
      <c r="D267" s="302">
        <v>0.15692170707661324</v>
      </c>
      <c r="E267" s="302">
        <f t="shared" si="119"/>
        <v>2.7975593264039156</v>
      </c>
      <c r="F267" s="303"/>
      <c r="G267" s="302">
        <v>1.2108078121666253</v>
      </c>
      <c r="H267" s="302">
        <v>1.6260448095736575</v>
      </c>
      <c r="I267" s="302">
        <v>0.1357633292439076</v>
      </c>
      <c r="J267" s="302">
        <f t="shared" si="120"/>
        <v>2.9726159509841903</v>
      </c>
      <c r="K267" s="303"/>
      <c r="L267" s="302">
        <v>1.0037357725373022</v>
      </c>
      <c r="M267" s="302">
        <v>1.4694502363581081</v>
      </c>
      <c r="N267" s="302">
        <v>0.15814011639071421</v>
      </c>
      <c r="O267" s="302">
        <f t="shared" si="121"/>
        <v>2.6313261252861246</v>
      </c>
    </row>
    <row r="268" spans="1:15" s="236" customFormat="1" x14ac:dyDescent="0.2">
      <c r="A268" s="237" t="str">
        <f>name!E$8</f>
        <v>Skilled trades occupations</v>
      </c>
      <c r="B268" s="302">
        <v>0.61661749422618961</v>
      </c>
      <c r="C268" s="302">
        <v>0.1119848887190098</v>
      </c>
      <c r="D268" s="302">
        <v>0.40466850388686593</v>
      </c>
      <c r="E268" s="302">
        <f t="shared" si="119"/>
        <v>1.1332708868320653</v>
      </c>
      <c r="F268" s="303"/>
      <c r="G268" s="302">
        <v>0.47001782907024447</v>
      </c>
      <c r="H268" s="302">
        <v>8.6930241179944523E-2</v>
      </c>
      <c r="I268" s="302">
        <v>0.23500294349611636</v>
      </c>
      <c r="J268" s="302">
        <f>SUM(G268:I268)</f>
        <v>0.79195101374630539</v>
      </c>
      <c r="K268" s="303"/>
      <c r="L268" s="302">
        <v>0.61347995239970354</v>
      </c>
      <c r="M268" s="302">
        <v>0.1339440885251322</v>
      </c>
      <c r="N268" s="302">
        <v>0.33986493279420199</v>
      </c>
      <c r="O268" s="302">
        <f t="shared" si="121"/>
        <v>1.0872889737190377</v>
      </c>
    </row>
    <row r="269" spans="1:15" s="236" customFormat="1" x14ac:dyDescent="0.2">
      <c r="A269" s="237" t="str">
        <f>name!E$9</f>
        <v>Caring, leisure and other service occupations</v>
      </c>
      <c r="B269" s="302">
        <v>0.27162972988220851</v>
      </c>
      <c r="C269" s="302">
        <v>0.15051163020409736</v>
      </c>
      <c r="D269" s="302">
        <v>7.3896771296162636E-2</v>
      </c>
      <c r="E269" s="302">
        <f t="shared" si="119"/>
        <v>0.49603813138246849</v>
      </c>
      <c r="F269" s="303"/>
      <c r="G269" s="302">
        <v>0.24704395880690161</v>
      </c>
      <c r="H269" s="302">
        <v>0.15683356512659363</v>
      </c>
      <c r="I269" s="302">
        <v>5.5897240074787802E-2</v>
      </c>
      <c r="J269" s="302">
        <f t="shared" ref="J269:J272" si="122">SUM(G269:I269)</f>
        <v>0.45977476400828304</v>
      </c>
      <c r="K269" s="303"/>
      <c r="L269" s="302">
        <v>0.31855448418552723</v>
      </c>
      <c r="M269" s="302">
        <v>0.15013768689008458</v>
      </c>
      <c r="N269" s="302">
        <v>0.1048077643044184</v>
      </c>
      <c r="O269" s="302">
        <f t="shared" si="121"/>
        <v>0.57349993538003019</v>
      </c>
    </row>
    <row r="270" spans="1:15" s="236" customFormat="1" x14ac:dyDescent="0.2">
      <c r="A270" s="237" t="str">
        <f>name!E$10</f>
        <v>Sales and customer service occupations</v>
      </c>
      <c r="B270" s="302">
        <v>0.90769197763057463</v>
      </c>
      <c r="C270" s="302">
        <v>0.51063304557196865</v>
      </c>
      <c r="D270" s="302">
        <v>0.19892481961714775</v>
      </c>
      <c r="E270" s="302">
        <f t="shared" si="119"/>
        <v>1.6172498428196911</v>
      </c>
      <c r="F270" s="303"/>
      <c r="G270" s="302">
        <v>0.74851926254200229</v>
      </c>
      <c r="H270" s="302">
        <v>0.54847852684441856</v>
      </c>
      <c r="I270" s="302">
        <v>0.12626341652272816</v>
      </c>
      <c r="J270" s="302">
        <f t="shared" si="122"/>
        <v>1.423261205909149</v>
      </c>
      <c r="K270" s="303"/>
      <c r="L270" s="302">
        <v>0.83356075517936457</v>
      </c>
      <c r="M270" s="302">
        <v>0.58951591395269098</v>
      </c>
      <c r="N270" s="302">
        <v>0.11984441326643085</v>
      </c>
      <c r="O270" s="302">
        <f t="shared" si="121"/>
        <v>1.5429210823984865</v>
      </c>
    </row>
    <row r="271" spans="1:15" s="236" customFormat="1" x14ac:dyDescent="0.2">
      <c r="A271" s="237" t="str">
        <f>name!E$11</f>
        <v>Process, plant and machine operatives</v>
      </c>
      <c r="B271" s="302">
        <v>0.11964524346926808</v>
      </c>
      <c r="C271" s="302">
        <v>3.8309840157195574E-2</v>
      </c>
      <c r="D271" s="302">
        <v>1.6581981064288962E-2</v>
      </c>
      <c r="E271" s="302">
        <f t="shared" si="119"/>
        <v>0.17453706469075261</v>
      </c>
      <c r="F271" s="303"/>
      <c r="G271" s="302">
        <v>8.8328983196017216E-2</v>
      </c>
      <c r="H271" s="302">
        <v>2.8762605206762524E-2</v>
      </c>
      <c r="I271" s="302">
        <v>1.3655138632956948E-2</v>
      </c>
      <c r="J271" s="302">
        <f t="shared" si="122"/>
        <v>0.1307467270357367</v>
      </c>
      <c r="K271" s="303"/>
      <c r="L271" s="302">
        <v>0.10414784440885348</v>
      </c>
      <c r="M271" s="302">
        <v>3.5042174613563598E-2</v>
      </c>
      <c r="N271" s="302">
        <v>1.9643524917234589E-2</v>
      </c>
      <c r="O271" s="302">
        <f t="shared" si="121"/>
        <v>0.15883354393965166</v>
      </c>
    </row>
    <row r="272" spans="1:15" s="236" customFormat="1" x14ac:dyDescent="0.2">
      <c r="A272" s="237" t="str">
        <f>name!E$12</f>
        <v>Elementary occupations</v>
      </c>
      <c r="B272" s="302">
        <v>0.19651120687646512</v>
      </c>
      <c r="C272" s="302">
        <v>0.35496650825614767</v>
      </c>
      <c r="D272" s="302">
        <v>7.8106435020069642E-2</v>
      </c>
      <c r="E272" s="302">
        <f t="shared" si="119"/>
        <v>0.62958415015268243</v>
      </c>
      <c r="F272" s="303"/>
      <c r="G272" s="302">
        <v>0.15043251114024822</v>
      </c>
      <c r="H272" s="302">
        <v>0.34110334277007187</v>
      </c>
      <c r="I272" s="302">
        <v>3.9186171644076194E-2</v>
      </c>
      <c r="J272" s="302">
        <f t="shared" si="122"/>
        <v>0.53072202555439629</v>
      </c>
      <c r="K272" s="303"/>
      <c r="L272" s="302">
        <v>0.1542693958024598</v>
      </c>
      <c r="M272" s="302">
        <v>0.23247789207876612</v>
      </c>
      <c r="N272" s="302">
        <v>7.4128433748167522E-2</v>
      </c>
      <c r="O272" s="302">
        <f t="shared" si="121"/>
        <v>0.46087572162939344</v>
      </c>
    </row>
    <row r="273" spans="1:15" s="236" customFormat="1" x14ac:dyDescent="0.2">
      <c r="A273" s="237"/>
      <c r="B273" s="302"/>
      <c r="C273" s="302"/>
      <c r="D273" s="302"/>
      <c r="E273" s="302"/>
      <c r="F273" s="303"/>
      <c r="G273" s="302"/>
      <c r="H273" s="302"/>
      <c r="I273" s="302"/>
      <c r="J273" s="302"/>
      <c r="K273" s="303"/>
      <c r="L273" s="302"/>
      <c r="M273" s="302"/>
      <c r="N273" s="302"/>
      <c r="O273" s="302"/>
    </row>
    <row r="274" spans="1:15" s="236" customFormat="1" x14ac:dyDescent="0.2">
      <c r="A274" s="244" t="s">
        <v>33</v>
      </c>
      <c r="B274" s="311">
        <f>SUM(B264:B272)</f>
        <v>9.0522505323799933</v>
      </c>
      <c r="C274" s="311">
        <f t="shared" ref="C274:E274" si="123">SUM(C264:C272)</f>
        <v>3.7673507744705343</v>
      </c>
      <c r="D274" s="311">
        <f t="shared" si="123"/>
        <v>2.1923986931494812</v>
      </c>
      <c r="E274" s="311">
        <f t="shared" si="123"/>
        <v>15.012000000000008</v>
      </c>
      <c r="F274" s="311"/>
      <c r="G274" s="311">
        <f t="shared" ref="G274:J274" si="124">SUM(G264:G272)</f>
        <v>9.0557229281743741</v>
      </c>
      <c r="H274" s="311">
        <f t="shared" si="124"/>
        <v>4.5331064963647334</v>
      </c>
      <c r="I274" s="311">
        <f t="shared" si="124"/>
        <v>1.6411705754608901</v>
      </c>
      <c r="J274" s="311">
        <f t="shared" si="124"/>
        <v>15.229999999999997</v>
      </c>
      <c r="K274" s="311"/>
      <c r="L274" s="311">
        <f t="shared" ref="L274:O274" si="125">SUM(L264:L272)</f>
        <v>10.478903678998908</v>
      </c>
      <c r="M274" s="311">
        <f t="shared" si="125"/>
        <v>4.5382681054613778</v>
      </c>
      <c r="N274" s="311">
        <f t="shared" si="125"/>
        <v>1.9368282155396968</v>
      </c>
      <c r="O274" s="311">
        <f t="shared" si="125"/>
        <v>16.953999999999979</v>
      </c>
    </row>
    <row r="275" spans="1:15" s="236" customFormat="1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37"/>
      <c r="M275" s="237"/>
      <c r="N275" s="240"/>
    </row>
    <row r="276" spans="1:15" s="236" customFormat="1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37"/>
      <c r="M276" s="237"/>
      <c r="N276" s="240"/>
      <c r="O276" s="251" t="s">
        <v>36</v>
      </c>
    </row>
    <row r="277" spans="1:15" s="236" customFormat="1" x14ac:dyDescent="0.2">
      <c r="A277" s="242"/>
      <c r="B277" s="242"/>
      <c r="C277" s="242"/>
      <c r="D277" s="242"/>
      <c r="E277" s="242"/>
      <c r="F277" s="242"/>
      <c r="G277" s="242"/>
      <c r="H277" s="242"/>
      <c r="I277" s="242"/>
      <c r="J277" s="242"/>
      <c r="K277" s="242"/>
      <c r="L277" s="242"/>
      <c r="M277" s="242"/>
      <c r="N277" s="242"/>
      <c r="O277" s="242"/>
    </row>
    <row r="278" spans="1:15" s="236" customFormat="1" x14ac:dyDescent="0.2">
      <c r="A278" s="241" t="str">
        <f>name!B19</f>
        <v>Professional services</v>
      </c>
      <c r="B278" s="377">
        <f>$B$6</f>
        <v>2015</v>
      </c>
      <c r="C278" s="377"/>
      <c r="D278" s="377"/>
      <c r="E278" s="377"/>
      <c r="F278" s="263"/>
      <c r="G278" s="377">
        <f>$G$6</f>
        <v>2020</v>
      </c>
      <c r="H278" s="377"/>
      <c r="I278" s="377"/>
      <c r="J278" s="377"/>
      <c r="K278" s="263"/>
      <c r="L278" s="377">
        <f>$L$6</f>
        <v>2035</v>
      </c>
      <c r="M278" s="377"/>
      <c r="N278" s="377"/>
      <c r="O278" s="377"/>
    </row>
    <row r="279" spans="1:15" s="236" customFormat="1" x14ac:dyDescent="0.2">
      <c r="A279" s="254"/>
      <c r="B279" s="268" t="str">
        <f>$B$7</f>
        <v>FT</v>
      </c>
      <c r="C279" s="268" t="str">
        <f>$C$7</f>
        <v>PT</v>
      </c>
      <c r="D279" s="268" t="str">
        <f>$D$7</f>
        <v>SE</v>
      </c>
      <c r="E279" s="268" t="str">
        <f>$E$7</f>
        <v>Total</v>
      </c>
      <c r="F279" s="268"/>
      <c r="G279" s="268" t="str">
        <f>$G$7</f>
        <v>FT</v>
      </c>
      <c r="H279" s="268" t="str">
        <f>$H$7</f>
        <v>PT</v>
      </c>
      <c r="I279" s="268" t="str">
        <f>$I$7</f>
        <v>SE</v>
      </c>
      <c r="J279" s="268" t="str">
        <f>$J$7</f>
        <v>Total</v>
      </c>
      <c r="K279" s="268"/>
      <c r="L279" s="268" t="str">
        <f>$L$7</f>
        <v>FT</v>
      </c>
      <c r="M279" s="268" t="str">
        <f>$M$7</f>
        <v>PT</v>
      </c>
      <c r="N279" s="268" t="str">
        <f>$N$7</f>
        <v>SE</v>
      </c>
      <c r="O279" s="268" t="str">
        <f>$O$7</f>
        <v>Total</v>
      </c>
    </row>
    <row r="280" spans="1:15" s="236" customFormat="1" x14ac:dyDescent="0.2">
      <c r="A280" s="258"/>
      <c r="B280" s="239"/>
      <c r="C280" s="239"/>
      <c r="D280" s="239"/>
      <c r="E280" s="239"/>
      <c r="F280" s="239"/>
      <c r="G280" s="239"/>
      <c r="H280" s="239"/>
      <c r="I280" s="239"/>
      <c r="J280" s="239"/>
      <c r="K280" s="239"/>
      <c r="L280" s="239"/>
      <c r="M280" s="239"/>
      <c r="N280" s="239"/>
      <c r="O280" s="239"/>
    </row>
    <row r="281" spans="1:15" s="236" customFormat="1" x14ac:dyDescent="0.2">
      <c r="A281" s="237" t="str">
        <f>name!E$4</f>
        <v>Managers, directors and senior officials</v>
      </c>
      <c r="B281" s="302">
        <v>9.4352845840397244</v>
      </c>
      <c r="C281" s="302">
        <v>2.052763942045615</v>
      </c>
      <c r="D281" s="302">
        <v>2.5902893216909284</v>
      </c>
      <c r="E281" s="302">
        <f>SUM(B281:D281)</f>
        <v>14.078337847776268</v>
      </c>
      <c r="F281" s="303"/>
      <c r="G281" s="302">
        <v>9.4991233992411797</v>
      </c>
      <c r="H281" s="302">
        <v>2.2718096345078878</v>
      </c>
      <c r="I281" s="302">
        <v>2.4157180341152644</v>
      </c>
      <c r="J281" s="302">
        <f>SUM(G281:I281)</f>
        <v>14.186651067864332</v>
      </c>
      <c r="K281" s="303"/>
      <c r="L281" s="302">
        <v>9.9980183222519461</v>
      </c>
      <c r="M281" s="302">
        <v>2.932254723371968</v>
      </c>
      <c r="N281" s="302">
        <v>3.0813114760485898</v>
      </c>
      <c r="O281" s="302">
        <f>SUM(L281:N281)</f>
        <v>16.011584521672503</v>
      </c>
    </row>
    <row r="282" spans="1:15" s="236" customFormat="1" x14ac:dyDescent="0.2">
      <c r="A282" s="237" t="str">
        <f>name!E$5</f>
        <v>Professional occupations</v>
      </c>
      <c r="B282" s="302">
        <v>24.161880518553634</v>
      </c>
      <c r="C282" s="302">
        <v>3.8322946394756565</v>
      </c>
      <c r="D282" s="302">
        <v>8.3263014198480114</v>
      </c>
      <c r="E282" s="302">
        <f t="shared" ref="E282:E289" si="126">SUM(B282:D282)</f>
        <v>36.320476577877301</v>
      </c>
      <c r="F282" s="303"/>
      <c r="G282" s="302">
        <v>28.389782256062357</v>
      </c>
      <c r="H282" s="302">
        <v>4.2080528386505476</v>
      </c>
      <c r="I282" s="302">
        <v>6.4681407387854666</v>
      </c>
      <c r="J282" s="302">
        <f t="shared" ref="J282:J284" si="127">SUM(G282:I282)</f>
        <v>39.065975833498371</v>
      </c>
      <c r="K282" s="303"/>
      <c r="L282" s="302">
        <v>34.629951903308232</v>
      </c>
      <c r="M282" s="302">
        <v>5.7723103313868913</v>
      </c>
      <c r="N282" s="302">
        <v>7.2034773670428791</v>
      </c>
      <c r="O282" s="302">
        <f t="shared" ref="O282:O289" si="128">SUM(L282:N282)</f>
        <v>47.605739601738001</v>
      </c>
    </row>
    <row r="283" spans="1:15" s="236" customFormat="1" x14ac:dyDescent="0.2">
      <c r="A283" s="237" t="str">
        <f>name!E$6</f>
        <v>Associate professional occupations</v>
      </c>
      <c r="B283" s="302">
        <v>11.707643468510536</v>
      </c>
      <c r="C283" s="302">
        <v>2.9341265822922038</v>
      </c>
      <c r="D283" s="302">
        <v>3.0976746633632146</v>
      </c>
      <c r="E283" s="302">
        <f t="shared" si="126"/>
        <v>17.739444714165955</v>
      </c>
      <c r="F283" s="303"/>
      <c r="G283" s="302">
        <v>12.493220386992576</v>
      </c>
      <c r="H283" s="302">
        <v>2.7261326114350477</v>
      </c>
      <c r="I283" s="302">
        <v>2.4096864694926774</v>
      </c>
      <c r="J283" s="302">
        <f t="shared" si="127"/>
        <v>17.6290394679203</v>
      </c>
      <c r="K283" s="303"/>
      <c r="L283" s="302">
        <v>12.848085441744322</v>
      </c>
      <c r="M283" s="302">
        <v>3.0480416512066704</v>
      </c>
      <c r="N283" s="302">
        <v>2.8513382843040027</v>
      </c>
      <c r="O283" s="302">
        <f t="shared" si="128"/>
        <v>18.747465377254997</v>
      </c>
    </row>
    <row r="284" spans="1:15" s="236" customFormat="1" x14ac:dyDescent="0.2">
      <c r="A284" s="237" t="str">
        <f>name!E$7</f>
        <v>Administrative and secretarial occupations</v>
      </c>
      <c r="B284" s="302">
        <v>7.3153521019040033</v>
      </c>
      <c r="C284" s="302">
        <v>7.2234665708342005</v>
      </c>
      <c r="D284" s="302">
        <v>1.5438118998522781</v>
      </c>
      <c r="E284" s="302">
        <f t="shared" si="126"/>
        <v>16.082630572590482</v>
      </c>
      <c r="F284" s="303"/>
      <c r="G284" s="302">
        <v>6.5749338237949901</v>
      </c>
      <c r="H284" s="302">
        <v>4.7283842111164374</v>
      </c>
      <c r="I284" s="302">
        <v>1.1016364088265587</v>
      </c>
      <c r="J284" s="302">
        <f t="shared" si="127"/>
        <v>12.404954443737987</v>
      </c>
      <c r="K284" s="303"/>
      <c r="L284" s="302">
        <v>4.5945315427716258</v>
      </c>
      <c r="M284" s="302">
        <v>4.062744758379484</v>
      </c>
      <c r="N284" s="302">
        <v>1.1079717441717136</v>
      </c>
      <c r="O284" s="302">
        <f t="shared" si="128"/>
        <v>9.7652480453228243</v>
      </c>
    </row>
    <row r="285" spans="1:15" s="236" customFormat="1" x14ac:dyDescent="0.2">
      <c r="A285" s="237" t="str">
        <f>name!E$8</f>
        <v>Skilled trades occupations</v>
      </c>
      <c r="B285" s="302">
        <v>1.8863789330686236</v>
      </c>
      <c r="C285" s="302">
        <v>0.46208245420468436</v>
      </c>
      <c r="D285" s="302">
        <v>0.46833510008501256</v>
      </c>
      <c r="E285" s="302">
        <f t="shared" si="126"/>
        <v>2.8167964873583204</v>
      </c>
      <c r="F285" s="303"/>
      <c r="G285" s="302">
        <v>1.3752618859338228</v>
      </c>
      <c r="H285" s="302">
        <v>0.25340491471876736</v>
      </c>
      <c r="I285" s="302">
        <v>0.33052853149728045</v>
      </c>
      <c r="J285" s="302">
        <f>SUM(G285:I285)</f>
        <v>1.9591953321498705</v>
      </c>
      <c r="K285" s="303"/>
      <c r="L285" s="302">
        <v>1.3654063374365133</v>
      </c>
      <c r="M285" s="302">
        <v>0.37143168625070772</v>
      </c>
      <c r="N285" s="302">
        <v>0.51610387921081025</v>
      </c>
      <c r="O285" s="302">
        <f t="shared" si="128"/>
        <v>2.2529419028980313</v>
      </c>
    </row>
    <row r="286" spans="1:15" s="236" customFormat="1" x14ac:dyDescent="0.2">
      <c r="A286" s="237" t="str">
        <f>name!E$9</f>
        <v>Caring, leisure and other service occupations</v>
      </c>
      <c r="B286" s="302">
        <v>0.88136822888384425</v>
      </c>
      <c r="C286" s="302">
        <v>0.37271417743398538</v>
      </c>
      <c r="D286" s="302">
        <v>0.55808832897237726</v>
      </c>
      <c r="E286" s="302">
        <f t="shared" si="126"/>
        <v>1.8121707352902068</v>
      </c>
      <c r="F286" s="303"/>
      <c r="G286" s="302">
        <v>1.4861145924545656</v>
      </c>
      <c r="H286" s="302">
        <v>0.66438605541439788</v>
      </c>
      <c r="I286" s="302">
        <v>0.76370230251751692</v>
      </c>
      <c r="J286" s="302">
        <f t="shared" ref="J286:J289" si="129">SUM(G286:I286)</f>
        <v>2.9142029503864801</v>
      </c>
      <c r="K286" s="303"/>
      <c r="L286" s="302">
        <v>2.0396120945161895</v>
      </c>
      <c r="M286" s="302">
        <v>0.92922062421985541</v>
      </c>
      <c r="N286" s="302">
        <v>1.1990476503361884</v>
      </c>
      <c r="O286" s="302">
        <f t="shared" si="128"/>
        <v>4.1678803690722335</v>
      </c>
    </row>
    <row r="287" spans="1:15" s="236" customFormat="1" x14ac:dyDescent="0.2">
      <c r="A287" s="237" t="str">
        <f>name!E$10</f>
        <v>Sales and customer service occupations</v>
      </c>
      <c r="B287" s="302">
        <v>1.6522314264049418</v>
      </c>
      <c r="C287" s="302">
        <v>1.0825043743838079</v>
      </c>
      <c r="D287" s="302">
        <v>0.5286292522478907</v>
      </c>
      <c r="E287" s="302">
        <f t="shared" si="126"/>
        <v>3.2633650530366403</v>
      </c>
      <c r="F287" s="303"/>
      <c r="G287" s="302">
        <v>1.4235652133508179</v>
      </c>
      <c r="H287" s="302">
        <v>0.76416476068342765</v>
      </c>
      <c r="I287" s="302">
        <v>0.29687227046222953</v>
      </c>
      <c r="J287" s="302">
        <f t="shared" si="129"/>
        <v>2.4846022444964748</v>
      </c>
      <c r="K287" s="303"/>
      <c r="L287" s="302">
        <v>1.5195905534668159</v>
      </c>
      <c r="M287" s="302">
        <v>0.904959540862455</v>
      </c>
      <c r="N287" s="302">
        <v>0.32248433966600126</v>
      </c>
      <c r="O287" s="302">
        <f t="shared" si="128"/>
        <v>2.7470344339952724</v>
      </c>
    </row>
    <row r="288" spans="1:15" s="236" customFormat="1" x14ac:dyDescent="0.2">
      <c r="A288" s="237" t="str">
        <f>name!E$11</f>
        <v>Process, plant and machine operatives</v>
      </c>
      <c r="B288" s="302">
        <v>0.51482208656653827</v>
      </c>
      <c r="C288" s="302">
        <v>0.38302901227903835</v>
      </c>
      <c r="D288" s="302">
        <v>0.14182569620528898</v>
      </c>
      <c r="E288" s="302">
        <f t="shared" si="126"/>
        <v>1.0396767950508656</v>
      </c>
      <c r="F288" s="303"/>
      <c r="G288" s="302">
        <v>0.34823140589179513</v>
      </c>
      <c r="H288" s="302">
        <v>0.29199302022561002</v>
      </c>
      <c r="I288" s="302">
        <v>0.11819663175933276</v>
      </c>
      <c r="J288" s="302">
        <f t="shared" si="129"/>
        <v>0.75842105787673786</v>
      </c>
      <c r="K288" s="303"/>
      <c r="L288" s="302">
        <v>0.33637656573704694</v>
      </c>
      <c r="M288" s="302">
        <v>0.44399117281469341</v>
      </c>
      <c r="N288" s="302">
        <v>0.16784662114815507</v>
      </c>
      <c r="O288" s="302">
        <f t="shared" si="128"/>
        <v>0.94821435969989543</v>
      </c>
    </row>
    <row r="289" spans="1:15" s="236" customFormat="1" x14ac:dyDescent="0.2">
      <c r="A289" s="237" t="str">
        <f>name!E$12</f>
        <v>Elementary occupations</v>
      </c>
      <c r="B289" s="302">
        <v>1.1656170340540208</v>
      </c>
      <c r="C289" s="302">
        <v>0.96503286365089602</v>
      </c>
      <c r="D289" s="302">
        <v>0.23745131914906892</v>
      </c>
      <c r="E289" s="302">
        <f t="shared" si="126"/>
        <v>2.3681012168539857</v>
      </c>
      <c r="F289" s="303"/>
      <c r="G289" s="302">
        <v>0.90555394070900597</v>
      </c>
      <c r="H289" s="302">
        <v>0.69436279122919731</v>
      </c>
      <c r="I289" s="302">
        <v>0.14904087013123396</v>
      </c>
      <c r="J289" s="302">
        <f t="shared" si="129"/>
        <v>1.7489576020694373</v>
      </c>
      <c r="K289" s="303"/>
      <c r="L289" s="302">
        <v>0.81824838574877223</v>
      </c>
      <c r="M289" s="302">
        <v>0.69853400081565997</v>
      </c>
      <c r="N289" s="302">
        <v>0.19710900178199436</v>
      </c>
      <c r="O289" s="302">
        <f t="shared" si="128"/>
        <v>1.7138913883464264</v>
      </c>
    </row>
    <row r="290" spans="1:15" s="236" customFormat="1" x14ac:dyDescent="0.2">
      <c r="A290" s="237"/>
      <c r="B290" s="302"/>
      <c r="C290" s="302"/>
      <c r="D290" s="302"/>
      <c r="E290" s="302"/>
      <c r="F290" s="303"/>
      <c r="G290" s="302"/>
      <c r="H290" s="302"/>
      <c r="I290" s="302"/>
      <c r="J290" s="302"/>
      <c r="K290" s="303"/>
      <c r="L290" s="302"/>
      <c r="M290" s="302"/>
      <c r="N290" s="302"/>
      <c r="O290" s="302"/>
    </row>
    <row r="291" spans="1:15" s="236" customFormat="1" x14ac:dyDescent="0.2">
      <c r="A291" s="244" t="s">
        <v>33</v>
      </c>
      <c r="B291" s="311">
        <f>SUM(B281:B289)</f>
        <v>58.72057838198586</v>
      </c>
      <c r="C291" s="311">
        <f t="shared" ref="C291:E291" si="130">SUM(C281:C289)</f>
        <v>19.30801461660009</v>
      </c>
      <c r="D291" s="311">
        <f t="shared" si="130"/>
        <v>17.492407001414072</v>
      </c>
      <c r="E291" s="311">
        <f t="shared" si="130"/>
        <v>95.521000000000029</v>
      </c>
      <c r="F291" s="311"/>
      <c r="G291" s="311">
        <f t="shared" ref="G291:J291" si="131">SUM(G281:G289)</f>
        <v>62.495786904431114</v>
      </c>
      <c r="H291" s="311">
        <f t="shared" si="131"/>
        <v>16.602690837981321</v>
      </c>
      <c r="I291" s="311">
        <f t="shared" si="131"/>
        <v>14.053522257587559</v>
      </c>
      <c r="J291" s="311">
        <f t="shared" si="131"/>
        <v>93.152000000000001</v>
      </c>
      <c r="K291" s="311"/>
      <c r="L291" s="311">
        <f t="shared" ref="L291:O291" si="132">SUM(L281:L289)</f>
        <v>68.149821146981452</v>
      </c>
      <c r="M291" s="311">
        <f t="shared" si="132"/>
        <v>19.163488489308385</v>
      </c>
      <c r="N291" s="311">
        <f t="shared" si="132"/>
        <v>16.646690363710334</v>
      </c>
      <c r="O291" s="311">
        <f t="shared" si="132"/>
        <v>103.96000000000016</v>
      </c>
    </row>
    <row r="292" spans="1:15" s="236" customFormat="1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37"/>
      <c r="M292" s="237"/>
      <c r="N292" s="240"/>
    </row>
    <row r="293" spans="1:15" s="236" customFormat="1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37"/>
      <c r="M293" s="237"/>
      <c r="N293" s="240"/>
      <c r="O293" s="251" t="s">
        <v>36</v>
      </c>
    </row>
    <row r="294" spans="1:15" s="236" customFormat="1" x14ac:dyDescent="0.2">
      <c r="A294" s="242"/>
      <c r="B294" s="242"/>
      <c r="C294" s="242"/>
      <c r="D294" s="242"/>
      <c r="E294" s="242"/>
      <c r="F294" s="242"/>
      <c r="G294" s="242"/>
      <c r="H294" s="242"/>
      <c r="I294" s="242"/>
      <c r="J294" s="242"/>
      <c r="K294" s="242"/>
      <c r="L294" s="242"/>
      <c r="M294" s="242"/>
      <c r="N294" s="242"/>
      <c r="O294" s="242"/>
    </row>
    <row r="295" spans="1:15" s="236" customFormat="1" x14ac:dyDescent="0.2">
      <c r="A295" s="241" t="str">
        <f>name!B20</f>
        <v>Support services</v>
      </c>
      <c r="B295" s="377">
        <f>$B$6</f>
        <v>2015</v>
      </c>
      <c r="C295" s="377"/>
      <c r="D295" s="377"/>
      <c r="E295" s="377"/>
      <c r="F295" s="263"/>
      <c r="G295" s="377">
        <f>$G$6</f>
        <v>2020</v>
      </c>
      <c r="H295" s="377"/>
      <c r="I295" s="377"/>
      <c r="J295" s="377"/>
      <c r="K295" s="263"/>
      <c r="L295" s="377">
        <f>$L$6</f>
        <v>2035</v>
      </c>
      <c r="M295" s="377"/>
      <c r="N295" s="377"/>
      <c r="O295" s="377"/>
    </row>
    <row r="296" spans="1:15" s="236" customFormat="1" x14ac:dyDescent="0.2">
      <c r="A296" s="254"/>
      <c r="B296" s="268" t="str">
        <f>$B$7</f>
        <v>FT</v>
      </c>
      <c r="C296" s="268" t="str">
        <f>$C$7</f>
        <v>PT</v>
      </c>
      <c r="D296" s="268" t="str">
        <f>$D$7</f>
        <v>SE</v>
      </c>
      <c r="E296" s="268" t="str">
        <f>$E$7</f>
        <v>Total</v>
      </c>
      <c r="F296" s="268"/>
      <c r="G296" s="268" t="str">
        <f>$G$7</f>
        <v>FT</v>
      </c>
      <c r="H296" s="268" t="str">
        <f>$H$7</f>
        <v>PT</v>
      </c>
      <c r="I296" s="268" t="str">
        <f>$I$7</f>
        <v>SE</v>
      </c>
      <c r="J296" s="268" t="str">
        <f>$J$7</f>
        <v>Total</v>
      </c>
      <c r="K296" s="268"/>
      <c r="L296" s="268" t="str">
        <f>$L$7</f>
        <v>FT</v>
      </c>
      <c r="M296" s="268" t="str">
        <f>$M$7</f>
        <v>PT</v>
      </c>
      <c r="N296" s="268" t="str">
        <f>$N$7</f>
        <v>SE</v>
      </c>
      <c r="O296" s="268" t="str">
        <f>$O$7</f>
        <v>Total</v>
      </c>
    </row>
    <row r="297" spans="1:15" s="236" customFormat="1" x14ac:dyDescent="0.2">
      <c r="A297" s="258"/>
      <c r="B297" s="239"/>
      <c r="C297" s="239"/>
      <c r="D297" s="239"/>
      <c r="E297" s="239"/>
      <c r="F297" s="239"/>
      <c r="G297" s="239"/>
      <c r="H297" s="239"/>
      <c r="I297" s="239"/>
      <c r="J297" s="239"/>
      <c r="K297" s="239"/>
      <c r="L297" s="239"/>
      <c r="M297" s="239"/>
      <c r="N297" s="239"/>
      <c r="O297" s="239"/>
    </row>
    <row r="298" spans="1:15" s="236" customFormat="1" x14ac:dyDescent="0.2">
      <c r="A298" s="237" t="str">
        <f>name!E$4</f>
        <v>Managers, directors and senior officials</v>
      </c>
      <c r="B298" s="302">
        <v>5.5615245759103749</v>
      </c>
      <c r="C298" s="302">
        <v>0.81726377076327517</v>
      </c>
      <c r="D298" s="302">
        <v>1.673974070013583</v>
      </c>
      <c r="E298" s="302">
        <f>SUM(B298:D298)</f>
        <v>8.0527624166872336</v>
      </c>
      <c r="F298" s="303"/>
      <c r="G298" s="302">
        <v>5.1205443376158808</v>
      </c>
      <c r="H298" s="302">
        <v>1.2315915310786645</v>
      </c>
      <c r="I298" s="302">
        <v>1.8483168670529619</v>
      </c>
      <c r="J298" s="302">
        <f>SUM(G298:I298)</f>
        <v>8.2004527357475077</v>
      </c>
      <c r="K298" s="303"/>
      <c r="L298" s="302">
        <v>5.9970289196451319</v>
      </c>
      <c r="M298" s="302">
        <v>1.5008197903442038</v>
      </c>
      <c r="N298" s="302">
        <v>2.2495370297303436</v>
      </c>
      <c r="O298" s="302">
        <f>SUM(L298:N298)</f>
        <v>9.7473857397196788</v>
      </c>
    </row>
    <row r="299" spans="1:15" s="236" customFormat="1" x14ac:dyDescent="0.2">
      <c r="A299" s="237" t="str">
        <f>name!E$5</f>
        <v>Professional occupations</v>
      </c>
      <c r="B299" s="302">
        <v>5.4843342952380523</v>
      </c>
      <c r="C299" s="302">
        <v>0.8842034288332099</v>
      </c>
      <c r="D299" s="302">
        <v>1.2417781629348335</v>
      </c>
      <c r="E299" s="302">
        <f t="shared" ref="E299:E306" si="133">SUM(B299:D299)</f>
        <v>7.6103158870060961</v>
      </c>
      <c r="F299" s="303"/>
      <c r="G299" s="302">
        <v>5.7567760199142883</v>
      </c>
      <c r="H299" s="302">
        <v>1.4152193670778905</v>
      </c>
      <c r="I299" s="302">
        <v>1.206034910733722</v>
      </c>
      <c r="J299" s="302">
        <f t="shared" ref="J299:J301" si="134">SUM(G299:I299)</f>
        <v>8.3780302977258998</v>
      </c>
      <c r="K299" s="303"/>
      <c r="L299" s="302">
        <v>7.4317133024817776</v>
      </c>
      <c r="M299" s="302">
        <v>2.0584388693355131</v>
      </c>
      <c r="N299" s="302">
        <v>1.0398333713493346</v>
      </c>
      <c r="O299" s="302">
        <f t="shared" ref="O299:O306" si="135">SUM(L299:N299)</f>
        <v>10.529985543166626</v>
      </c>
    </row>
    <row r="300" spans="1:15" s="236" customFormat="1" x14ac:dyDescent="0.2">
      <c r="A300" s="237" t="str">
        <f>name!E$6</f>
        <v>Associate professional occupations</v>
      </c>
      <c r="B300" s="302">
        <v>6.7840842628604872</v>
      </c>
      <c r="C300" s="302">
        <v>1.2947428765785625</v>
      </c>
      <c r="D300" s="302">
        <v>2.8100497537963403</v>
      </c>
      <c r="E300" s="302">
        <f t="shared" si="133"/>
        <v>10.888876893235389</v>
      </c>
      <c r="F300" s="303"/>
      <c r="G300" s="302">
        <v>6.4208628112782753</v>
      </c>
      <c r="H300" s="302">
        <v>1.6388125369448951</v>
      </c>
      <c r="I300" s="302">
        <v>2.7477556292409342</v>
      </c>
      <c r="J300" s="302">
        <f t="shared" si="134"/>
        <v>10.807430977464104</v>
      </c>
      <c r="K300" s="303"/>
      <c r="L300" s="302">
        <v>6.7417785927792746</v>
      </c>
      <c r="M300" s="302">
        <v>1.8348941830451369</v>
      </c>
      <c r="N300" s="302">
        <v>2.7793567516143858</v>
      </c>
      <c r="O300" s="302">
        <f t="shared" si="135"/>
        <v>11.356029527438796</v>
      </c>
    </row>
    <row r="301" spans="1:15" s="236" customFormat="1" x14ac:dyDescent="0.2">
      <c r="A301" s="237" t="str">
        <f>name!E$7</f>
        <v>Administrative and secretarial occupations</v>
      </c>
      <c r="B301" s="302">
        <v>4.5187445073281429</v>
      </c>
      <c r="C301" s="302">
        <v>2.3199984514453877</v>
      </c>
      <c r="D301" s="302">
        <v>0.7925406769551695</v>
      </c>
      <c r="E301" s="302">
        <f t="shared" si="133"/>
        <v>7.6312836357286997</v>
      </c>
      <c r="F301" s="303"/>
      <c r="G301" s="302">
        <v>3.810737026753225</v>
      </c>
      <c r="H301" s="302">
        <v>2.4492649380829401</v>
      </c>
      <c r="I301" s="302">
        <v>0.7251937237787679</v>
      </c>
      <c r="J301" s="302">
        <f t="shared" si="134"/>
        <v>6.9851956886149331</v>
      </c>
      <c r="K301" s="303"/>
      <c r="L301" s="302">
        <v>3.7789562350788017</v>
      </c>
      <c r="M301" s="302">
        <v>2.3598543268903813</v>
      </c>
      <c r="N301" s="302">
        <v>0.92375298943044559</v>
      </c>
      <c r="O301" s="302">
        <f t="shared" si="135"/>
        <v>7.062563551399629</v>
      </c>
    </row>
    <row r="302" spans="1:15" s="236" customFormat="1" x14ac:dyDescent="0.2">
      <c r="A302" s="237" t="str">
        <f>name!E$8</f>
        <v>Skilled trades occupations</v>
      </c>
      <c r="B302" s="302">
        <v>1.7395231370675386</v>
      </c>
      <c r="C302" s="302">
        <v>0.40538376632072765</v>
      </c>
      <c r="D302" s="302">
        <v>0.85821027687911577</v>
      </c>
      <c r="E302" s="302">
        <f t="shared" si="133"/>
        <v>3.0031171802673819</v>
      </c>
      <c r="F302" s="303"/>
      <c r="G302" s="302">
        <v>1.1453691456377382</v>
      </c>
      <c r="H302" s="302">
        <v>0.31103304512491536</v>
      </c>
      <c r="I302" s="302">
        <v>0.71044252288494625</v>
      </c>
      <c r="J302" s="302">
        <f>SUM(G302:I302)</f>
        <v>2.1668447136475999</v>
      </c>
      <c r="K302" s="303"/>
      <c r="L302" s="302">
        <v>1.1027150165793116</v>
      </c>
      <c r="M302" s="302">
        <v>0.45390159103341593</v>
      </c>
      <c r="N302" s="302">
        <v>0.87569083193980923</v>
      </c>
      <c r="O302" s="302">
        <f t="shared" si="135"/>
        <v>2.4323074395525368</v>
      </c>
    </row>
    <row r="303" spans="1:15" s="236" customFormat="1" x14ac:dyDescent="0.2">
      <c r="A303" s="237" t="str">
        <f>name!E$9</f>
        <v>Caring, leisure and other service occupations</v>
      </c>
      <c r="B303" s="302">
        <v>2.2626373660013526</v>
      </c>
      <c r="C303" s="302">
        <v>1.8127247713846502</v>
      </c>
      <c r="D303" s="302">
        <v>0.96911929934422247</v>
      </c>
      <c r="E303" s="302">
        <f t="shared" si="133"/>
        <v>5.0444814367302255</v>
      </c>
      <c r="F303" s="303"/>
      <c r="G303" s="302">
        <v>1.8994761000529501</v>
      </c>
      <c r="H303" s="302">
        <v>1.9967361472922862</v>
      </c>
      <c r="I303" s="302">
        <v>1.225981884375859</v>
      </c>
      <c r="J303" s="302">
        <f t="shared" ref="J303:J306" si="136">SUM(G303:I303)</f>
        <v>5.1221941317210948</v>
      </c>
      <c r="K303" s="303"/>
      <c r="L303" s="302">
        <v>2.4131449907543518</v>
      </c>
      <c r="M303" s="302">
        <v>2.244212696225683</v>
      </c>
      <c r="N303" s="302">
        <v>1.4454970013526272</v>
      </c>
      <c r="O303" s="302">
        <f t="shared" si="135"/>
        <v>6.1028546883326618</v>
      </c>
    </row>
    <row r="304" spans="1:15" s="236" customFormat="1" x14ac:dyDescent="0.2">
      <c r="A304" s="237" t="str">
        <f>name!E$10</f>
        <v>Sales and customer service occupations</v>
      </c>
      <c r="B304" s="302">
        <v>2.4897328079843302</v>
      </c>
      <c r="C304" s="302">
        <v>1.0910782924100222</v>
      </c>
      <c r="D304" s="302">
        <v>0.50999805300088419</v>
      </c>
      <c r="E304" s="302">
        <f t="shared" si="133"/>
        <v>4.0908091533952362</v>
      </c>
      <c r="F304" s="303"/>
      <c r="G304" s="302">
        <v>2.0220015559243416</v>
      </c>
      <c r="H304" s="302">
        <v>1.2149461679682139</v>
      </c>
      <c r="I304" s="302">
        <v>0.40122098036038184</v>
      </c>
      <c r="J304" s="302">
        <f t="shared" si="136"/>
        <v>3.6381687042529371</v>
      </c>
      <c r="K304" s="303"/>
      <c r="L304" s="302">
        <v>2.6812022146307672</v>
      </c>
      <c r="M304" s="302">
        <v>1.6832861249544468</v>
      </c>
      <c r="N304" s="302">
        <v>0.39480237622145536</v>
      </c>
      <c r="O304" s="302">
        <f t="shared" si="135"/>
        <v>4.7592907158066691</v>
      </c>
    </row>
    <row r="305" spans="1:15" s="236" customFormat="1" x14ac:dyDescent="0.2">
      <c r="A305" s="237" t="str">
        <f>name!E$11</f>
        <v>Process, plant and machine operatives</v>
      </c>
      <c r="B305" s="302">
        <v>1.6622273201267623</v>
      </c>
      <c r="C305" s="302">
        <v>0.98000530693104915</v>
      </c>
      <c r="D305" s="302">
        <v>0.14717087768986775</v>
      </c>
      <c r="E305" s="302">
        <f t="shared" si="133"/>
        <v>2.7894035047476793</v>
      </c>
      <c r="F305" s="303"/>
      <c r="G305" s="302">
        <v>1.2423226175906044</v>
      </c>
      <c r="H305" s="302">
        <v>1.1698407190813596</v>
      </c>
      <c r="I305" s="302">
        <v>0.16775189799166487</v>
      </c>
      <c r="J305" s="302">
        <f t="shared" si="136"/>
        <v>2.5799152346636287</v>
      </c>
      <c r="K305" s="303"/>
      <c r="L305" s="302">
        <v>1.2312069156267955</v>
      </c>
      <c r="M305" s="302">
        <v>1.5013814357598281</v>
      </c>
      <c r="N305" s="302">
        <v>0.19550715722172884</v>
      </c>
      <c r="O305" s="302">
        <f t="shared" si="135"/>
        <v>2.9280955086083527</v>
      </c>
    </row>
    <row r="306" spans="1:15" s="236" customFormat="1" x14ac:dyDescent="0.2">
      <c r="A306" s="237" t="str">
        <f>name!E$12</f>
        <v>Elementary occupations</v>
      </c>
      <c r="B306" s="302">
        <v>8.0626688431428502</v>
      </c>
      <c r="C306" s="302">
        <v>11.434609351561086</v>
      </c>
      <c r="D306" s="302">
        <v>1.406671697498018</v>
      </c>
      <c r="E306" s="302">
        <f t="shared" si="133"/>
        <v>20.903949892201958</v>
      </c>
      <c r="F306" s="303"/>
      <c r="G306" s="302">
        <v>5.9296728156556284</v>
      </c>
      <c r="H306" s="302">
        <v>10.076755220890476</v>
      </c>
      <c r="I306" s="302">
        <v>1.1653394796160863</v>
      </c>
      <c r="J306" s="302">
        <f t="shared" si="136"/>
        <v>17.171767516162191</v>
      </c>
      <c r="K306" s="303"/>
      <c r="L306" s="302">
        <v>6.7210552694215977</v>
      </c>
      <c r="M306" s="302">
        <v>9.7503388692364741</v>
      </c>
      <c r="N306" s="302">
        <v>1.4620931473169441</v>
      </c>
      <c r="O306" s="302">
        <f t="shared" si="135"/>
        <v>17.933487285975016</v>
      </c>
    </row>
    <row r="307" spans="1:15" s="236" customFormat="1" x14ac:dyDescent="0.2">
      <c r="A307" s="237"/>
      <c r="B307" s="302"/>
      <c r="C307" s="302"/>
      <c r="D307" s="302"/>
      <c r="E307" s="302"/>
      <c r="F307" s="303"/>
      <c r="G307" s="302"/>
      <c r="H307" s="302"/>
      <c r="I307" s="302"/>
      <c r="J307" s="302"/>
      <c r="K307" s="303"/>
      <c r="L307" s="302"/>
      <c r="M307" s="302"/>
      <c r="N307" s="302"/>
      <c r="O307" s="302"/>
    </row>
    <row r="308" spans="1:15" s="236" customFormat="1" x14ac:dyDescent="0.2">
      <c r="A308" s="244" t="s">
        <v>33</v>
      </c>
      <c r="B308" s="311">
        <f>SUM(B298:B306)</f>
        <v>38.565477115659895</v>
      </c>
      <c r="C308" s="311">
        <f t="shared" ref="C308:E308" si="137">SUM(C298:C306)</f>
        <v>21.040010016227974</v>
      </c>
      <c r="D308" s="311">
        <f t="shared" si="137"/>
        <v>10.409512868112035</v>
      </c>
      <c r="E308" s="311">
        <f t="shared" si="137"/>
        <v>70.014999999999901</v>
      </c>
      <c r="F308" s="311"/>
      <c r="G308" s="311">
        <f t="shared" ref="G308:J308" si="138">SUM(G298:G306)</f>
        <v>33.347762430422932</v>
      </c>
      <c r="H308" s="311">
        <f t="shared" si="138"/>
        <v>21.504199673541642</v>
      </c>
      <c r="I308" s="311">
        <f t="shared" si="138"/>
        <v>10.198037896035324</v>
      </c>
      <c r="J308" s="311">
        <f t="shared" si="138"/>
        <v>65.049999999999898</v>
      </c>
      <c r="K308" s="311"/>
      <c r="L308" s="311">
        <f t="shared" ref="L308:O308" si="139">SUM(L298:L306)</f>
        <v>38.098801456997805</v>
      </c>
      <c r="M308" s="311">
        <f t="shared" si="139"/>
        <v>23.387127886825084</v>
      </c>
      <c r="N308" s="311">
        <f t="shared" si="139"/>
        <v>11.366070656177074</v>
      </c>
      <c r="O308" s="311">
        <f t="shared" si="139"/>
        <v>72.851999999999975</v>
      </c>
    </row>
    <row r="309" spans="1:15" s="236" customFormat="1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37"/>
      <c r="M309" s="237"/>
      <c r="N309" s="240"/>
    </row>
    <row r="310" spans="1:15" s="236" customFormat="1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37"/>
      <c r="M310" s="237"/>
      <c r="N310" s="240"/>
      <c r="O310" s="251" t="s">
        <v>36</v>
      </c>
    </row>
    <row r="311" spans="1:15" s="236" customFormat="1" x14ac:dyDescent="0.2">
      <c r="A311" s="242"/>
      <c r="B311" s="242"/>
      <c r="C311" s="242"/>
      <c r="D311" s="242"/>
      <c r="E311" s="242"/>
      <c r="F311" s="242"/>
      <c r="G311" s="242"/>
      <c r="H311" s="242"/>
      <c r="I311" s="242"/>
      <c r="J311" s="242"/>
      <c r="K311" s="242"/>
      <c r="L311" s="242"/>
      <c r="M311" s="242"/>
      <c r="N311" s="242"/>
      <c r="O311" s="242"/>
    </row>
    <row r="312" spans="1:15" s="236" customFormat="1" x14ac:dyDescent="0.2">
      <c r="A312" s="241" t="str">
        <f>name!B21</f>
        <v>Public admin. and defence</v>
      </c>
      <c r="B312" s="377">
        <f>$B$6</f>
        <v>2015</v>
      </c>
      <c r="C312" s="377"/>
      <c r="D312" s="377"/>
      <c r="E312" s="377"/>
      <c r="F312" s="263"/>
      <c r="G312" s="377">
        <f>$G$6</f>
        <v>2020</v>
      </c>
      <c r="H312" s="377"/>
      <c r="I312" s="377"/>
      <c r="J312" s="377"/>
      <c r="K312" s="263"/>
      <c r="L312" s="377">
        <f>$L$6</f>
        <v>2035</v>
      </c>
      <c r="M312" s="377"/>
      <c r="N312" s="377"/>
      <c r="O312" s="377"/>
    </row>
    <row r="313" spans="1:15" s="236" customFormat="1" x14ac:dyDescent="0.2">
      <c r="A313" s="254"/>
      <c r="B313" s="268" t="str">
        <f>$B$7</f>
        <v>FT</v>
      </c>
      <c r="C313" s="268" t="str">
        <f>$C$7</f>
        <v>PT</v>
      </c>
      <c r="D313" s="268" t="str">
        <f>$D$7</f>
        <v>SE</v>
      </c>
      <c r="E313" s="268" t="str">
        <f>$E$7</f>
        <v>Total</v>
      </c>
      <c r="F313" s="268"/>
      <c r="G313" s="268" t="str">
        <f>$G$7</f>
        <v>FT</v>
      </c>
      <c r="H313" s="268" t="str">
        <f>$H$7</f>
        <v>PT</v>
      </c>
      <c r="I313" s="268" t="str">
        <f>$I$7</f>
        <v>SE</v>
      </c>
      <c r="J313" s="268" t="str">
        <f>$J$7</f>
        <v>Total</v>
      </c>
      <c r="K313" s="268"/>
      <c r="L313" s="268" t="str">
        <f>$L$7</f>
        <v>FT</v>
      </c>
      <c r="M313" s="268" t="str">
        <f>$M$7</f>
        <v>PT</v>
      </c>
      <c r="N313" s="268" t="str">
        <f>$N$7</f>
        <v>SE</v>
      </c>
      <c r="O313" s="268" t="str">
        <f>$O$7</f>
        <v>Total</v>
      </c>
    </row>
    <row r="314" spans="1:15" s="236" customFormat="1" x14ac:dyDescent="0.2">
      <c r="A314" s="258"/>
      <c r="B314" s="239"/>
      <c r="C314" s="239"/>
      <c r="D314" s="239"/>
      <c r="E314" s="239"/>
      <c r="F314" s="239"/>
      <c r="G314" s="239"/>
      <c r="H314" s="239"/>
      <c r="I314" s="239"/>
      <c r="J314" s="239"/>
      <c r="K314" s="239"/>
      <c r="L314" s="239"/>
      <c r="M314" s="239"/>
      <c r="N314" s="239"/>
      <c r="O314" s="239"/>
    </row>
    <row r="315" spans="1:15" s="236" customFormat="1" x14ac:dyDescent="0.2">
      <c r="A315" s="237" t="str">
        <f>name!E$4</f>
        <v>Managers, directors and senior officials</v>
      </c>
      <c r="B315" s="302">
        <v>1.7555613479885201</v>
      </c>
      <c r="C315" s="302">
        <v>0.39108653441841518</v>
      </c>
      <c r="D315" s="302">
        <v>0.20896753652828876</v>
      </c>
      <c r="E315" s="302">
        <f>SUM(B315:D315)</f>
        <v>2.3556154189352241</v>
      </c>
      <c r="F315" s="303"/>
      <c r="G315" s="302">
        <v>1.7341730275427045</v>
      </c>
      <c r="H315" s="302">
        <v>0.50761988108161027</v>
      </c>
      <c r="I315" s="302">
        <v>0.19264058312045987</v>
      </c>
      <c r="J315" s="302">
        <f>SUM(G315:I315)</f>
        <v>2.4344334917447745</v>
      </c>
      <c r="K315" s="303"/>
      <c r="L315" s="302">
        <v>1.6093293185936375</v>
      </c>
      <c r="M315" s="302">
        <v>0.61796430011089654</v>
      </c>
      <c r="N315" s="302">
        <v>0.19349744486414114</v>
      </c>
      <c r="O315" s="302">
        <f>SUM(L315:N315)</f>
        <v>2.4207910635686756</v>
      </c>
    </row>
    <row r="316" spans="1:15" s="236" customFormat="1" x14ac:dyDescent="0.2">
      <c r="A316" s="237" t="str">
        <f>name!E$5</f>
        <v>Professional occupations</v>
      </c>
      <c r="B316" s="302">
        <v>3.1782714562093473</v>
      </c>
      <c r="C316" s="302">
        <v>1.0669079334665494</v>
      </c>
      <c r="D316" s="302">
        <v>0.41745130959784726</v>
      </c>
      <c r="E316" s="302">
        <f t="shared" ref="E316:E323" si="140">SUM(B316:D316)</f>
        <v>4.6626306992737447</v>
      </c>
      <c r="F316" s="303"/>
      <c r="G316" s="302">
        <v>3.6547098477815778</v>
      </c>
      <c r="H316" s="302">
        <v>1.320924922426906</v>
      </c>
      <c r="I316" s="302">
        <v>0.39680915479589834</v>
      </c>
      <c r="J316" s="302">
        <f t="shared" ref="J316:J318" si="141">SUM(G316:I316)</f>
        <v>5.3724439250043821</v>
      </c>
      <c r="K316" s="303"/>
      <c r="L316" s="302">
        <v>3.9854679087819793</v>
      </c>
      <c r="M316" s="302">
        <v>1.6593012102348508</v>
      </c>
      <c r="N316" s="302">
        <v>0.2753623783711131</v>
      </c>
      <c r="O316" s="302">
        <f t="shared" ref="O316:O323" si="142">SUM(L316:N316)</f>
        <v>5.9201314973879438</v>
      </c>
    </row>
    <row r="317" spans="1:15" s="236" customFormat="1" x14ac:dyDescent="0.2">
      <c r="A317" s="237" t="str">
        <f>name!E$6</f>
        <v>Associate professional occupations</v>
      </c>
      <c r="B317" s="302">
        <v>7.6741575051260407</v>
      </c>
      <c r="C317" s="302">
        <v>1.3478479267002892</v>
      </c>
      <c r="D317" s="302">
        <v>0.2926157464755354</v>
      </c>
      <c r="E317" s="302">
        <f t="shared" si="140"/>
        <v>9.3146211783018646</v>
      </c>
      <c r="F317" s="303"/>
      <c r="G317" s="302">
        <v>7.65246617131944</v>
      </c>
      <c r="H317" s="302">
        <v>1.3485363807813047</v>
      </c>
      <c r="I317" s="302">
        <v>0.22411417311392767</v>
      </c>
      <c r="J317" s="302">
        <f t="shared" si="141"/>
        <v>9.2251167252146722</v>
      </c>
      <c r="K317" s="303"/>
      <c r="L317" s="302">
        <v>8.7379821454544331</v>
      </c>
      <c r="M317" s="302">
        <v>1.485728004696923</v>
      </c>
      <c r="N317" s="302">
        <v>0.1774099109188059</v>
      </c>
      <c r="O317" s="302">
        <f t="shared" si="142"/>
        <v>10.401120061070163</v>
      </c>
    </row>
    <row r="318" spans="1:15" s="236" customFormat="1" x14ac:dyDescent="0.2">
      <c r="A318" s="237" t="str">
        <f>name!E$7</f>
        <v>Administrative and secretarial occupations</v>
      </c>
      <c r="B318" s="302">
        <v>3.4858644582429092</v>
      </c>
      <c r="C318" s="302">
        <v>3.7954092134237505</v>
      </c>
      <c r="D318" s="302">
        <v>8.9234915919405897E-2</v>
      </c>
      <c r="E318" s="302">
        <f t="shared" si="140"/>
        <v>7.3705085875860652</v>
      </c>
      <c r="F318" s="303"/>
      <c r="G318" s="302">
        <v>2.9122091886777479</v>
      </c>
      <c r="H318" s="302">
        <v>3.3327122131144629</v>
      </c>
      <c r="I318" s="302">
        <v>7.1528250191210757E-2</v>
      </c>
      <c r="J318" s="302">
        <f t="shared" si="141"/>
        <v>6.3164496519834215</v>
      </c>
      <c r="K318" s="303"/>
      <c r="L318" s="302">
        <v>1.6795134190009575</v>
      </c>
      <c r="M318" s="302">
        <v>3.0100386259796785</v>
      </c>
      <c r="N318" s="302">
        <v>4.3651301715969607E-2</v>
      </c>
      <c r="O318" s="302">
        <f t="shared" si="142"/>
        <v>4.7332033466966053</v>
      </c>
    </row>
    <row r="319" spans="1:15" s="236" customFormat="1" x14ac:dyDescent="0.2">
      <c r="A319" s="237" t="str">
        <f>name!E$8</f>
        <v>Skilled trades occupations</v>
      </c>
      <c r="B319" s="302">
        <v>0.31226423044007229</v>
      </c>
      <c r="C319" s="302">
        <v>4.0714940678929154E-2</v>
      </c>
      <c r="D319" s="302">
        <v>0.14813829718966548</v>
      </c>
      <c r="E319" s="302">
        <f t="shared" si="140"/>
        <v>0.50111746830866699</v>
      </c>
      <c r="F319" s="303"/>
      <c r="G319" s="302">
        <v>0.2249539480903881</v>
      </c>
      <c r="H319" s="302">
        <v>3.0188301642343675E-2</v>
      </c>
      <c r="I319" s="302">
        <v>7.15687760402198E-2</v>
      </c>
      <c r="J319" s="302">
        <f>SUM(G319:I319)</f>
        <v>0.32671102577295152</v>
      </c>
      <c r="K319" s="303"/>
      <c r="L319" s="302">
        <v>0.23424243057406449</v>
      </c>
      <c r="M319" s="302">
        <v>7.6626149977849514E-2</v>
      </c>
      <c r="N319" s="302">
        <v>8.2689842314652137E-2</v>
      </c>
      <c r="O319" s="302">
        <f t="shared" si="142"/>
        <v>0.39355842286656617</v>
      </c>
    </row>
    <row r="320" spans="1:15" s="236" customFormat="1" x14ac:dyDescent="0.2">
      <c r="A320" s="237" t="str">
        <f>name!E$9</f>
        <v>Caring, leisure and other service occupations</v>
      </c>
      <c r="B320" s="302">
        <v>0.58553578035468268</v>
      </c>
      <c r="C320" s="302">
        <v>0.25649894889461983</v>
      </c>
      <c r="D320" s="302">
        <v>7.3588002528851573E-2</v>
      </c>
      <c r="E320" s="302">
        <f t="shared" si="140"/>
        <v>0.91562273177815401</v>
      </c>
      <c r="F320" s="303"/>
      <c r="G320" s="302">
        <v>0.50229370050130773</v>
      </c>
      <c r="H320" s="302">
        <v>0.23804992383222273</v>
      </c>
      <c r="I320" s="302">
        <v>8.2262735553353367E-2</v>
      </c>
      <c r="J320" s="302">
        <f t="shared" ref="J320:J323" si="143">SUM(G320:I320)</f>
        <v>0.8226063598868838</v>
      </c>
      <c r="K320" s="303"/>
      <c r="L320" s="302">
        <v>0.53249501694780954</v>
      </c>
      <c r="M320" s="302">
        <v>0.2470045395171285</v>
      </c>
      <c r="N320" s="302">
        <v>8.5651129374598081E-2</v>
      </c>
      <c r="O320" s="302">
        <f t="shared" si="142"/>
        <v>0.86515068583953614</v>
      </c>
    </row>
    <row r="321" spans="1:15" s="236" customFormat="1" x14ac:dyDescent="0.2">
      <c r="A321" s="237" t="str">
        <f>name!E$10</f>
        <v>Sales and customer service occupations</v>
      </c>
      <c r="B321" s="302">
        <v>0.29882936165002782</v>
      </c>
      <c r="C321" s="302">
        <v>0.34883146686001709</v>
      </c>
      <c r="D321" s="302">
        <v>5.3963310670172661E-2</v>
      </c>
      <c r="E321" s="302">
        <f t="shared" si="140"/>
        <v>0.7016241391802176</v>
      </c>
      <c r="F321" s="303"/>
      <c r="G321" s="302">
        <v>0.25981503305035175</v>
      </c>
      <c r="H321" s="302">
        <v>0.33414329364737699</v>
      </c>
      <c r="I321" s="302">
        <v>3.4754797102229285E-2</v>
      </c>
      <c r="J321" s="302">
        <f t="shared" si="143"/>
        <v>0.62871312379995803</v>
      </c>
      <c r="K321" s="303"/>
      <c r="L321" s="302">
        <v>0.25290092099194106</v>
      </c>
      <c r="M321" s="302">
        <v>0.44675113017237711</v>
      </c>
      <c r="N321" s="302">
        <v>3.69618174384422E-2</v>
      </c>
      <c r="O321" s="302">
        <f t="shared" si="142"/>
        <v>0.73661386860276035</v>
      </c>
    </row>
    <row r="322" spans="1:15" s="236" customFormat="1" x14ac:dyDescent="0.2">
      <c r="A322" s="237" t="str">
        <f>name!E$11</f>
        <v>Process, plant and machine operatives</v>
      </c>
      <c r="B322" s="302">
        <v>0.19576614556458646</v>
      </c>
      <c r="C322" s="302">
        <v>0.11362267266027531</v>
      </c>
      <c r="D322" s="302">
        <v>2.9087213878272337E-2</v>
      </c>
      <c r="E322" s="302">
        <f t="shared" si="140"/>
        <v>0.33847603210313409</v>
      </c>
      <c r="F322" s="303"/>
      <c r="G322" s="302">
        <v>0.1331074393540834</v>
      </c>
      <c r="H322" s="302">
        <v>8.0999432122665416E-2</v>
      </c>
      <c r="I322" s="302">
        <v>3.039055798682758E-2</v>
      </c>
      <c r="J322" s="302">
        <f t="shared" si="143"/>
        <v>0.24449742946357639</v>
      </c>
      <c r="K322" s="303"/>
      <c r="L322" s="302">
        <v>0.11921443378317598</v>
      </c>
      <c r="M322" s="302">
        <v>0.12744578798330181</v>
      </c>
      <c r="N322" s="302">
        <v>6.6804930263175674E-2</v>
      </c>
      <c r="O322" s="302">
        <f t="shared" si="142"/>
        <v>0.31346515202965347</v>
      </c>
    </row>
    <row r="323" spans="1:15" s="236" customFormat="1" x14ac:dyDescent="0.2">
      <c r="A323" s="237" t="str">
        <f>name!E$12</f>
        <v>Elementary occupations</v>
      </c>
      <c r="B323" s="302">
        <v>0.46135305189562792</v>
      </c>
      <c r="C323" s="302">
        <v>0.65798340678954692</v>
      </c>
      <c r="D323" s="302">
        <v>0.30444728584776148</v>
      </c>
      <c r="E323" s="302">
        <f t="shared" si="140"/>
        <v>1.4237837445329364</v>
      </c>
      <c r="F323" s="303"/>
      <c r="G323" s="302">
        <v>0.3324030487858573</v>
      </c>
      <c r="H323" s="302">
        <v>0.4679405882427462</v>
      </c>
      <c r="I323" s="302">
        <v>0.25968463010073511</v>
      </c>
      <c r="J323" s="302">
        <f t="shared" si="143"/>
        <v>1.0600282671293386</v>
      </c>
      <c r="K323" s="303"/>
      <c r="L323" s="302">
        <v>0.25193594948375098</v>
      </c>
      <c r="M323" s="302">
        <v>0.49472528737502003</v>
      </c>
      <c r="N323" s="302">
        <v>0.46230466507934714</v>
      </c>
      <c r="O323" s="302">
        <f t="shared" si="142"/>
        <v>1.2089659019381183</v>
      </c>
    </row>
    <row r="324" spans="1:15" s="236" customFormat="1" x14ac:dyDescent="0.2">
      <c r="A324" s="237"/>
      <c r="B324" s="302"/>
      <c r="C324" s="302"/>
      <c r="D324" s="302"/>
      <c r="E324" s="302"/>
      <c r="F324" s="303"/>
      <c r="G324" s="302"/>
      <c r="H324" s="302"/>
      <c r="I324" s="302"/>
      <c r="J324" s="302"/>
      <c r="K324" s="303"/>
      <c r="L324" s="302"/>
      <c r="M324" s="302"/>
      <c r="N324" s="302"/>
      <c r="O324" s="302"/>
    </row>
    <row r="325" spans="1:15" s="236" customFormat="1" x14ac:dyDescent="0.2">
      <c r="A325" s="244" t="s">
        <v>33</v>
      </c>
      <c r="B325" s="311">
        <f>SUM(B315:B323)</f>
        <v>17.947603337471815</v>
      </c>
      <c r="C325" s="311">
        <f t="shared" ref="C325:E325" si="144">SUM(C315:C323)</f>
        <v>8.0189030438923918</v>
      </c>
      <c r="D325" s="311">
        <f t="shared" si="144"/>
        <v>1.6174936186358009</v>
      </c>
      <c r="E325" s="311">
        <f t="shared" si="144"/>
        <v>27.58400000000001</v>
      </c>
      <c r="F325" s="311"/>
      <c r="G325" s="311">
        <f t="shared" ref="G325:J325" si="145">SUM(G315:G323)</f>
        <v>17.406131405103459</v>
      </c>
      <c r="H325" s="311">
        <f t="shared" si="145"/>
        <v>7.6611149368916385</v>
      </c>
      <c r="I325" s="311">
        <f t="shared" si="145"/>
        <v>1.3637536580048619</v>
      </c>
      <c r="J325" s="311">
        <f t="shared" si="145"/>
        <v>26.430999999999958</v>
      </c>
      <c r="K325" s="311"/>
      <c r="L325" s="311">
        <f t="shared" ref="L325:O325" si="146">SUM(L315:L323)</f>
        <v>17.403081543611748</v>
      </c>
      <c r="M325" s="311">
        <f t="shared" si="146"/>
        <v>8.1655850360480251</v>
      </c>
      <c r="N325" s="311">
        <f t="shared" si="146"/>
        <v>1.4243334203402449</v>
      </c>
      <c r="O325" s="311">
        <f t="shared" si="146"/>
        <v>26.993000000000016</v>
      </c>
    </row>
    <row r="326" spans="1:15" s="236" customFormat="1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37"/>
      <c r="M326" s="237"/>
      <c r="N326" s="240"/>
    </row>
    <row r="327" spans="1:15" s="236" customFormat="1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37"/>
      <c r="M327" s="237"/>
      <c r="N327" s="240"/>
      <c r="O327" s="251" t="s">
        <v>36</v>
      </c>
    </row>
    <row r="328" spans="1:15" s="236" customFormat="1" x14ac:dyDescent="0.2">
      <c r="A328" s="242"/>
      <c r="B328" s="242"/>
      <c r="C328" s="242"/>
      <c r="D328" s="242"/>
      <c r="E328" s="242"/>
      <c r="F328" s="242"/>
      <c r="G328" s="242"/>
      <c r="H328" s="242"/>
      <c r="I328" s="242"/>
      <c r="J328" s="242"/>
      <c r="K328" s="242"/>
      <c r="L328" s="242"/>
      <c r="M328" s="242"/>
      <c r="N328" s="242"/>
      <c r="O328" s="242"/>
    </row>
    <row r="329" spans="1:15" s="236" customFormat="1" x14ac:dyDescent="0.2">
      <c r="A329" s="241" t="str">
        <f>name!B22</f>
        <v>Education</v>
      </c>
      <c r="B329" s="377">
        <f>$B$6</f>
        <v>2015</v>
      </c>
      <c r="C329" s="377"/>
      <c r="D329" s="377"/>
      <c r="E329" s="377"/>
      <c r="F329" s="263"/>
      <c r="G329" s="377">
        <f>$G$6</f>
        <v>2020</v>
      </c>
      <c r="H329" s="377"/>
      <c r="I329" s="377"/>
      <c r="J329" s="377"/>
      <c r="K329" s="263"/>
      <c r="L329" s="377">
        <f>$L$6</f>
        <v>2035</v>
      </c>
      <c r="M329" s="377"/>
      <c r="N329" s="377"/>
      <c r="O329" s="377"/>
    </row>
    <row r="330" spans="1:15" s="236" customFormat="1" x14ac:dyDescent="0.2">
      <c r="A330" s="254"/>
      <c r="B330" s="268" t="str">
        <f>$B$7</f>
        <v>FT</v>
      </c>
      <c r="C330" s="268" t="str">
        <f>$C$7</f>
        <v>PT</v>
      </c>
      <c r="D330" s="268" t="str">
        <f>$D$7</f>
        <v>SE</v>
      </c>
      <c r="E330" s="268" t="str">
        <f>$E$7</f>
        <v>Total</v>
      </c>
      <c r="F330" s="268"/>
      <c r="G330" s="268" t="str">
        <f>$G$7</f>
        <v>FT</v>
      </c>
      <c r="H330" s="268" t="str">
        <f>$H$7</f>
        <v>PT</v>
      </c>
      <c r="I330" s="268" t="str">
        <f>$I$7</f>
        <v>SE</v>
      </c>
      <c r="J330" s="268" t="str">
        <f>$J$7</f>
        <v>Total</v>
      </c>
      <c r="K330" s="268"/>
      <c r="L330" s="268" t="str">
        <f>$L$7</f>
        <v>FT</v>
      </c>
      <c r="M330" s="268" t="str">
        <f>$M$7</f>
        <v>PT</v>
      </c>
      <c r="N330" s="268" t="str">
        <f>$N$7</f>
        <v>SE</v>
      </c>
      <c r="O330" s="268" t="str">
        <f>$O$7</f>
        <v>Total</v>
      </c>
    </row>
    <row r="331" spans="1:15" s="236" customFormat="1" x14ac:dyDescent="0.2">
      <c r="A331" s="258"/>
      <c r="B331" s="239"/>
      <c r="C331" s="239"/>
      <c r="D331" s="239"/>
      <c r="E331" s="239"/>
      <c r="F331" s="239"/>
      <c r="G331" s="239"/>
      <c r="H331" s="239"/>
      <c r="I331" s="239"/>
      <c r="J331" s="239"/>
      <c r="K331" s="239"/>
      <c r="L331" s="239"/>
      <c r="M331" s="239"/>
      <c r="N331" s="239"/>
      <c r="O331" s="239"/>
    </row>
    <row r="332" spans="1:15" s="236" customFormat="1" x14ac:dyDescent="0.2">
      <c r="A332" s="237" t="str">
        <f>name!E$4</f>
        <v>Managers, directors and senior officials</v>
      </c>
      <c r="B332" s="302">
        <v>1.3716952452328424</v>
      </c>
      <c r="C332" s="302">
        <v>0.54747514538768816</v>
      </c>
      <c r="D332" s="302">
        <v>0.78749603731358309</v>
      </c>
      <c r="E332" s="302">
        <f>SUM(B332:D332)</f>
        <v>2.7066664279341133</v>
      </c>
      <c r="F332" s="303"/>
      <c r="G332" s="302">
        <v>1.203895106043908</v>
      </c>
      <c r="H332" s="302">
        <v>0.72838931581463751</v>
      </c>
      <c r="I332" s="302">
        <v>0.81123159403428724</v>
      </c>
      <c r="J332" s="302">
        <f>SUM(G332:I332)</f>
        <v>2.7435160158928329</v>
      </c>
      <c r="K332" s="303"/>
      <c r="L332" s="302">
        <v>1.237649727516356</v>
      </c>
      <c r="M332" s="302">
        <v>0.84059282080275943</v>
      </c>
      <c r="N332" s="302">
        <v>0.87451878736288358</v>
      </c>
      <c r="O332" s="302">
        <f>SUM(L332:N332)</f>
        <v>2.9527613356819988</v>
      </c>
    </row>
    <row r="333" spans="1:15" s="236" customFormat="1" x14ac:dyDescent="0.2">
      <c r="A333" s="237" t="str">
        <f>name!E$5</f>
        <v>Professional occupations</v>
      </c>
      <c r="B333" s="302">
        <v>21.682826612749768</v>
      </c>
      <c r="C333" s="302">
        <v>12.547945360607942</v>
      </c>
      <c r="D333" s="302">
        <v>4.167400598653809</v>
      </c>
      <c r="E333" s="302">
        <f t="shared" ref="E333:E340" si="147">SUM(B333:D333)</f>
        <v>38.398172572011518</v>
      </c>
      <c r="F333" s="303"/>
      <c r="G333" s="302">
        <v>20.227261940144931</v>
      </c>
      <c r="H333" s="302">
        <v>14.070526577569835</v>
      </c>
      <c r="I333" s="302">
        <v>4.8350295585375775</v>
      </c>
      <c r="J333" s="302">
        <f t="shared" ref="J333:J335" si="148">SUM(G333:I333)</f>
        <v>39.132818076252342</v>
      </c>
      <c r="K333" s="303"/>
      <c r="L333" s="302">
        <v>21.772286596654975</v>
      </c>
      <c r="M333" s="302">
        <v>16.489625485116303</v>
      </c>
      <c r="N333" s="302">
        <v>4.9735555192670793</v>
      </c>
      <c r="O333" s="302">
        <f t="shared" ref="O333:O340" si="149">SUM(L333:N333)</f>
        <v>43.235467601038359</v>
      </c>
    </row>
    <row r="334" spans="1:15" s="236" customFormat="1" x14ac:dyDescent="0.2">
      <c r="A334" s="237" t="str">
        <f>name!E$6</f>
        <v>Associate professional occupations</v>
      </c>
      <c r="B334" s="302">
        <v>2.5326901093630148</v>
      </c>
      <c r="C334" s="302">
        <v>2.4804258599469908</v>
      </c>
      <c r="D334" s="302">
        <v>2.0588569398994268</v>
      </c>
      <c r="E334" s="302">
        <f t="shared" si="147"/>
        <v>7.0719729092094319</v>
      </c>
      <c r="F334" s="303"/>
      <c r="G334" s="302">
        <v>2.342765843692288</v>
      </c>
      <c r="H334" s="302">
        <v>2.7213294846788298</v>
      </c>
      <c r="I334" s="302">
        <v>1.688455988352155</v>
      </c>
      <c r="J334" s="302">
        <f t="shared" si="148"/>
        <v>6.7525513167232729</v>
      </c>
      <c r="K334" s="303"/>
      <c r="L334" s="302">
        <v>2.1972340276299973</v>
      </c>
      <c r="M334" s="302">
        <v>2.6321176886407138</v>
      </c>
      <c r="N334" s="302">
        <v>1.7278996114173011</v>
      </c>
      <c r="O334" s="302">
        <f t="shared" si="149"/>
        <v>6.5572513276880127</v>
      </c>
    </row>
    <row r="335" spans="1:15" s="236" customFormat="1" x14ac:dyDescent="0.2">
      <c r="A335" s="237" t="str">
        <f>name!E$7</f>
        <v>Administrative and secretarial occupations</v>
      </c>
      <c r="B335" s="302">
        <v>1.9608504003042038</v>
      </c>
      <c r="C335" s="302">
        <v>3.406192187883494</v>
      </c>
      <c r="D335" s="302">
        <v>0.30723915244780098</v>
      </c>
      <c r="E335" s="302">
        <f t="shared" si="147"/>
        <v>5.6742817406354984</v>
      </c>
      <c r="F335" s="303"/>
      <c r="G335" s="302">
        <v>1.4501326847682867</v>
      </c>
      <c r="H335" s="302">
        <v>2.943252678296306</v>
      </c>
      <c r="I335" s="302">
        <v>0.22627307922939965</v>
      </c>
      <c r="J335" s="302">
        <f t="shared" si="148"/>
        <v>4.6196584422939928</v>
      </c>
      <c r="K335" s="303"/>
      <c r="L335" s="302">
        <v>0.86551718850739856</v>
      </c>
      <c r="M335" s="302">
        <v>1.4647697972430977</v>
      </c>
      <c r="N335" s="302">
        <v>0.18483181459903661</v>
      </c>
      <c r="O335" s="302">
        <f t="shared" si="149"/>
        <v>2.5151188003495331</v>
      </c>
    </row>
    <row r="336" spans="1:15" s="236" customFormat="1" x14ac:dyDescent="0.2">
      <c r="A336" s="237" t="str">
        <f>name!E$8</f>
        <v>Skilled trades occupations</v>
      </c>
      <c r="B336" s="302">
        <v>0.71936158601565603</v>
      </c>
      <c r="C336" s="302">
        <v>0.4413615515853111</v>
      </c>
      <c r="D336" s="302">
        <v>0.19760715008731028</v>
      </c>
      <c r="E336" s="302">
        <f t="shared" si="147"/>
        <v>1.3583302876882772</v>
      </c>
      <c r="F336" s="303"/>
      <c r="G336" s="302">
        <v>0.45562986603593036</v>
      </c>
      <c r="H336" s="302">
        <v>0.30371650131667061</v>
      </c>
      <c r="I336" s="302">
        <v>0.16365018456095018</v>
      </c>
      <c r="J336" s="302">
        <f>SUM(G336:I336)</f>
        <v>0.92299655191355112</v>
      </c>
      <c r="K336" s="303"/>
      <c r="L336" s="302">
        <v>0.32259712962731713</v>
      </c>
      <c r="M336" s="302">
        <v>0.17873284406912773</v>
      </c>
      <c r="N336" s="302">
        <v>0.1685101090225882</v>
      </c>
      <c r="O336" s="302">
        <f t="shared" si="149"/>
        <v>0.66984008271903306</v>
      </c>
    </row>
    <row r="337" spans="1:15" s="236" customFormat="1" x14ac:dyDescent="0.2">
      <c r="A337" s="237" t="str">
        <f>name!E$9</f>
        <v>Caring, leisure and other service occupations</v>
      </c>
      <c r="B337" s="302">
        <v>7.4675606947177915</v>
      </c>
      <c r="C337" s="302">
        <v>9.0292370085572866</v>
      </c>
      <c r="D337" s="302">
        <v>0.70076306073054051</v>
      </c>
      <c r="E337" s="302">
        <f t="shared" si="147"/>
        <v>17.197560764005619</v>
      </c>
      <c r="F337" s="303"/>
      <c r="G337" s="302">
        <v>5.764902406455537</v>
      </c>
      <c r="H337" s="302">
        <v>8.3675807437295529</v>
      </c>
      <c r="I337" s="302">
        <v>0.59246154302143694</v>
      </c>
      <c r="J337" s="302">
        <f t="shared" ref="J337:J340" si="150">SUM(G337:I337)</f>
        <v>14.724944693206528</v>
      </c>
      <c r="K337" s="303"/>
      <c r="L337" s="302">
        <v>6.8004466693188022</v>
      </c>
      <c r="M337" s="302">
        <v>8.3036856148102292</v>
      </c>
      <c r="N337" s="302">
        <v>0.69913523202783645</v>
      </c>
      <c r="O337" s="302">
        <f t="shared" si="149"/>
        <v>15.803267516156868</v>
      </c>
    </row>
    <row r="338" spans="1:15" s="236" customFormat="1" x14ac:dyDescent="0.2">
      <c r="A338" s="237" t="str">
        <f>name!E$10</f>
        <v>Sales and customer service occupations</v>
      </c>
      <c r="B338" s="302">
        <v>0.17731879605217882</v>
      </c>
      <c r="C338" s="302">
        <v>0.2787974222775616</v>
      </c>
      <c r="D338" s="302">
        <v>0.13770241094951044</v>
      </c>
      <c r="E338" s="302">
        <f t="shared" si="147"/>
        <v>0.59381862927925089</v>
      </c>
      <c r="F338" s="303"/>
      <c r="G338" s="302">
        <v>0.13357637207953277</v>
      </c>
      <c r="H338" s="302">
        <v>0.24752222583728645</v>
      </c>
      <c r="I338" s="302">
        <v>8.9386826798553212E-2</v>
      </c>
      <c r="J338" s="302">
        <f t="shared" si="150"/>
        <v>0.47048542471537241</v>
      </c>
      <c r="K338" s="303"/>
      <c r="L338" s="302">
        <v>0.13992528255116601</v>
      </c>
      <c r="M338" s="302">
        <v>0.22522296896748004</v>
      </c>
      <c r="N338" s="302">
        <v>9.9714901882545587E-2</v>
      </c>
      <c r="O338" s="302">
        <f t="shared" si="149"/>
        <v>0.46486315340119166</v>
      </c>
    </row>
    <row r="339" spans="1:15" s="236" customFormat="1" x14ac:dyDescent="0.2">
      <c r="A339" s="237" t="str">
        <f>name!E$11</f>
        <v>Process, plant and machine operatives</v>
      </c>
      <c r="B339" s="302">
        <v>0.11122100652844616</v>
      </c>
      <c r="C339" s="302">
        <v>0.20457864271650761</v>
      </c>
      <c r="D339" s="302">
        <v>1.3350782810059088</v>
      </c>
      <c r="E339" s="302">
        <f t="shared" si="147"/>
        <v>1.6508779302508625</v>
      </c>
      <c r="F339" s="303"/>
      <c r="G339" s="302">
        <v>6.7937120049193139E-2</v>
      </c>
      <c r="H339" s="302">
        <v>0.16691971083815613</v>
      </c>
      <c r="I339" s="302">
        <v>1.6141107349530921</v>
      </c>
      <c r="J339" s="302">
        <f t="shared" si="150"/>
        <v>1.8489675658404414</v>
      </c>
      <c r="K339" s="303"/>
      <c r="L339" s="302">
        <v>5.6783000285137546E-2</v>
      </c>
      <c r="M339" s="302">
        <v>0.20415416536125755</v>
      </c>
      <c r="N339" s="302">
        <v>1.7737250800161253</v>
      </c>
      <c r="O339" s="302">
        <f t="shared" si="149"/>
        <v>2.0346622456625205</v>
      </c>
    </row>
    <row r="340" spans="1:15" s="236" customFormat="1" x14ac:dyDescent="0.2">
      <c r="A340" s="237" t="str">
        <f>name!E$12</f>
        <v>Elementary occupations</v>
      </c>
      <c r="B340" s="302">
        <v>0.42195392268817328</v>
      </c>
      <c r="C340" s="302">
        <v>4.8707972490125906</v>
      </c>
      <c r="D340" s="302">
        <v>0.16756756728459965</v>
      </c>
      <c r="E340" s="302">
        <f t="shared" si="147"/>
        <v>5.4603187389853636</v>
      </c>
      <c r="F340" s="303"/>
      <c r="G340" s="302">
        <v>0.26783151049560383</v>
      </c>
      <c r="H340" s="302">
        <v>3.5483294633692926</v>
      </c>
      <c r="I340" s="302">
        <v>8.3900939296780816E-2</v>
      </c>
      <c r="J340" s="302">
        <f t="shared" si="150"/>
        <v>3.9000619131616769</v>
      </c>
      <c r="K340" s="303"/>
      <c r="L340" s="302">
        <v>0.18808223266359161</v>
      </c>
      <c r="M340" s="302">
        <v>2.0160610812559079</v>
      </c>
      <c r="N340" s="302">
        <v>0.13162462338294378</v>
      </c>
      <c r="O340" s="302">
        <f t="shared" si="149"/>
        <v>2.3357679373024434</v>
      </c>
    </row>
    <row r="341" spans="1:15" s="236" customFormat="1" x14ac:dyDescent="0.2">
      <c r="A341" s="237"/>
      <c r="B341" s="302"/>
      <c r="C341" s="302"/>
      <c r="D341" s="302"/>
      <c r="E341" s="302"/>
      <c r="F341" s="303"/>
      <c r="G341" s="302"/>
      <c r="H341" s="302"/>
      <c r="I341" s="302"/>
      <c r="J341" s="302"/>
      <c r="K341" s="303"/>
      <c r="L341" s="302"/>
      <c r="M341" s="302"/>
      <c r="N341" s="302"/>
      <c r="O341" s="302"/>
    </row>
    <row r="342" spans="1:15" s="236" customFormat="1" x14ac:dyDescent="0.2">
      <c r="A342" s="244" t="s">
        <v>33</v>
      </c>
      <c r="B342" s="311">
        <f>SUM(B332:B340)</f>
        <v>36.445478373652072</v>
      </c>
      <c r="C342" s="311">
        <f t="shared" ref="C342:E342" si="151">SUM(C332:C340)</f>
        <v>33.806810427975378</v>
      </c>
      <c r="D342" s="311">
        <f t="shared" si="151"/>
        <v>9.859711198372489</v>
      </c>
      <c r="E342" s="311">
        <f t="shared" si="151"/>
        <v>80.111999999999938</v>
      </c>
      <c r="F342" s="311"/>
      <c r="G342" s="311">
        <f t="shared" ref="G342:J342" si="152">SUM(G332:G340)</f>
        <v>31.913932849765214</v>
      </c>
      <c r="H342" s="311">
        <f t="shared" si="152"/>
        <v>33.097566701450567</v>
      </c>
      <c r="I342" s="311">
        <f t="shared" si="152"/>
        <v>10.104500448784233</v>
      </c>
      <c r="J342" s="311">
        <f t="shared" si="152"/>
        <v>75.116000000000014</v>
      </c>
      <c r="K342" s="311"/>
      <c r="L342" s="311">
        <f t="shared" ref="L342:O342" si="153">SUM(L332:L340)</f>
        <v>33.580521854754743</v>
      </c>
      <c r="M342" s="311">
        <f t="shared" si="153"/>
        <v>32.354962466266876</v>
      </c>
      <c r="N342" s="311">
        <f t="shared" si="153"/>
        <v>10.633515678978341</v>
      </c>
      <c r="O342" s="311">
        <f t="shared" si="153"/>
        <v>76.568999999999974</v>
      </c>
    </row>
    <row r="343" spans="1:15" s="236" customFormat="1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37"/>
      <c r="M343" s="237"/>
      <c r="N343" s="240"/>
    </row>
    <row r="344" spans="1:15" s="236" customFormat="1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37"/>
      <c r="M344" s="237"/>
      <c r="N344" s="240"/>
      <c r="O344" s="251" t="s">
        <v>36</v>
      </c>
    </row>
    <row r="345" spans="1:15" s="236" customFormat="1" x14ac:dyDescent="0.2">
      <c r="A345" s="242"/>
      <c r="B345" s="242"/>
      <c r="C345" s="242"/>
      <c r="D345" s="242"/>
      <c r="E345" s="242"/>
      <c r="F345" s="242"/>
      <c r="G345" s="242"/>
      <c r="H345" s="242"/>
      <c r="I345" s="242"/>
      <c r="J345" s="242"/>
      <c r="K345" s="242"/>
      <c r="L345" s="242"/>
      <c r="M345" s="242"/>
      <c r="N345" s="242"/>
      <c r="O345" s="242"/>
    </row>
    <row r="346" spans="1:15" s="236" customFormat="1" x14ac:dyDescent="0.2">
      <c r="A346" s="241" t="str">
        <f>name!B23</f>
        <v>Health and social work</v>
      </c>
      <c r="B346" s="377">
        <f>$B$6</f>
        <v>2015</v>
      </c>
      <c r="C346" s="377"/>
      <c r="D346" s="377"/>
      <c r="E346" s="377"/>
      <c r="F346" s="263"/>
      <c r="G346" s="377">
        <f>$G$6</f>
        <v>2020</v>
      </c>
      <c r="H346" s="377"/>
      <c r="I346" s="377"/>
      <c r="J346" s="377"/>
      <c r="K346" s="263"/>
      <c r="L346" s="377">
        <f>$L$6</f>
        <v>2035</v>
      </c>
      <c r="M346" s="377"/>
      <c r="N346" s="377"/>
      <c r="O346" s="377"/>
    </row>
    <row r="347" spans="1:15" s="236" customFormat="1" x14ac:dyDescent="0.2">
      <c r="A347" s="254"/>
      <c r="B347" s="268" t="str">
        <f>$B$7</f>
        <v>FT</v>
      </c>
      <c r="C347" s="268" t="str">
        <f>$C$7</f>
        <v>PT</v>
      </c>
      <c r="D347" s="268" t="str">
        <f>$D$7</f>
        <v>SE</v>
      </c>
      <c r="E347" s="268" t="str">
        <f>$E$7</f>
        <v>Total</v>
      </c>
      <c r="F347" s="268"/>
      <c r="G347" s="268" t="str">
        <f>$G$7</f>
        <v>FT</v>
      </c>
      <c r="H347" s="268" t="str">
        <f>$H$7</f>
        <v>PT</v>
      </c>
      <c r="I347" s="268" t="str">
        <f>$I$7</f>
        <v>SE</v>
      </c>
      <c r="J347" s="268" t="str">
        <f>$J$7</f>
        <v>Total</v>
      </c>
      <c r="K347" s="268"/>
      <c r="L347" s="268" t="str">
        <f>$L$7</f>
        <v>FT</v>
      </c>
      <c r="M347" s="268" t="str">
        <f>$M$7</f>
        <v>PT</v>
      </c>
      <c r="N347" s="268" t="str">
        <f>$N$7</f>
        <v>SE</v>
      </c>
      <c r="O347" s="268" t="str">
        <f>$O$7</f>
        <v>Total</v>
      </c>
    </row>
    <row r="348" spans="1:15" s="236" customFormat="1" x14ac:dyDescent="0.2">
      <c r="A348" s="258"/>
      <c r="B348" s="239"/>
      <c r="C348" s="239"/>
      <c r="D348" s="239"/>
      <c r="E348" s="239"/>
      <c r="F348" s="239"/>
      <c r="G348" s="239"/>
      <c r="H348" s="239"/>
      <c r="I348" s="239"/>
      <c r="J348" s="239"/>
      <c r="K348" s="239"/>
      <c r="L348" s="239"/>
      <c r="M348" s="239"/>
      <c r="N348" s="239"/>
      <c r="O348" s="239"/>
    </row>
    <row r="349" spans="1:15" s="236" customFormat="1" x14ac:dyDescent="0.2">
      <c r="A349" s="237" t="str">
        <f>name!E$4</f>
        <v>Managers, directors and senior officials</v>
      </c>
      <c r="B349" s="302">
        <v>3.001921750404736</v>
      </c>
      <c r="C349" s="302">
        <v>0.91361556850813697</v>
      </c>
      <c r="D349" s="302">
        <v>0.38755602965912256</v>
      </c>
      <c r="E349" s="302">
        <f>SUM(B349:D349)</f>
        <v>4.3030933485719958</v>
      </c>
      <c r="F349" s="303"/>
      <c r="G349" s="302">
        <v>3.2021765819266905</v>
      </c>
      <c r="H349" s="302">
        <v>1.31139496728316</v>
      </c>
      <c r="I349" s="302">
        <v>0.53714421984900773</v>
      </c>
      <c r="J349" s="302">
        <f>SUM(G349:I349)</f>
        <v>5.0507157690588587</v>
      </c>
      <c r="K349" s="303"/>
      <c r="L349" s="302">
        <v>3.7052074705164806</v>
      </c>
      <c r="M349" s="302">
        <v>1.443629509527278</v>
      </c>
      <c r="N349" s="302">
        <v>0.58258707579725855</v>
      </c>
      <c r="O349" s="302">
        <f>SUM(L349:N349)</f>
        <v>5.7314240558410168</v>
      </c>
    </row>
    <row r="350" spans="1:15" s="236" customFormat="1" x14ac:dyDescent="0.2">
      <c r="A350" s="237" t="str">
        <f>name!E$5</f>
        <v>Professional occupations</v>
      </c>
      <c r="B350" s="302">
        <v>14.941548155002193</v>
      </c>
      <c r="C350" s="302">
        <v>7.4380795871837027</v>
      </c>
      <c r="D350" s="302">
        <v>2.4618853905925993</v>
      </c>
      <c r="E350" s="302">
        <f t="shared" ref="E350:E357" si="154">SUM(B350:D350)</f>
        <v>24.841513132778495</v>
      </c>
      <c r="F350" s="303"/>
      <c r="G350" s="302">
        <v>16.929029064410905</v>
      </c>
      <c r="H350" s="302">
        <v>9.2948873129838834</v>
      </c>
      <c r="I350" s="302">
        <v>2.9954949341675894</v>
      </c>
      <c r="J350" s="302">
        <f t="shared" ref="J350:J352" si="155">SUM(G350:I350)</f>
        <v>29.219411311562375</v>
      </c>
      <c r="K350" s="303"/>
      <c r="L350" s="302">
        <v>19.97382765049483</v>
      </c>
      <c r="M350" s="302">
        <v>10.147144887497939</v>
      </c>
      <c r="N350" s="302">
        <v>3.4256450153137421</v>
      </c>
      <c r="O350" s="302">
        <f t="shared" ref="O350:O357" si="156">SUM(L350:N350)</f>
        <v>33.546617553306511</v>
      </c>
    </row>
    <row r="351" spans="1:15" s="236" customFormat="1" x14ac:dyDescent="0.2">
      <c r="A351" s="237" t="str">
        <f>name!E$6</f>
        <v>Associate professional occupations</v>
      </c>
      <c r="B351" s="302">
        <v>6.3183064065166681</v>
      </c>
      <c r="C351" s="302">
        <v>4.3336954324013899</v>
      </c>
      <c r="D351" s="302">
        <v>1.4092313668863157</v>
      </c>
      <c r="E351" s="302">
        <f t="shared" si="154"/>
        <v>12.061233205804372</v>
      </c>
      <c r="F351" s="303"/>
      <c r="G351" s="302">
        <v>6.9859152447170256</v>
      </c>
      <c r="H351" s="302">
        <v>5.2963520038666134</v>
      </c>
      <c r="I351" s="302">
        <v>1.2081201716799863</v>
      </c>
      <c r="J351" s="302">
        <f t="shared" si="155"/>
        <v>13.490387420263627</v>
      </c>
      <c r="K351" s="303"/>
      <c r="L351" s="302">
        <v>7.4064304773022904</v>
      </c>
      <c r="M351" s="302">
        <v>5.2897268847415102</v>
      </c>
      <c r="N351" s="302">
        <v>1.5390120314966247</v>
      </c>
      <c r="O351" s="302">
        <f t="shared" si="156"/>
        <v>14.235169393540426</v>
      </c>
    </row>
    <row r="352" spans="1:15" s="236" customFormat="1" x14ac:dyDescent="0.2">
      <c r="A352" s="237" t="str">
        <f>name!E$7</f>
        <v>Administrative and secretarial occupations</v>
      </c>
      <c r="B352" s="302">
        <v>4.6158725971381758</v>
      </c>
      <c r="C352" s="302">
        <v>5.8983391918487635</v>
      </c>
      <c r="D352" s="302">
        <v>0.37772498083146433</v>
      </c>
      <c r="E352" s="302">
        <f t="shared" si="154"/>
        <v>10.891936769818404</v>
      </c>
      <c r="F352" s="303"/>
      <c r="G352" s="302">
        <v>4.2638273721622948</v>
      </c>
      <c r="H352" s="302">
        <v>5.5813060435728055</v>
      </c>
      <c r="I352" s="302">
        <v>0.24419832403931999</v>
      </c>
      <c r="J352" s="302">
        <f t="shared" si="155"/>
        <v>10.089331739774421</v>
      </c>
      <c r="K352" s="303"/>
      <c r="L352" s="302">
        <v>3.420198058783976</v>
      </c>
      <c r="M352" s="302">
        <v>2.9979578801344129</v>
      </c>
      <c r="N352" s="302">
        <v>0.14543138605906167</v>
      </c>
      <c r="O352" s="302">
        <f t="shared" si="156"/>
        <v>6.5635873249774503</v>
      </c>
    </row>
    <row r="353" spans="1:15" s="236" customFormat="1" x14ac:dyDescent="0.2">
      <c r="A353" s="237" t="str">
        <f>name!E$8</f>
        <v>Skilled trades occupations</v>
      </c>
      <c r="B353" s="302">
        <v>0.57706750514647864</v>
      </c>
      <c r="C353" s="302">
        <v>0.51741395740838458</v>
      </c>
      <c r="D353" s="302">
        <v>0.11239211945456179</v>
      </c>
      <c r="E353" s="302">
        <f t="shared" si="154"/>
        <v>1.2068735820094252</v>
      </c>
      <c r="F353" s="303"/>
      <c r="G353" s="302">
        <v>0.40733763715794824</v>
      </c>
      <c r="H353" s="302">
        <v>0.38401477090640174</v>
      </c>
      <c r="I353" s="302">
        <v>0.16345344978664655</v>
      </c>
      <c r="J353" s="302">
        <f>SUM(G353:I353)</f>
        <v>0.95480585785099648</v>
      </c>
      <c r="K353" s="303"/>
      <c r="L353" s="302">
        <v>0.28975042415489338</v>
      </c>
      <c r="M353" s="302">
        <v>0.29258313636865219</v>
      </c>
      <c r="N353" s="302">
        <v>0.14850326809443018</v>
      </c>
      <c r="O353" s="302">
        <f t="shared" si="156"/>
        <v>0.73083682861797572</v>
      </c>
    </row>
    <row r="354" spans="1:15" s="236" customFormat="1" x14ac:dyDescent="0.2">
      <c r="A354" s="237" t="str">
        <f>name!E$9</f>
        <v>Caring, leisure and other service occupations</v>
      </c>
      <c r="B354" s="302">
        <v>16.299456664105815</v>
      </c>
      <c r="C354" s="302">
        <v>14.105473333293475</v>
      </c>
      <c r="D354" s="302">
        <v>3.5359403825899869</v>
      </c>
      <c r="E354" s="302">
        <f t="shared" si="154"/>
        <v>33.940870379989278</v>
      </c>
      <c r="F354" s="303"/>
      <c r="G354" s="302">
        <v>15.767366264772654</v>
      </c>
      <c r="H354" s="302">
        <v>14.476491449090496</v>
      </c>
      <c r="I354" s="302">
        <v>3.4026555264507605</v>
      </c>
      <c r="J354" s="302">
        <f t="shared" ref="J354:J357" si="157">SUM(G354:I354)</f>
        <v>33.646513240313908</v>
      </c>
      <c r="K354" s="303"/>
      <c r="L354" s="302">
        <v>18.891458920265148</v>
      </c>
      <c r="M354" s="302">
        <v>15.582746124152656</v>
      </c>
      <c r="N354" s="302">
        <v>3.9526789580085366</v>
      </c>
      <c r="O354" s="302">
        <f t="shared" si="156"/>
        <v>38.426884002426334</v>
      </c>
    </row>
    <row r="355" spans="1:15" s="236" customFormat="1" x14ac:dyDescent="0.2">
      <c r="A355" s="237" t="str">
        <f>name!E$10</f>
        <v>Sales and customer service occupations</v>
      </c>
      <c r="B355" s="302">
        <v>0.60179287837243278</v>
      </c>
      <c r="C355" s="302">
        <v>0.67947127774263361</v>
      </c>
      <c r="D355" s="302">
        <v>9.5054201582319781E-2</v>
      </c>
      <c r="E355" s="302">
        <f t="shared" si="154"/>
        <v>1.3763183576973861</v>
      </c>
      <c r="F355" s="303"/>
      <c r="G355" s="302">
        <v>0.55816776819894609</v>
      </c>
      <c r="H355" s="302">
        <v>0.6412377983131089</v>
      </c>
      <c r="I355" s="302">
        <v>6.2684435811359782E-2</v>
      </c>
      <c r="J355" s="302">
        <f t="shared" si="157"/>
        <v>1.262090002323415</v>
      </c>
      <c r="K355" s="303"/>
      <c r="L355" s="302">
        <v>0.6080991081948609</v>
      </c>
      <c r="M355" s="302">
        <v>0.65518656431682964</v>
      </c>
      <c r="N355" s="302">
        <v>9.0310681289451702E-2</v>
      </c>
      <c r="O355" s="302">
        <f t="shared" si="156"/>
        <v>1.3535963538011422</v>
      </c>
    </row>
    <row r="356" spans="1:15" s="236" customFormat="1" x14ac:dyDescent="0.2">
      <c r="A356" s="237" t="str">
        <f>name!E$11</f>
        <v>Process, plant and machine operatives</v>
      </c>
      <c r="B356" s="302">
        <v>0.15646385499455298</v>
      </c>
      <c r="C356" s="302">
        <v>0.44441603831772919</v>
      </c>
      <c r="D356" s="302">
        <v>2.365109150224954E-2</v>
      </c>
      <c r="E356" s="302">
        <f t="shared" si="154"/>
        <v>0.62453098481453173</v>
      </c>
      <c r="F356" s="303"/>
      <c r="G356" s="302">
        <v>0.11169670365457993</v>
      </c>
      <c r="H356" s="302">
        <v>0.36059427036571201</v>
      </c>
      <c r="I356" s="302">
        <v>3.7718211745016363E-2</v>
      </c>
      <c r="J356" s="302">
        <f t="shared" si="157"/>
        <v>0.51000918576530829</v>
      </c>
      <c r="K356" s="303"/>
      <c r="L356" s="302">
        <v>7.8924862778111504E-2</v>
      </c>
      <c r="M356" s="302">
        <v>0.32293913402912505</v>
      </c>
      <c r="N356" s="302">
        <v>2.9883670625389658E-2</v>
      </c>
      <c r="O356" s="302">
        <f t="shared" si="156"/>
        <v>0.43174766743262621</v>
      </c>
    </row>
    <row r="357" spans="1:15" s="236" customFormat="1" x14ac:dyDescent="0.2">
      <c r="A357" s="237" t="str">
        <f>name!E$12</f>
        <v>Elementary occupations</v>
      </c>
      <c r="B357" s="302">
        <v>0.72228530329974339</v>
      </c>
      <c r="C357" s="302">
        <v>2.3230014197736351</v>
      </c>
      <c r="D357" s="302">
        <v>4.7343515442768484E-2</v>
      </c>
      <c r="E357" s="302">
        <f t="shared" si="154"/>
        <v>3.092630238516147</v>
      </c>
      <c r="F357" s="303"/>
      <c r="G357" s="302">
        <v>0.57876829775577776</v>
      </c>
      <c r="H357" s="302">
        <v>1.7354187558806549</v>
      </c>
      <c r="I357" s="302">
        <v>3.1548419450764989E-2</v>
      </c>
      <c r="J357" s="302">
        <f t="shared" si="157"/>
        <v>2.3457354730871978</v>
      </c>
      <c r="K357" s="303"/>
      <c r="L357" s="302">
        <v>0.23270507662001721</v>
      </c>
      <c r="M357" s="302">
        <v>1.1296160938739617</v>
      </c>
      <c r="N357" s="302">
        <v>1.4815649562564325E-2</v>
      </c>
      <c r="O357" s="302">
        <f t="shared" si="156"/>
        <v>1.3771368200565433</v>
      </c>
    </row>
    <row r="358" spans="1:15" s="236" customFormat="1" x14ac:dyDescent="0.2">
      <c r="A358" s="237"/>
      <c r="B358" s="302"/>
      <c r="C358" s="302"/>
      <c r="D358" s="302"/>
      <c r="E358" s="302"/>
      <c r="F358" s="303"/>
      <c r="G358" s="302"/>
      <c r="H358" s="302"/>
      <c r="I358" s="302"/>
      <c r="J358" s="302"/>
      <c r="K358" s="303"/>
      <c r="L358" s="302"/>
      <c r="M358" s="302"/>
      <c r="N358" s="302"/>
      <c r="O358" s="302"/>
    </row>
    <row r="359" spans="1:15" s="236" customFormat="1" x14ac:dyDescent="0.2">
      <c r="A359" s="244" t="s">
        <v>33</v>
      </c>
      <c r="B359" s="311">
        <f>SUM(B349:B357)</f>
        <v>47.234715114980801</v>
      </c>
      <c r="C359" s="311">
        <f t="shared" ref="C359:E359" si="158">SUM(C349:C357)</f>
        <v>36.653505806477845</v>
      </c>
      <c r="D359" s="311">
        <f t="shared" si="158"/>
        <v>8.4507790785413892</v>
      </c>
      <c r="E359" s="311">
        <f t="shared" si="158"/>
        <v>92.339000000000027</v>
      </c>
      <c r="F359" s="311"/>
      <c r="G359" s="311">
        <f t="shared" ref="G359:J359" si="159">SUM(G349:G357)</f>
        <v>48.804284934756829</v>
      </c>
      <c r="H359" s="311">
        <f t="shared" si="159"/>
        <v>39.081697372262823</v>
      </c>
      <c r="I359" s="311">
        <f t="shared" si="159"/>
        <v>8.6830176929804495</v>
      </c>
      <c r="J359" s="311">
        <f t="shared" si="159"/>
        <v>96.569000000000131</v>
      </c>
      <c r="K359" s="311"/>
      <c r="L359" s="311">
        <f t="shared" ref="L359:O359" si="160">SUM(L349:L357)</f>
        <v>54.606602049110613</v>
      </c>
      <c r="M359" s="311">
        <f t="shared" si="160"/>
        <v>37.861530214642364</v>
      </c>
      <c r="N359" s="311">
        <f t="shared" si="160"/>
        <v>9.9288677362470601</v>
      </c>
      <c r="O359" s="311">
        <f t="shared" si="160"/>
        <v>102.39700000000002</v>
      </c>
    </row>
    <row r="360" spans="1:15" s="236" customFormat="1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37"/>
      <c r="M360" s="237"/>
      <c r="N360" s="240"/>
    </row>
    <row r="361" spans="1:15" s="236" customFormat="1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37"/>
      <c r="M361" s="237"/>
      <c r="N361" s="240"/>
      <c r="O361" s="251" t="s">
        <v>36</v>
      </c>
    </row>
    <row r="362" spans="1:15" s="236" customFormat="1" x14ac:dyDescent="0.2">
      <c r="A362" s="242"/>
      <c r="B362" s="242"/>
      <c r="C362" s="242"/>
      <c r="D362" s="242"/>
      <c r="E362" s="242"/>
      <c r="F362" s="242"/>
      <c r="G362" s="242"/>
      <c r="H362" s="242"/>
      <c r="I362" s="242"/>
      <c r="J362" s="242"/>
      <c r="K362" s="242"/>
      <c r="L362" s="242"/>
      <c r="M362" s="242"/>
      <c r="N362" s="242"/>
      <c r="O362" s="242"/>
    </row>
    <row r="363" spans="1:15" s="236" customFormat="1" x14ac:dyDescent="0.2">
      <c r="A363" s="241" t="str">
        <f>name!B24</f>
        <v>Arts and entertainment</v>
      </c>
      <c r="B363" s="377">
        <f>$B$6</f>
        <v>2015</v>
      </c>
      <c r="C363" s="377"/>
      <c r="D363" s="377"/>
      <c r="E363" s="377"/>
      <c r="F363" s="263"/>
      <c r="G363" s="377">
        <f>$G$6</f>
        <v>2020</v>
      </c>
      <c r="H363" s="377"/>
      <c r="I363" s="377"/>
      <c r="J363" s="377"/>
      <c r="K363" s="263"/>
      <c r="L363" s="377">
        <f>$L$6</f>
        <v>2035</v>
      </c>
      <c r="M363" s="377"/>
      <c r="N363" s="377"/>
      <c r="O363" s="377"/>
    </row>
    <row r="364" spans="1:15" s="236" customFormat="1" x14ac:dyDescent="0.2">
      <c r="A364" s="254"/>
      <c r="B364" s="268" t="str">
        <f>$B$7</f>
        <v>FT</v>
      </c>
      <c r="C364" s="268" t="str">
        <f>$C$7</f>
        <v>PT</v>
      </c>
      <c r="D364" s="268" t="str">
        <f>$D$7</f>
        <v>SE</v>
      </c>
      <c r="E364" s="268" t="str">
        <f>$E$7</f>
        <v>Total</v>
      </c>
      <c r="F364" s="268"/>
      <c r="G364" s="268" t="str">
        <f>$G$7</f>
        <v>FT</v>
      </c>
      <c r="H364" s="268" t="str">
        <f>$H$7</f>
        <v>PT</v>
      </c>
      <c r="I364" s="268" t="str">
        <f>$I$7</f>
        <v>SE</v>
      </c>
      <c r="J364" s="268" t="str">
        <f>$J$7</f>
        <v>Total</v>
      </c>
      <c r="K364" s="268"/>
      <c r="L364" s="268" t="str">
        <f>$L$7</f>
        <v>FT</v>
      </c>
      <c r="M364" s="268" t="str">
        <f>$M$7</f>
        <v>PT</v>
      </c>
      <c r="N364" s="268" t="str">
        <f>$N$7</f>
        <v>SE</v>
      </c>
      <c r="O364" s="268" t="str">
        <f>$O$7</f>
        <v>Total</v>
      </c>
    </row>
    <row r="365" spans="1:15" s="236" customFormat="1" x14ac:dyDescent="0.2">
      <c r="A365" s="258"/>
      <c r="B365" s="239"/>
      <c r="C365" s="239"/>
      <c r="D365" s="239"/>
      <c r="E365" s="239"/>
      <c r="F365" s="239"/>
      <c r="G365" s="239"/>
      <c r="H365" s="239"/>
      <c r="I365" s="239"/>
      <c r="J365" s="239"/>
      <c r="K365" s="239"/>
      <c r="L365" s="239"/>
      <c r="M365" s="239"/>
      <c r="N365" s="239"/>
      <c r="O365" s="239"/>
    </row>
    <row r="366" spans="1:15" s="236" customFormat="1" x14ac:dyDescent="0.2">
      <c r="A366" s="237" t="str">
        <f>name!E$4</f>
        <v>Managers, directors and senior officials</v>
      </c>
      <c r="B366" s="302">
        <v>2.4998959501576192</v>
      </c>
      <c r="C366" s="302">
        <v>1.2311038205263118</v>
      </c>
      <c r="D366" s="302">
        <v>0.53584351745309577</v>
      </c>
      <c r="E366" s="302">
        <f>SUM(B366:D366)</f>
        <v>4.2668432881370268</v>
      </c>
      <c r="F366" s="303"/>
      <c r="G366" s="302">
        <v>2.1297500072847009</v>
      </c>
      <c r="H366" s="302">
        <v>1.534085104898093</v>
      </c>
      <c r="I366" s="302">
        <v>0.35028414071038233</v>
      </c>
      <c r="J366" s="302">
        <f>SUM(G366:I366)</f>
        <v>4.0141192528931766</v>
      </c>
      <c r="K366" s="303"/>
      <c r="L366" s="302">
        <v>2.9441264785314489</v>
      </c>
      <c r="M366" s="302">
        <v>2.7941121143735983</v>
      </c>
      <c r="N366" s="302">
        <v>0.36122189034676194</v>
      </c>
      <c r="O366" s="302">
        <f>SUM(L366:N366)</f>
        <v>6.0994604832518089</v>
      </c>
    </row>
    <row r="367" spans="1:15" s="236" customFormat="1" x14ac:dyDescent="0.2">
      <c r="A367" s="237" t="str">
        <f>name!E$5</f>
        <v>Professional occupations</v>
      </c>
      <c r="B367" s="302">
        <v>1.7033224689526996</v>
      </c>
      <c r="C367" s="302">
        <v>0.82026503391856231</v>
      </c>
      <c r="D367" s="302">
        <v>2.0380555662831199</v>
      </c>
      <c r="E367" s="302">
        <f t="shared" ref="E367:E374" si="161">SUM(B367:D367)</f>
        <v>4.5616430691543819</v>
      </c>
      <c r="F367" s="303"/>
      <c r="G367" s="302">
        <v>1.6788338047395606</v>
      </c>
      <c r="H367" s="302">
        <v>1.0731463060171684</v>
      </c>
      <c r="I367" s="302">
        <v>1.4488634266206473</v>
      </c>
      <c r="J367" s="302">
        <f t="shared" ref="J367:J369" si="162">SUM(G367:I367)</f>
        <v>4.2008435373773763</v>
      </c>
      <c r="K367" s="303"/>
      <c r="L367" s="302">
        <v>2.0352019867962396</v>
      </c>
      <c r="M367" s="302">
        <v>1.6645637014371628</v>
      </c>
      <c r="N367" s="302">
        <v>1.5950014776424442</v>
      </c>
      <c r="O367" s="302">
        <f t="shared" ref="O367:O374" si="163">SUM(L367:N367)</f>
        <v>5.2947671658758466</v>
      </c>
    </row>
    <row r="368" spans="1:15" s="236" customFormat="1" x14ac:dyDescent="0.2">
      <c r="A368" s="237" t="str">
        <f>name!E$6</f>
        <v>Associate professional occupations</v>
      </c>
      <c r="B368" s="302">
        <v>2.0332756097821929</v>
      </c>
      <c r="C368" s="302">
        <v>1.3563598338410396</v>
      </c>
      <c r="D368" s="302">
        <v>6.3387920757668796</v>
      </c>
      <c r="E368" s="302">
        <f t="shared" si="161"/>
        <v>9.7284275193901131</v>
      </c>
      <c r="F368" s="303"/>
      <c r="G368" s="302">
        <v>1.7226592946351165</v>
      </c>
      <c r="H368" s="302">
        <v>1.3722000496872142</v>
      </c>
      <c r="I368" s="302">
        <v>5.0168234520847337</v>
      </c>
      <c r="J368" s="302">
        <f t="shared" si="162"/>
        <v>8.1116827964070648</v>
      </c>
      <c r="K368" s="303"/>
      <c r="L368" s="302">
        <v>1.9380461135307641</v>
      </c>
      <c r="M368" s="302">
        <v>1.4290248361369577</v>
      </c>
      <c r="N368" s="302">
        <v>6.1768720801697299</v>
      </c>
      <c r="O368" s="302">
        <f t="shared" si="163"/>
        <v>9.5439430298374521</v>
      </c>
    </row>
    <row r="369" spans="1:15" s="236" customFormat="1" x14ac:dyDescent="0.2">
      <c r="A369" s="237" t="str">
        <f>name!E$7</f>
        <v>Administrative and secretarial occupations</v>
      </c>
      <c r="B369" s="302">
        <v>0.6707194557950652</v>
      </c>
      <c r="C369" s="302">
        <v>1.7687725424620371</v>
      </c>
      <c r="D369" s="302">
        <v>0.16949589552005523</v>
      </c>
      <c r="E369" s="302">
        <f t="shared" si="161"/>
        <v>2.6089878937771576</v>
      </c>
      <c r="F369" s="303"/>
      <c r="G369" s="302">
        <v>0.54465456665762879</v>
      </c>
      <c r="H369" s="302">
        <v>1.576605735221623</v>
      </c>
      <c r="I369" s="302">
        <v>0.12831627940130691</v>
      </c>
      <c r="J369" s="302">
        <f t="shared" si="162"/>
        <v>2.2495765812805586</v>
      </c>
      <c r="K369" s="303"/>
      <c r="L369" s="302">
        <v>0.39812033567787924</v>
      </c>
      <c r="M369" s="302">
        <v>1.2690566597528468</v>
      </c>
      <c r="N369" s="302">
        <v>9.1542587266431885E-2</v>
      </c>
      <c r="O369" s="302">
        <f t="shared" si="163"/>
        <v>1.758719582697158</v>
      </c>
    </row>
    <row r="370" spans="1:15" s="236" customFormat="1" x14ac:dyDescent="0.2">
      <c r="A370" s="237" t="str">
        <f>name!E$8</f>
        <v>Skilled trades occupations</v>
      </c>
      <c r="B370" s="302">
        <v>1.3414137404573616</v>
      </c>
      <c r="C370" s="302">
        <v>0.62244601202721284</v>
      </c>
      <c r="D370" s="302">
        <v>0.82410547687121682</v>
      </c>
      <c r="E370" s="302">
        <f t="shared" si="161"/>
        <v>2.7879652293557911</v>
      </c>
      <c r="F370" s="303"/>
      <c r="G370" s="302">
        <v>0.92118748731412958</v>
      </c>
      <c r="H370" s="302">
        <v>0.49097339055451106</v>
      </c>
      <c r="I370" s="302">
        <v>0.62116305333786659</v>
      </c>
      <c r="J370" s="302">
        <f>SUM(G370:I370)</f>
        <v>2.0333239312065072</v>
      </c>
      <c r="K370" s="303"/>
      <c r="L370" s="302">
        <v>1.0068265827571468</v>
      </c>
      <c r="M370" s="302">
        <v>1.0914783004348021</v>
      </c>
      <c r="N370" s="302">
        <v>0.90523893009071033</v>
      </c>
      <c r="O370" s="302">
        <f t="shared" si="163"/>
        <v>3.0035438132826591</v>
      </c>
    </row>
    <row r="371" spans="1:15" s="236" customFormat="1" x14ac:dyDescent="0.2">
      <c r="A371" s="237" t="str">
        <f>name!E$9</f>
        <v>Caring, leisure and other service occupations</v>
      </c>
      <c r="B371" s="302">
        <v>0.89002087320938128</v>
      </c>
      <c r="C371" s="302">
        <v>1.5829954841835188</v>
      </c>
      <c r="D371" s="302">
        <v>0.33812976093698538</v>
      </c>
      <c r="E371" s="302">
        <f t="shared" si="161"/>
        <v>2.8111461183298854</v>
      </c>
      <c r="F371" s="303"/>
      <c r="G371" s="302">
        <v>0.65617135675217808</v>
      </c>
      <c r="H371" s="302">
        <v>1.2072629855181989</v>
      </c>
      <c r="I371" s="302">
        <v>0.30076083688301247</v>
      </c>
      <c r="J371" s="302">
        <f t="shared" ref="J371:J374" si="164">SUM(G371:I371)</f>
        <v>2.1641951791533893</v>
      </c>
      <c r="K371" s="303"/>
      <c r="L371" s="302">
        <v>0.73819760107810906</v>
      </c>
      <c r="M371" s="302">
        <v>1.4790786191952137</v>
      </c>
      <c r="N371" s="302">
        <v>0.32073693427507677</v>
      </c>
      <c r="O371" s="302">
        <f t="shared" si="163"/>
        <v>2.5380131545483993</v>
      </c>
    </row>
    <row r="372" spans="1:15" s="236" customFormat="1" x14ac:dyDescent="0.2">
      <c r="A372" s="237" t="str">
        <f>name!E$10</f>
        <v>Sales and customer service occupations</v>
      </c>
      <c r="B372" s="302">
        <v>0.51852571893887189</v>
      </c>
      <c r="C372" s="302">
        <v>0.91334112422695424</v>
      </c>
      <c r="D372" s="302">
        <v>0.11288552189512531</v>
      </c>
      <c r="E372" s="302">
        <f t="shared" si="161"/>
        <v>1.5447523650609514</v>
      </c>
      <c r="F372" s="303"/>
      <c r="G372" s="302">
        <v>0.39875624249243263</v>
      </c>
      <c r="H372" s="302">
        <v>0.77115328315676201</v>
      </c>
      <c r="I372" s="302">
        <v>5.80558823396332E-2</v>
      </c>
      <c r="J372" s="302">
        <f t="shared" si="164"/>
        <v>1.2279654079888278</v>
      </c>
      <c r="K372" s="303"/>
      <c r="L372" s="302">
        <v>0.46352432529757059</v>
      </c>
      <c r="M372" s="302">
        <v>1.0125216976529361</v>
      </c>
      <c r="N372" s="302">
        <v>4.9797524640563584E-2</v>
      </c>
      <c r="O372" s="302">
        <f t="shared" si="163"/>
        <v>1.5258435475910701</v>
      </c>
    </row>
    <row r="373" spans="1:15" s="236" customFormat="1" x14ac:dyDescent="0.2">
      <c r="A373" s="237" t="str">
        <f>name!E$11</f>
        <v>Process, plant and machine operatives</v>
      </c>
      <c r="B373" s="302">
        <v>0.11972264994533083</v>
      </c>
      <c r="C373" s="302">
        <v>0.12172619938044273</v>
      </c>
      <c r="D373" s="302">
        <v>5.0981714246413151E-2</v>
      </c>
      <c r="E373" s="302">
        <f t="shared" si="161"/>
        <v>0.29243056357218666</v>
      </c>
      <c r="F373" s="303"/>
      <c r="G373" s="302">
        <v>7.3285597881258074E-2</v>
      </c>
      <c r="H373" s="302">
        <v>9.5718425322203454E-2</v>
      </c>
      <c r="I373" s="302">
        <v>4.4985223250636738E-2</v>
      </c>
      <c r="J373" s="302">
        <f t="shared" si="164"/>
        <v>0.21398924645409828</v>
      </c>
      <c r="K373" s="303"/>
      <c r="L373" s="302">
        <v>7.0609297593884665E-2</v>
      </c>
      <c r="M373" s="302">
        <v>0.13468251943896953</v>
      </c>
      <c r="N373" s="302">
        <v>6.7008422832381911E-2</v>
      </c>
      <c r="O373" s="302">
        <f t="shared" si="163"/>
        <v>0.2723002398652361</v>
      </c>
    </row>
    <row r="374" spans="1:15" s="236" customFormat="1" x14ac:dyDescent="0.2">
      <c r="A374" s="237" t="str">
        <f>name!E$12</f>
        <v>Elementary occupations</v>
      </c>
      <c r="B374" s="302">
        <v>0.39023078628828045</v>
      </c>
      <c r="C374" s="302">
        <v>2.4985537729457836</v>
      </c>
      <c r="D374" s="302">
        <v>0.13201939398850948</v>
      </c>
      <c r="E374" s="302">
        <f t="shared" si="161"/>
        <v>3.0208039532225737</v>
      </c>
      <c r="F374" s="303"/>
      <c r="G374" s="302">
        <v>0.24563933791822035</v>
      </c>
      <c r="H374" s="302">
        <v>1.7290834138022093</v>
      </c>
      <c r="I374" s="302">
        <v>7.1581315518593758E-2</v>
      </c>
      <c r="J374" s="302">
        <f t="shared" si="164"/>
        <v>2.0463040672390234</v>
      </c>
      <c r="K374" s="303"/>
      <c r="L374" s="302">
        <v>0.25073569054920325</v>
      </c>
      <c r="M374" s="302">
        <v>1.4393528522734</v>
      </c>
      <c r="N374" s="302">
        <v>0.10132044022774007</v>
      </c>
      <c r="O374" s="302">
        <f t="shared" si="163"/>
        <v>1.7914089830503435</v>
      </c>
    </row>
    <row r="375" spans="1:15" s="236" customFormat="1" x14ac:dyDescent="0.2">
      <c r="A375" s="237"/>
      <c r="B375" s="302"/>
      <c r="C375" s="302"/>
      <c r="D375" s="302"/>
      <c r="E375" s="302"/>
      <c r="F375" s="303"/>
      <c r="G375" s="302"/>
      <c r="H375" s="302"/>
      <c r="I375" s="302"/>
      <c r="J375" s="302"/>
      <c r="K375" s="303"/>
      <c r="L375" s="302"/>
      <c r="M375" s="302"/>
      <c r="N375" s="302"/>
      <c r="O375" s="302"/>
    </row>
    <row r="376" spans="1:15" s="236" customFormat="1" x14ac:dyDescent="0.2">
      <c r="A376" s="244" t="s">
        <v>33</v>
      </c>
      <c r="B376" s="311">
        <f>SUM(B366:B374)</f>
        <v>10.167127253526802</v>
      </c>
      <c r="C376" s="311">
        <f t="shared" ref="C376:E376" si="165">SUM(C366:C374)</f>
        <v>10.915563823511864</v>
      </c>
      <c r="D376" s="311">
        <f t="shared" si="165"/>
        <v>10.540308922961401</v>
      </c>
      <c r="E376" s="311">
        <f t="shared" si="165"/>
        <v>31.623000000000062</v>
      </c>
      <c r="F376" s="311"/>
      <c r="G376" s="311">
        <f t="shared" ref="G376:J376" si="166">SUM(G366:G374)</f>
        <v>8.3709376956752237</v>
      </c>
      <c r="H376" s="311">
        <f t="shared" si="166"/>
        <v>9.850228694177984</v>
      </c>
      <c r="I376" s="311">
        <f t="shared" si="166"/>
        <v>8.0408336101468141</v>
      </c>
      <c r="J376" s="311">
        <f t="shared" si="166"/>
        <v>26.262000000000018</v>
      </c>
      <c r="K376" s="311"/>
      <c r="L376" s="311">
        <f t="shared" ref="L376:O376" si="167">SUM(L366:L374)</f>
        <v>9.8453884118122446</v>
      </c>
      <c r="M376" s="311">
        <f t="shared" si="167"/>
        <v>12.313871300695887</v>
      </c>
      <c r="N376" s="311">
        <f t="shared" si="167"/>
        <v>9.6687402874918416</v>
      </c>
      <c r="O376" s="311">
        <f t="shared" si="167"/>
        <v>31.827999999999967</v>
      </c>
    </row>
    <row r="377" spans="1:15" s="236" customFormat="1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37"/>
      <c r="M377" s="237"/>
      <c r="N377" s="240"/>
    </row>
    <row r="378" spans="1:15" s="236" customFormat="1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37"/>
      <c r="M378" s="237"/>
      <c r="N378" s="240"/>
      <c r="O378" s="251" t="s">
        <v>36</v>
      </c>
    </row>
    <row r="379" spans="1:15" s="236" customFormat="1" x14ac:dyDescent="0.2">
      <c r="A379" s="242"/>
      <c r="B379" s="242"/>
      <c r="C379" s="242"/>
      <c r="D379" s="242"/>
      <c r="E379" s="242"/>
      <c r="F379" s="242"/>
      <c r="G379" s="242"/>
      <c r="H379" s="242"/>
      <c r="I379" s="242"/>
      <c r="J379" s="242"/>
      <c r="K379" s="242"/>
      <c r="L379" s="242"/>
      <c r="M379" s="242"/>
      <c r="N379" s="242"/>
      <c r="O379" s="242"/>
    </row>
    <row r="380" spans="1:15" s="236" customFormat="1" x14ac:dyDescent="0.2">
      <c r="A380" s="241" t="str">
        <f>name!B25</f>
        <v>Other services</v>
      </c>
      <c r="B380" s="377">
        <f>$B$6</f>
        <v>2015</v>
      </c>
      <c r="C380" s="377"/>
      <c r="D380" s="377"/>
      <c r="E380" s="377"/>
      <c r="F380" s="263"/>
      <c r="G380" s="377">
        <f>$G$6</f>
        <v>2020</v>
      </c>
      <c r="H380" s="377"/>
      <c r="I380" s="377"/>
      <c r="J380" s="377"/>
      <c r="K380" s="263"/>
      <c r="L380" s="377">
        <f>$L$6</f>
        <v>2035</v>
      </c>
      <c r="M380" s="377"/>
      <c r="N380" s="377"/>
      <c r="O380" s="377"/>
    </row>
    <row r="381" spans="1:15" s="236" customFormat="1" x14ac:dyDescent="0.2">
      <c r="A381" s="254"/>
      <c r="B381" s="268" t="str">
        <f>$B$7</f>
        <v>FT</v>
      </c>
      <c r="C381" s="268" t="str">
        <f>$C$7</f>
        <v>PT</v>
      </c>
      <c r="D381" s="268" t="str">
        <f>$D$7</f>
        <v>SE</v>
      </c>
      <c r="E381" s="268" t="str">
        <f>$E$7</f>
        <v>Total</v>
      </c>
      <c r="F381" s="268"/>
      <c r="G381" s="268" t="str">
        <f>$G$7</f>
        <v>FT</v>
      </c>
      <c r="H381" s="268" t="str">
        <f>$H$7</f>
        <v>PT</v>
      </c>
      <c r="I381" s="268" t="str">
        <f>$I$7</f>
        <v>SE</v>
      </c>
      <c r="J381" s="268" t="str">
        <f>$J$7</f>
        <v>Total</v>
      </c>
      <c r="K381" s="268"/>
      <c r="L381" s="268" t="str">
        <f>$L$7</f>
        <v>FT</v>
      </c>
      <c r="M381" s="268" t="str">
        <f>$M$7</f>
        <v>PT</v>
      </c>
      <c r="N381" s="268" t="str">
        <f>$N$7</f>
        <v>SE</v>
      </c>
      <c r="O381" s="268" t="str">
        <f>$O$7</f>
        <v>Total</v>
      </c>
    </row>
    <row r="382" spans="1:15" s="236" customFormat="1" x14ac:dyDescent="0.2">
      <c r="A382" s="258"/>
      <c r="B382" s="239"/>
      <c r="C382" s="239"/>
      <c r="D382" s="239"/>
      <c r="E382" s="239"/>
      <c r="F382" s="239"/>
      <c r="G382" s="239"/>
      <c r="H382" s="239"/>
      <c r="I382" s="239"/>
      <c r="J382" s="239"/>
      <c r="K382" s="239"/>
      <c r="L382" s="239"/>
      <c r="M382" s="239"/>
      <c r="N382" s="239"/>
      <c r="O382" s="239"/>
    </row>
    <row r="383" spans="1:15" s="236" customFormat="1" x14ac:dyDescent="0.2">
      <c r="A383" s="237" t="str">
        <f>name!E$4</f>
        <v>Managers, directors and senior officials</v>
      </c>
      <c r="B383" s="302">
        <v>2.2775671262105308</v>
      </c>
      <c r="C383" s="302">
        <v>0.69352676834060956</v>
      </c>
      <c r="D383" s="302">
        <v>1.0663359422359231</v>
      </c>
      <c r="E383" s="302">
        <f>SUM(B383:D383)</f>
        <v>4.037429836787064</v>
      </c>
      <c r="F383" s="303"/>
      <c r="G383" s="302">
        <v>2.1836301964246267</v>
      </c>
      <c r="H383" s="302">
        <v>1.1904628870766909</v>
      </c>
      <c r="I383" s="302">
        <v>0.82766540909232977</v>
      </c>
      <c r="J383" s="302">
        <f>SUM(G383:I383)</f>
        <v>4.2017584925936475</v>
      </c>
      <c r="K383" s="303"/>
      <c r="L383" s="302">
        <v>2.517406695323559</v>
      </c>
      <c r="M383" s="302">
        <v>1.6804893907648588</v>
      </c>
      <c r="N383" s="302">
        <v>0.81627420598473899</v>
      </c>
      <c r="O383" s="302">
        <f>SUM(L383:N383)</f>
        <v>5.0141702920731568</v>
      </c>
    </row>
    <row r="384" spans="1:15" s="236" customFormat="1" x14ac:dyDescent="0.2">
      <c r="A384" s="237" t="str">
        <f>name!E$5</f>
        <v>Professional occupations</v>
      </c>
      <c r="B384" s="302">
        <v>3.0390083002818673</v>
      </c>
      <c r="C384" s="302">
        <v>0.75830175674421052</v>
      </c>
      <c r="D384" s="302">
        <v>2.5721898960714182</v>
      </c>
      <c r="E384" s="302">
        <f t="shared" ref="E384:E391" si="168">SUM(B384:D384)</f>
        <v>6.3694999530974954</v>
      </c>
      <c r="F384" s="303"/>
      <c r="G384" s="302">
        <v>2.8827006433514297</v>
      </c>
      <c r="H384" s="302">
        <v>1.187964911256161</v>
      </c>
      <c r="I384" s="302">
        <v>2.1650254183343174</v>
      </c>
      <c r="J384" s="302">
        <f t="shared" ref="J384:J386" si="169">SUM(G384:I384)</f>
        <v>6.2356909729419083</v>
      </c>
      <c r="K384" s="303"/>
      <c r="L384" s="302">
        <v>2.9606018529795466</v>
      </c>
      <c r="M384" s="302">
        <v>1.2441094154047569</v>
      </c>
      <c r="N384" s="302">
        <v>1.7830352663763704</v>
      </c>
      <c r="O384" s="302">
        <f t="shared" ref="O384:O391" si="170">SUM(L384:N384)</f>
        <v>5.9877465347606744</v>
      </c>
    </row>
    <row r="385" spans="1:15" s="236" customFormat="1" x14ac:dyDescent="0.2">
      <c r="A385" s="237" t="str">
        <f>name!E$6</f>
        <v>Associate professional occupations</v>
      </c>
      <c r="B385" s="302">
        <v>1.3649171952690262</v>
      </c>
      <c r="C385" s="302">
        <v>0.66690468984831797</v>
      </c>
      <c r="D385" s="302">
        <v>1.97555638257827</v>
      </c>
      <c r="E385" s="302">
        <f t="shared" si="168"/>
        <v>4.0073782676956142</v>
      </c>
      <c r="F385" s="303"/>
      <c r="G385" s="302">
        <v>1.2348346933417838</v>
      </c>
      <c r="H385" s="302">
        <v>0.8737413213105133</v>
      </c>
      <c r="I385" s="302">
        <v>1.901325981037465</v>
      </c>
      <c r="J385" s="302">
        <f t="shared" si="169"/>
        <v>4.0099019956897619</v>
      </c>
      <c r="K385" s="303"/>
      <c r="L385" s="302">
        <v>1.0544080521303629</v>
      </c>
      <c r="M385" s="302">
        <v>0.78391303830486292</v>
      </c>
      <c r="N385" s="302">
        <v>1.4871687977152888</v>
      </c>
      <c r="O385" s="302">
        <f t="shared" si="170"/>
        <v>3.3254898881505146</v>
      </c>
    </row>
    <row r="386" spans="1:15" s="236" customFormat="1" x14ac:dyDescent="0.2">
      <c r="A386" s="237" t="str">
        <f>name!E$7</f>
        <v>Administrative and secretarial occupations</v>
      </c>
      <c r="B386" s="302">
        <v>0.86513499355682666</v>
      </c>
      <c r="C386" s="302">
        <v>1.0734642047597316</v>
      </c>
      <c r="D386" s="302">
        <v>0.51593264767429536</v>
      </c>
      <c r="E386" s="302">
        <f t="shared" si="168"/>
        <v>2.4545318459908536</v>
      </c>
      <c r="F386" s="303"/>
      <c r="G386" s="302">
        <v>0.83400321474576422</v>
      </c>
      <c r="H386" s="302">
        <v>1.332504556866158</v>
      </c>
      <c r="I386" s="302">
        <v>0.4698561910615251</v>
      </c>
      <c r="J386" s="302">
        <f t="shared" si="169"/>
        <v>2.636363962673447</v>
      </c>
      <c r="K386" s="303"/>
      <c r="L386" s="302">
        <v>0.54106244720114161</v>
      </c>
      <c r="M386" s="302">
        <v>0.95558985973550692</v>
      </c>
      <c r="N386" s="302">
        <v>1.0281375087469415</v>
      </c>
      <c r="O386" s="302">
        <f t="shared" si="170"/>
        <v>2.5247898156835902</v>
      </c>
    </row>
    <row r="387" spans="1:15" s="236" customFormat="1" x14ac:dyDescent="0.2">
      <c r="A387" s="237" t="str">
        <f>name!E$8</f>
        <v>Skilled trades occupations</v>
      </c>
      <c r="B387" s="302">
        <v>0.71318165332574412</v>
      </c>
      <c r="C387" s="302">
        <v>0.27801994707474498</v>
      </c>
      <c r="D387" s="302">
        <v>0.66585925058055973</v>
      </c>
      <c r="E387" s="302">
        <f t="shared" si="168"/>
        <v>1.6570608509810487</v>
      </c>
      <c r="F387" s="303"/>
      <c r="G387" s="302">
        <v>0.49813004321628052</v>
      </c>
      <c r="H387" s="302">
        <v>0.27244241118517321</v>
      </c>
      <c r="I387" s="302">
        <v>0.46191511121270418</v>
      </c>
      <c r="J387" s="302">
        <f>SUM(G387:I387)</f>
        <v>1.2324875656141578</v>
      </c>
      <c r="K387" s="303"/>
      <c r="L387" s="302">
        <v>0.55474303928255131</v>
      </c>
      <c r="M387" s="302">
        <v>0.45613806381301991</v>
      </c>
      <c r="N387" s="302">
        <v>0.53105696267837088</v>
      </c>
      <c r="O387" s="302">
        <f t="shared" si="170"/>
        <v>1.5419380657739419</v>
      </c>
    </row>
    <row r="388" spans="1:15" s="236" customFormat="1" x14ac:dyDescent="0.2">
      <c r="A388" s="237" t="str">
        <f>name!E$9</f>
        <v>Caring, leisure and other service occupations</v>
      </c>
      <c r="B388" s="302">
        <v>3.0120840104175364</v>
      </c>
      <c r="C388" s="302">
        <v>2.6312825503875437</v>
      </c>
      <c r="D388" s="302">
        <v>4.0063967605134021</v>
      </c>
      <c r="E388" s="302">
        <f t="shared" si="168"/>
        <v>9.6497633213184812</v>
      </c>
      <c r="F388" s="303"/>
      <c r="G388" s="302">
        <v>2.7293930861812559</v>
      </c>
      <c r="H388" s="302">
        <v>2.6008683635533987</v>
      </c>
      <c r="I388" s="302">
        <v>3.9981879302436747</v>
      </c>
      <c r="J388" s="302">
        <f t="shared" ref="J388:J391" si="171">SUM(G388:I388)</f>
        <v>9.3284493799783306</v>
      </c>
      <c r="K388" s="303"/>
      <c r="L388" s="302">
        <v>2.2098718459954458</v>
      </c>
      <c r="M388" s="302">
        <v>1.9409649204905752</v>
      </c>
      <c r="N388" s="302">
        <v>3.8501986208414487</v>
      </c>
      <c r="O388" s="302">
        <f t="shared" si="170"/>
        <v>8.0010353873274696</v>
      </c>
    </row>
    <row r="389" spans="1:15" s="236" customFormat="1" x14ac:dyDescent="0.2">
      <c r="A389" s="237" t="str">
        <f>name!E$10</f>
        <v>Sales and customer service occupations</v>
      </c>
      <c r="B389" s="302">
        <v>0.53806894857893839</v>
      </c>
      <c r="C389" s="302">
        <v>0.54533003698548188</v>
      </c>
      <c r="D389" s="302">
        <v>0.41393643538132824</v>
      </c>
      <c r="E389" s="302">
        <f t="shared" si="168"/>
        <v>1.4973354209457483</v>
      </c>
      <c r="F389" s="303"/>
      <c r="G389" s="302">
        <v>0.41218726631859198</v>
      </c>
      <c r="H389" s="302">
        <v>0.62956549023982311</v>
      </c>
      <c r="I389" s="302">
        <v>0.24498215372320944</v>
      </c>
      <c r="J389" s="302">
        <f t="shared" si="171"/>
        <v>1.2867349102816246</v>
      </c>
      <c r="K389" s="303"/>
      <c r="L389" s="302">
        <v>0.38231285495612582</v>
      </c>
      <c r="M389" s="302">
        <v>0.66043463512631173</v>
      </c>
      <c r="N389" s="302">
        <v>0.17752677498150196</v>
      </c>
      <c r="O389" s="302">
        <f t="shared" si="170"/>
        <v>1.2202742650639395</v>
      </c>
    </row>
    <row r="390" spans="1:15" s="236" customFormat="1" x14ac:dyDescent="0.2">
      <c r="A390" s="237" t="str">
        <f>name!E$11</f>
        <v>Process, plant and machine operatives</v>
      </c>
      <c r="B390" s="302">
        <v>0.4212957335992869</v>
      </c>
      <c r="C390" s="302">
        <v>0.24020208459343692</v>
      </c>
      <c r="D390" s="302">
        <v>0.16478363132159454</v>
      </c>
      <c r="E390" s="302">
        <f t="shared" si="168"/>
        <v>0.82628144951431837</v>
      </c>
      <c r="F390" s="303"/>
      <c r="G390" s="302">
        <v>0.23734651767597187</v>
      </c>
      <c r="H390" s="302">
        <v>0.20557110698108169</v>
      </c>
      <c r="I390" s="302">
        <v>0.16678496672707116</v>
      </c>
      <c r="J390" s="302">
        <f t="shared" si="171"/>
        <v>0.60970259138412475</v>
      </c>
      <c r="K390" s="303"/>
      <c r="L390" s="302">
        <v>0.20621914736475494</v>
      </c>
      <c r="M390" s="302">
        <v>0.29488322511990167</v>
      </c>
      <c r="N390" s="302">
        <v>0.15105043484526121</v>
      </c>
      <c r="O390" s="302">
        <f t="shared" si="170"/>
        <v>0.65215280732991787</v>
      </c>
    </row>
    <row r="391" spans="1:15" s="236" customFormat="1" x14ac:dyDescent="0.2">
      <c r="A391" s="237" t="str">
        <f>name!E$12</f>
        <v>Elementary occupations</v>
      </c>
      <c r="B391" s="302">
        <v>0.6761112713240387</v>
      </c>
      <c r="C391" s="302">
        <v>1.2719204773419852</v>
      </c>
      <c r="D391" s="302">
        <v>0.5616873050033413</v>
      </c>
      <c r="E391" s="302">
        <f t="shared" si="168"/>
        <v>2.5097190536693654</v>
      </c>
      <c r="F391" s="303"/>
      <c r="G391" s="302">
        <v>0.43138172142131304</v>
      </c>
      <c r="H391" s="302">
        <v>1.1658509467384099</v>
      </c>
      <c r="I391" s="302">
        <v>0.34767746068328953</v>
      </c>
      <c r="J391" s="302">
        <f t="shared" si="171"/>
        <v>1.9449101288430126</v>
      </c>
      <c r="K391" s="303"/>
      <c r="L391" s="302">
        <v>0.42053318603113909</v>
      </c>
      <c r="M391" s="302">
        <v>0.63047706901451483</v>
      </c>
      <c r="N391" s="302">
        <v>0.31939268879112737</v>
      </c>
      <c r="O391" s="302">
        <f t="shared" si="170"/>
        <v>1.3704029438367813</v>
      </c>
    </row>
    <row r="392" spans="1:15" s="236" customFormat="1" x14ac:dyDescent="0.2">
      <c r="A392" s="237"/>
      <c r="B392" s="302"/>
      <c r="C392" s="302"/>
      <c r="D392" s="302"/>
      <c r="E392" s="302"/>
      <c r="F392" s="303"/>
      <c r="G392" s="302"/>
      <c r="H392" s="302"/>
      <c r="I392" s="302"/>
      <c r="J392" s="302"/>
      <c r="K392" s="303"/>
      <c r="L392" s="302"/>
      <c r="M392" s="302"/>
      <c r="N392" s="302"/>
      <c r="O392" s="302"/>
    </row>
    <row r="393" spans="1:15" s="236" customFormat="1" x14ac:dyDescent="0.2">
      <c r="A393" s="244" t="s">
        <v>33</v>
      </c>
      <c r="B393" s="311">
        <f>SUM(B383:B391)</f>
        <v>12.907369232563797</v>
      </c>
      <c r="C393" s="311">
        <f t="shared" ref="C393:E393" si="172">SUM(C383:C391)</f>
        <v>8.158952516076063</v>
      </c>
      <c r="D393" s="311">
        <f t="shared" si="172"/>
        <v>11.942678251360134</v>
      </c>
      <c r="E393" s="311">
        <f t="shared" si="172"/>
        <v>33.008999999999993</v>
      </c>
      <c r="F393" s="311"/>
      <c r="G393" s="311">
        <f t="shared" ref="G393:J393" si="173">SUM(G383:G391)</f>
        <v>11.443607382677019</v>
      </c>
      <c r="H393" s="311">
        <f t="shared" si="173"/>
        <v>9.4589719952074081</v>
      </c>
      <c r="I393" s="311">
        <f t="shared" si="173"/>
        <v>10.583420622115586</v>
      </c>
      <c r="J393" s="311">
        <f t="shared" si="173"/>
        <v>31.486000000000011</v>
      </c>
      <c r="K393" s="311"/>
      <c r="L393" s="311">
        <f t="shared" ref="L393:O393" si="174">SUM(L383:L391)</f>
        <v>10.847159121264626</v>
      </c>
      <c r="M393" s="311">
        <f t="shared" si="174"/>
        <v>8.6469996177743091</v>
      </c>
      <c r="N393" s="311">
        <f t="shared" si="174"/>
        <v>10.14384126096105</v>
      </c>
      <c r="O393" s="311">
        <f t="shared" si="174"/>
        <v>29.637999999999984</v>
      </c>
    </row>
    <row r="394" spans="1:15" s="236" customFormat="1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37"/>
      <c r="M394" s="237"/>
      <c r="N394" s="240"/>
    </row>
  </sheetData>
  <mergeCells count="69">
    <mergeCell ref="B380:E380"/>
    <mergeCell ref="G380:J380"/>
    <mergeCell ref="L380:O380"/>
    <mergeCell ref="B346:E346"/>
    <mergeCell ref="G346:J346"/>
    <mergeCell ref="L346:O346"/>
    <mergeCell ref="B363:E363"/>
    <mergeCell ref="G363:J363"/>
    <mergeCell ref="L363:O363"/>
    <mergeCell ref="B312:E312"/>
    <mergeCell ref="G312:J312"/>
    <mergeCell ref="L312:O312"/>
    <mergeCell ref="B329:E329"/>
    <mergeCell ref="G329:J329"/>
    <mergeCell ref="L329:O329"/>
    <mergeCell ref="B278:E278"/>
    <mergeCell ref="G278:J278"/>
    <mergeCell ref="L278:O278"/>
    <mergeCell ref="B295:E295"/>
    <mergeCell ref="G295:J295"/>
    <mergeCell ref="L295:O295"/>
    <mergeCell ref="B244:E244"/>
    <mergeCell ref="G244:J244"/>
    <mergeCell ref="L244:O244"/>
    <mergeCell ref="B261:E261"/>
    <mergeCell ref="G261:J261"/>
    <mergeCell ref="L261:O261"/>
    <mergeCell ref="B210:E210"/>
    <mergeCell ref="G210:J210"/>
    <mergeCell ref="L210:O210"/>
    <mergeCell ref="B227:E227"/>
    <mergeCell ref="G227:J227"/>
    <mergeCell ref="L227:O227"/>
    <mergeCell ref="B193:E193"/>
    <mergeCell ref="G193:J193"/>
    <mergeCell ref="L193:O193"/>
    <mergeCell ref="B142:E142"/>
    <mergeCell ref="G142:J142"/>
    <mergeCell ref="L142:O142"/>
    <mergeCell ref="B159:E159"/>
    <mergeCell ref="G159:J159"/>
    <mergeCell ref="L159:O159"/>
    <mergeCell ref="B176:E176"/>
    <mergeCell ref="G176:J176"/>
    <mergeCell ref="L176:O176"/>
    <mergeCell ref="B125:E125"/>
    <mergeCell ref="G125:J125"/>
    <mergeCell ref="L125:O125"/>
    <mergeCell ref="B91:E91"/>
    <mergeCell ref="G91:J91"/>
    <mergeCell ref="L91:O91"/>
    <mergeCell ref="B108:E108"/>
    <mergeCell ref="G108:J108"/>
    <mergeCell ref="L108:O108"/>
    <mergeCell ref="B6:E6"/>
    <mergeCell ref="G6:J6"/>
    <mergeCell ref="L6:O6"/>
    <mergeCell ref="B23:E23"/>
    <mergeCell ref="G23:J23"/>
    <mergeCell ref="L23:O23"/>
    <mergeCell ref="B74:E74"/>
    <mergeCell ref="G74:J74"/>
    <mergeCell ref="L74:O74"/>
    <mergeCell ref="B40:E40"/>
    <mergeCell ref="G40:J40"/>
    <mergeCell ref="L40:O40"/>
    <mergeCell ref="B57:E57"/>
    <mergeCell ref="G57:J57"/>
    <mergeCell ref="L57:O57"/>
  </mergeCells>
  <pageMargins left="0.7" right="0.7" top="0.75" bottom="0.75" header="0.3" footer="0.3"/>
  <pageSetup paperSize="9" scale="78" fitToHeight="0" orientation="portrait" r:id="rId1"/>
  <rowBreaks count="5" manualBreakCount="5">
    <brk id="71" max="14" man="1"/>
    <brk id="139" max="14" man="1"/>
    <brk id="207" max="14" man="1"/>
    <brk id="275" max="14" man="1"/>
    <brk id="343" max="14" man="1"/>
  </rowBreak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/>
  <dimension ref="A1:AF90"/>
  <sheetViews>
    <sheetView showGridLines="0" zoomScale="85" zoomScaleNormal="85" workbookViewId="0"/>
  </sheetViews>
  <sheetFormatPr defaultRowHeight="12.75" x14ac:dyDescent="0.2"/>
  <cols>
    <col min="1" max="1" width="44.7109375" customWidth="1"/>
    <col min="2" max="6" width="10" customWidth="1"/>
    <col min="7" max="7" width="6.7109375" customWidth="1"/>
    <col min="8" max="10" width="13" customWidth="1"/>
    <col min="11" max="11" width="18.42578125" customWidth="1"/>
    <col min="12" max="12" width="44.7109375" customWidth="1"/>
    <col min="13" max="17" width="10" customWidth="1"/>
    <col min="18" max="18" width="6.7109375" customWidth="1"/>
    <col min="19" max="21" width="13" customWidth="1"/>
    <col min="22" max="22" width="28.85546875" customWidth="1"/>
    <col min="23" max="23" width="44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1  Employment Change by Occupation Group (SOC 2020) and Replacement Demand, ",B$6,"-",F$6,", ",Info!B5)</f>
        <v>Occupation Table 1  Employment Change by Occupation Group (SOC 2020) and Replacement Demand, 2015-2035, Enterprise M3</v>
      </c>
      <c r="L1" s="19" t="str">
        <f>CONCATENATE("Occupation Table 1.1  Males: Employment Change by Occupation Group (SOC 2020) and Replacement Demand, ",B$6,"-",F$6,", ",Info!B5)</f>
        <v>Occupation Table 1.1  Males: Employment Change by Occupation Group (SOC 2020) and Replacement Demand, 2015-2035, Enterprise M3</v>
      </c>
      <c r="W1" s="19" t="str">
        <f>CONCATENATE("Occupation Table 1.2  Females: Employment Change by Occupation Group (SOC 2020) and Replacement Demand, ",M$6,"-",Q$6,", ",Info!B5)</f>
        <v>Occupation Table 1.2  Females: Employment Change by Occupation Group (SOC 2020) and Replacement Demand, 2015-2035, Enterprise M3</v>
      </c>
    </row>
    <row r="2" spans="1:32" x14ac:dyDescent="0.2">
      <c r="A2" s="1" t="s">
        <v>519</v>
      </c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28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28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13</v>
      </c>
      <c r="B6" s="35">
        <f>'Occ T2'!B6</f>
        <v>2015</v>
      </c>
      <c r="C6" s="35">
        <f>'Occ T2'!C6</f>
        <v>2019</v>
      </c>
      <c r="D6" s="35">
        <f>'Occ T2'!D6</f>
        <v>2020</v>
      </c>
      <c r="E6" s="35">
        <f>'Occ T2'!E6</f>
        <v>2025</v>
      </c>
      <c r="F6" s="35">
        <f>'Occ T2'!F6</f>
        <v>2035</v>
      </c>
      <c r="G6" s="10"/>
      <c r="H6" s="63" t="s">
        <v>19</v>
      </c>
      <c r="I6" s="63" t="s">
        <v>32</v>
      </c>
      <c r="J6" s="63" t="s">
        <v>34</v>
      </c>
      <c r="L6" s="41" t="s">
        <v>13</v>
      </c>
      <c r="M6" s="35">
        <f>'Occ T2'!B6</f>
        <v>2015</v>
      </c>
      <c r="N6" s="35">
        <f>'Occ T2'!C6</f>
        <v>2019</v>
      </c>
      <c r="O6" s="35">
        <f>'Occ T2'!D6</f>
        <v>2020</v>
      </c>
      <c r="P6" s="35">
        <f>'Occ T2'!E6</f>
        <v>2025</v>
      </c>
      <c r="Q6" s="35">
        <f>'Occ T2'!F6</f>
        <v>2035</v>
      </c>
      <c r="R6" s="10"/>
      <c r="S6" s="63" t="s">
        <v>19</v>
      </c>
      <c r="T6" s="63" t="s">
        <v>32</v>
      </c>
      <c r="U6" s="63" t="s">
        <v>34</v>
      </c>
      <c r="W6" s="41" t="s">
        <v>13</v>
      </c>
      <c r="X6" s="35">
        <f>'Occ T2'!B6</f>
        <v>2015</v>
      </c>
      <c r="Y6" s="35">
        <f>'Occ T2'!C6</f>
        <v>2019</v>
      </c>
      <c r="Z6" s="35">
        <f>'Occ T2'!D6</f>
        <v>2020</v>
      </c>
      <c r="AA6" s="35">
        <f>'Occ T2'!E6</f>
        <v>2025</v>
      </c>
      <c r="AB6" s="35">
        <f>'Occ T2'!F6</f>
        <v>2035</v>
      </c>
      <c r="AC6" s="10"/>
      <c r="AD6" s="63" t="s">
        <v>19</v>
      </c>
      <c r="AE6" s="63" t="s">
        <v>32</v>
      </c>
      <c r="AF6" s="63" t="s">
        <v>34</v>
      </c>
    </row>
    <row r="7" spans="1:32" x14ac:dyDescent="0.2">
      <c r="C7" s="10"/>
      <c r="D7" s="10"/>
      <c r="E7" s="10"/>
      <c r="F7" s="10"/>
      <c r="N7" s="10"/>
      <c r="O7" s="10"/>
      <c r="P7" s="10"/>
      <c r="Q7" s="10"/>
      <c r="Y7" s="10"/>
      <c r="Z7" s="10"/>
      <c r="AA7" s="10"/>
      <c r="AB7" s="10"/>
    </row>
    <row r="8" spans="1:32" x14ac:dyDescent="0.2">
      <c r="A8" t="str">
        <f>name!E4</f>
        <v>Managers, directors and senior officials</v>
      </c>
      <c r="B8" s="11">
        <f t="array" ref="B8:B16">MMULT(aggregation!$B$13:$AA$21,'Occ T2'!B8:B33)</f>
        <v>99.823405667280099</v>
      </c>
      <c r="C8" s="11">
        <f t="array" ref="C8:C16">MMULT(aggregation!$B$13:$AA$21,'Occ T2'!C8:C33)</f>
        <v>109.9145689063652</v>
      </c>
      <c r="D8" s="11">
        <f t="array" ref="D8:D16">MMULT(aggregation!$B$13:$AA$21,'Occ T2'!D8:D33)</f>
        <v>109.92994578235215</v>
      </c>
      <c r="E8" s="11">
        <f t="array" ref="E8:E16">MMULT(aggregation!$B$13:$AA$21,'Occ T2'!E8:E33)</f>
        <v>113.69235283021654</v>
      </c>
      <c r="F8" s="11">
        <f t="array" ref="F8:F16">MMULT(aggregation!$B$13:$AA$21,'Occ T2'!F8:F33)</f>
        <v>126.94944921209097</v>
      </c>
      <c r="G8" s="11"/>
      <c r="H8" s="11">
        <f>F8-D8</f>
        <v>17.019503429738819</v>
      </c>
      <c r="I8" s="11">
        <f t="array" ref="I8:I16">MMULT(aggregation!$B$13:$AA$21,'Occ T2'!I8:I33)</f>
        <v>62.567113355918025</v>
      </c>
      <c r="J8" s="11">
        <f>SUM(H8:I8)</f>
        <v>79.586616785656844</v>
      </c>
      <c r="L8" s="10" t="str">
        <f>name!E4</f>
        <v>Managers, directors and senior officials</v>
      </c>
      <c r="M8" s="11">
        <f t="array" ref="M8:M16">MMULT(aggregation!$B$13:$AA$21,'Occ T2'!M8:M33)</f>
        <v>64.963175369699343</v>
      </c>
      <c r="N8" s="11">
        <f t="array" ref="N8:N16">MMULT(aggregation!$B$13:$AA$21,'Occ T2'!N8:N33)</f>
        <v>69.378913748508396</v>
      </c>
      <c r="O8" s="11">
        <f t="array" ref="O8:O16">MMULT(aggregation!$B$13:$AA$21,'Occ T2'!O8:O33)</f>
        <v>68.254853440875976</v>
      </c>
      <c r="P8" s="11">
        <f t="array" ref="P8:P16">MMULT(aggregation!$B$13:$AA$21,'Occ T2'!P8:P33)</f>
        <v>68.822999272990302</v>
      </c>
      <c r="Q8" s="11">
        <f t="array" ref="Q8:Q16">MMULT(aggregation!$B$13:$AA$21,'Occ T2'!Q8:Q33)</f>
        <v>74.358971083632824</v>
      </c>
      <c r="R8" s="11"/>
      <c r="S8" s="11">
        <f>Q8-O8</f>
        <v>6.1041176427568473</v>
      </c>
      <c r="T8" s="11">
        <f t="array" ref="T8:T16">MMULT(aggregation!$B$13:$AA$21,'Occ T2'!T8:T33)</f>
        <v>33.847284614389594</v>
      </c>
      <c r="U8" s="11">
        <f>SUM(S8:T8)</f>
        <v>39.951402257146441</v>
      </c>
      <c r="W8" s="10" t="str">
        <f>name!E4</f>
        <v>Managers, directors and senior officials</v>
      </c>
      <c r="X8" s="11">
        <f t="array" ref="X8:X16">MMULT(aggregation!$B$13:$AA$21,'Occ T2'!X8:X33)</f>
        <v>34.86023029758065</v>
      </c>
      <c r="Y8" s="11">
        <f t="array" ref="Y8:Y16">MMULT(aggregation!$B$13:$AA$21,'Occ T2'!Y8:Y33)</f>
        <v>40.535655157856745</v>
      </c>
      <c r="Z8" s="11">
        <f t="array" ref="Z8:Z16">MMULT(aggregation!$B$13:$AA$21,'Occ T2'!Z8:Z33)</f>
        <v>41.675092341476109</v>
      </c>
      <c r="AA8" s="11">
        <f t="array" ref="AA8:AA16">MMULT(aggregation!$B$13:$AA$21,'Occ T2'!AA8:AA33)</f>
        <v>44.869353557226319</v>
      </c>
      <c r="AB8" s="11">
        <f t="array" ref="AB8:AB16">MMULT(aggregation!$B$13:$AA$21,'Occ T2'!AB8:AB33)</f>
        <v>52.590478128458301</v>
      </c>
      <c r="AC8" s="11"/>
      <c r="AD8" s="11">
        <f>AB8-Z8</f>
        <v>10.915385786982192</v>
      </c>
      <c r="AE8" s="11">
        <f t="array" ref="AE8:AE16">MMULT(aggregation!$B$13:$AA$21,'Occ T2'!AE8:AE33)</f>
        <v>28.719828741528431</v>
      </c>
      <c r="AF8" s="11">
        <f>SUM(AD8:AE8)</f>
        <v>39.635214528510623</v>
      </c>
    </row>
    <row r="9" spans="1:32" x14ac:dyDescent="0.2">
      <c r="A9" t="str">
        <f>name!E5</f>
        <v>Professional occupations</v>
      </c>
      <c r="B9" s="11">
        <v>187.40472106146541</v>
      </c>
      <c r="C9" s="11">
        <v>204.98514734387325</v>
      </c>
      <c r="D9" s="11">
        <v>210.18095966500374</v>
      </c>
      <c r="E9" s="11">
        <v>225.95995697383091</v>
      </c>
      <c r="F9" s="11">
        <v>246.52999555946499</v>
      </c>
      <c r="G9" s="11"/>
      <c r="H9" s="11">
        <f t="shared" ref="H9:H16" si="0">F9-D9</f>
        <v>36.349035894461252</v>
      </c>
      <c r="I9" s="11">
        <v>105.94709243099072</v>
      </c>
      <c r="J9" s="11">
        <f t="shared" ref="J9:J15" si="1">SUM(H9:I9)</f>
        <v>142.29612832545197</v>
      </c>
      <c r="L9" s="10" t="str">
        <f>name!E5</f>
        <v>Professional occupations</v>
      </c>
      <c r="M9" s="11">
        <v>102.8902908928154</v>
      </c>
      <c r="N9" s="11">
        <v>109.37739597313725</v>
      </c>
      <c r="O9" s="11">
        <v>111.24015826441413</v>
      </c>
      <c r="P9" s="11">
        <v>119.12027918282335</v>
      </c>
      <c r="Q9" s="11">
        <v>128.5502190108781</v>
      </c>
      <c r="R9" s="11"/>
      <c r="S9" s="11">
        <f t="shared" ref="S9:S16" si="2">Q9-O9</f>
        <v>17.310060746463961</v>
      </c>
      <c r="T9" s="11">
        <v>45.572272776756812</v>
      </c>
      <c r="U9" s="11">
        <f t="shared" ref="U9:U12" si="3">SUM(S9:T9)</f>
        <v>62.882333523220773</v>
      </c>
      <c r="W9" s="10" t="str">
        <f>name!E5</f>
        <v>Professional occupations</v>
      </c>
      <c r="X9" s="11">
        <v>84.514430168650122</v>
      </c>
      <c r="Y9" s="11">
        <v>95.607751370735954</v>
      </c>
      <c r="Z9" s="11">
        <v>98.940801400589748</v>
      </c>
      <c r="AA9" s="11">
        <v>106.83967779100757</v>
      </c>
      <c r="AB9" s="11">
        <v>117.97977654858695</v>
      </c>
      <c r="AC9" s="11"/>
      <c r="AD9" s="11">
        <f t="shared" ref="AD9:AD16" si="4">AB9-Z9</f>
        <v>19.038975147997206</v>
      </c>
      <c r="AE9" s="11">
        <v>60.374819654233917</v>
      </c>
      <c r="AF9" s="11">
        <f t="shared" ref="AF9:AF12" si="5">SUM(AD9:AE9)</f>
        <v>79.413794802231124</v>
      </c>
    </row>
    <row r="10" spans="1:32" x14ac:dyDescent="0.2">
      <c r="A10" t="str">
        <f>name!E6</f>
        <v>Associate professional occupations</v>
      </c>
      <c r="B10" s="11">
        <v>118.06235267038653</v>
      </c>
      <c r="C10" s="11">
        <v>120.05540533988096</v>
      </c>
      <c r="D10" s="11">
        <v>124.08566971596375</v>
      </c>
      <c r="E10" s="11">
        <v>122.27240002075092</v>
      </c>
      <c r="F10" s="11">
        <v>130.52666710307909</v>
      </c>
      <c r="G10" s="11"/>
      <c r="H10" s="11">
        <f t="shared" si="0"/>
        <v>6.4409973871153454</v>
      </c>
      <c r="I10" s="11">
        <v>57.155729486740526</v>
      </c>
      <c r="J10" s="11">
        <f t="shared" si="1"/>
        <v>63.596726873855872</v>
      </c>
      <c r="L10" s="10" t="str">
        <f>name!E6</f>
        <v>Associate professional occupations</v>
      </c>
      <c r="M10" s="11">
        <v>63.81588648249479</v>
      </c>
      <c r="N10" s="11">
        <v>62.787373607406948</v>
      </c>
      <c r="O10" s="11">
        <v>64.510090668346081</v>
      </c>
      <c r="P10" s="11">
        <v>61.527048882053549</v>
      </c>
      <c r="Q10" s="11">
        <v>63.943640279171106</v>
      </c>
      <c r="R10" s="11"/>
      <c r="S10" s="11">
        <f t="shared" si="2"/>
        <v>-0.56645038917497459</v>
      </c>
      <c r="T10" s="11">
        <v>23.346331387065625</v>
      </c>
      <c r="U10" s="11">
        <f t="shared" si="3"/>
        <v>22.77988099789065</v>
      </c>
      <c r="W10" s="10" t="str">
        <f>name!E6</f>
        <v>Associate professional occupations</v>
      </c>
      <c r="X10" s="11">
        <v>54.246466187891855</v>
      </c>
      <c r="Y10" s="11">
        <v>57.268031732473958</v>
      </c>
      <c r="Z10" s="11">
        <v>59.575579047617701</v>
      </c>
      <c r="AA10" s="11">
        <v>60.745351138697465</v>
      </c>
      <c r="AB10" s="11">
        <v>66.583026823907986</v>
      </c>
      <c r="AC10" s="11"/>
      <c r="AD10" s="11">
        <f t="shared" si="4"/>
        <v>7.0074477762902845</v>
      </c>
      <c r="AE10" s="11">
        <v>33.809398099674901</v>
      </c>
      <c r="AF10" s="11">
        <f t="shared" si="5"/>
        <v>40.816845875965186</v>
      </c>
    </row>
    <row r="11" spans="1:32" x14ac:dyDescent="0.2">
      <c r="A11" t="str">
        <f>name!E7</f>
        <v>Administrative and secretarial occupations</v>
      </c>
      <c r="B11" s="11">
        <v>93.96824546690263</v>
      </c>
      <c r="C11" s="11">
        <v>87.500125810165741</v>
      </c>
      <c r="D11" s="11">
        <v>88.379330022516001</v>
      </c>
      <c r="E11" s="11">
        <v>82.318317359101599</v>
      </c>
      <c r="F11" s="11">
        <v>73.324556568201245</v>
      </c>
      <c r="G11" s="11"/>
      <c r="H11" s="11">
        <f t="shared" si="0"/>
        <v>-15.054773454314756</v>
      </c>
      <c r="I11" s="11">
        <v>40.547680339642099</v>
      </c>
      <c r="J11" s="11">
        <f t="shared" si="1"/>
        <v>25.492906885327344</v>
      </c>
      <c r="L11" s="10" t="str">
        <f>name!E7</f>
        <v>Administrative and secretarial occupations</v>
      </c>
      <c r="M11" s="11">
        <v>19.315775986945095</v>
      </c>
      <c r="N11" s="11">
        <v>17.342768396804683</v>
      </c>
      <c r="O11" s="11">
        <v>19.918002208804797</v>
      </c>
      <c r="P11" s="11">
        <v>18.940964496771283</v>
      </c>
      <c r="Q11" s="11">
        <v>20.118559048776248</v>
      </c>
      <c r="R11" s="11"/>
      <c r="S11" s="11">
        <f t="shared" si="2"/>
        <v>0.20055683997145124</v>
      </c>
      <c r="T11" s="11">
        <v>7.1240437825586689</v>
      </c>
      <c r="U11" s="11">
        <f t="shared" si="3"/>
        <v>7.3246006225301201</v>
      </c>
      <c r="W11" s="10" t="str">
        <f>name!E7</f>
        <v>Administrative and secretarial occupations</v>
      </c>
      <c r="X11" s="11">
        <v>74.652469479957517</v>
      </c>
      <c r="Y11" s="11">
        <v>70.157357413360984</v>
      </c>
      <c r="Z11" s="11">
        <v>68.461327813711264</v>
      </c>
      <c r="AA11" s="11">
        <v>63.377352862330341</v>
      </c>
      <c r="AB11" s="11">
        <v>53.20599751942499</v>
      </c>
      <c r="AC11" s="11"/>
      <c r="AD11" s="11">
        <f t="shared" si="4"/>
        <v>-15.255330294286274</v>
      </c>
      <c r="AE11" s="11">
        <v>33.423636557083427</v>
      </c>
      <c r="AF11" s="11">
        <f t="shared" si="5"/>
        <v>18.168306262797152</v>
      </c>
    </row>
    <row r="12" spans="1:32" x14ac:dyDescent="0.2">
      <c r="A12" t="str">
        <f>name!E8</f>
        <v>Skilled trades occupations</v>
      </c>
      <c r="B12" s="11">
        <v>81.412516783741452</v>
      </c>
      <c r="C12" s="11">
        <v>77.842029045706752</v>
      </c>
      <c r="D12" s="11">
        <v>68.523564362064846</v>
      </c>
      <c r="E12" s="11">
        <v>71.906951053581963</v>
      </c>
      <c r="F12" s="11">
        <v>71.783414885921047</v>
      </c>
      <c r="G12" s="11"/>
      <c r="H12" s="11">
        <f t="shared" si="0"/>
        <v>3.2598505238562012</v>
      </c>
      <c r="I12" s="11">
        <v>30.482479770339012</v>
      </c>
      <c r="J12" s="11">
        <f t="shared" si="1"/>
        <v>33.742330294195213</v>
      </c>
      <c r="L12" s="10" t="str">
        <f>name!E8</f>
        <v>Skilled trades occupations</v>
      </c>
      <c r="M12" s="11">
        <v>71.113311805252039</v>
      </c>
      <c r="N12" s="11">
        <v>68.506295457443599</v>
      </c>
      <c r="O12" s="11">
        <v>58.658230332894092</v>
      </c>
      <c r="P12" s="11">
        <v>60.319008457923943</v>
      </c>
      <c r="Q12" s="11">
        <v>58.490123736181921</v>
      </c>
      <c r="R12" s="11"/>
      <c r="S12" s="11">
        <f t="shared" si="2"/>
        <v>-0.1681065967121711</v>
      </c>
      <c r="T12" s="11">
        <v>23.407743258161688</v>
      </c>
      <c r="U12" s="11">
        <f t="shared" si="3"/>
        <v>23.239636661449516</v>
      </c>
      <c r="W12" s="10" t="str">
        <f>name!E8</f>
        <v>Skilled trades occupations</v>
      </c>
      <c r="X12" s="11">
        <v>10.299204978489465</v>
      </c>
      <c r="Y12" s="11">
        <v>9.3357335882631691</v>
      </c>
      <c r="Z12" s="11">
        <v>9.8653340291707732</v>
      </c>
      <c r="AA12" s="11">
        <v>11.587942595658085</v>
      </c>
      <c r="AB12" s="11">
        <v>13.293291149739115</v>
      </c>
      <c r="AC12" s="11"/>
      <c r="AD12" s="11">
        <f t="shared" si="4"/>
        <v>3.4279571205683421</v>
      </c>
      <c r="AE12" s="11">
        <v>7.0747365121773198</v>
      </c>
      <c r="AF12" s="11">
        <f t="shared" si="5"/>
        <v>10.502693632745661</v>
      </c>
    </row>
    <row r="13" spans="1:32" x14ac:dyDescent="0.2">
      <c r="A13" t="str">
        <f>name!E9</f>
        <v>Caring, leisure and other service occupations</v>
      </c>
      <c r="B13" s="11">
        <v>81.542313296358259</v>
      </c>
      <c r="C13" s="11">
        <v>83.203369424048049</v>
      </c>
      <c r="D13" s="11">
        <v>78.928229856731903</v>
      </c>
      <c r="E13" s="11">
        <v>83.465879383626358</v>
      </c>
      <c r="F13" s="11">
        <v>88.550962485980079</v>
      </c>
      <c r="G13" s="11"/>
      <c r="H13" s="11">
        <f t="shared" si="0"/>
        <v>9.6227326292481763</v>
      </c>
      <c r="I13" s="11">
        <v>45.670936984625158</v>
      </c>
      <c r="J13" s="11">
        <f>SUM(H13:I13)</f>
        <v>55.293669613873334</v>
      </c>
      <c r="L13" s="10" t="str">
        <f>name!E9</f>
        <v>Caring, leisure and other service occupations</v>
      </c>
      <c r="M13" s="11">
        <v>18.406818836599093</v>
      </c>
      <c r="N13" s="11">
        <v>18.383960112274487</v>
      </c>
      <c r="O13" s="11">
        <v>17.65573110470331</v>
      </c>
      <c r="P13" s="11">
        <v>20.219420720177279</v>
      </c>
      <c r="Q13" s="11">
        <v>23.279232456590041</v>
      </c>
      <c r="R13" s="11"/>
      <c r="S13" s="11">
        <f t="shared" si="2"/>
        <v>5.6235013518867305</v>
      </c>
      <c r="T13" s="11">
        <v>9.2315968406770548</v>
      </c>
      <c r="U13" s="11">
        <f>SUM(S13:T13)</f>
        <v>14.855098192563785</v>
      </c>
      <c r="W13" s="10" t="str">
        <f>name!E9</f>
        <v>Caring, leisure and other service occupations</v>
      </c>
      <c r="X13" s="11">
        <v>63.13549445975918</v>
      </c>
      <c r="Y13" s="11">
        <v>64.819409311773512</v>
      </c>
      <c r="Z13" s="11">
        <v>61.272498752028596</v>
      </c>
      <c r="AA13" s="11">
        <v>63.246458663449076</v>
      </c>
      <c r="AB13" s="11">
        <v>65.271730029390071</v>
      </c>
      <c r="AC13" s="11"/>
      <c r="AD13" s="11">
        <f t="shared" si="4"/>
        <v>3.9992312773614742</v>
      </c>
      <c r="AE13" s="11">
        <v>36.439340143948094</v>
      </c>
      <c r="AF13" s="11">
        <f>SUM(AD13:AE13)</f>
        <v>40.438571421309568</v>
      </c>
    </row>
    <row r="14" spans="1:32" x14ac:dyDescent="0.2">
      <c r="A14" t="str">
        <f>name!E10</f>
        <v>Sales and customer service occupations</v>
      </c>
      <c r="B14" s="11">
        <v>67.650112553582659</v>
      </c>
      <c r="C14" s="11">
        <v>66.064672482627699</v>
      </c>
      <c r="D14" s="11">
        <v>66.154645293507599</v>
      </c>
      <c r="E14" s="11">
        <v>66.294151026564577</v>
      </c>
      <c r="F14" s="11">
        <v>66.316025592094505</v>
      </c>
      <c r="G14" s="11"/>
      <c r="H14" s="11">
        <f t="shared" si="0"/>
        <v>0.16138029858690572</v>
      </c>
      <c r="I14" s="11">
        <v>29.3824766162837</v>
      </c>
      <c r="J14" s="11">
        <f t="shared" si="1"/>
        <v>29.543856914870606</v>
      </c>
      <c r="L14" s="10" t="str">
        <f>name!E10</f>
        <v>Sales and customer service occupations</v>
      </c>
      <c r="M14" s="11">
        <v>28.190988606589045</v>
      </c>
      <c r="N14" s="11">
        <v>27.797289589296284</v>
      </c>
      <c r="O14" s="11">
        <v>28.254533085966351</v>
      </c>
      <c r="P14" s="11">
        <v>29.073560471620262</v>
      </c>
      <c r="Q14" s="11">
        <v>30.166416295184181</v>
      </c>
      <c r="R14" s="11"/>
      <c r="S14" s="11">
        <f t="shared" si="2"/>
        <v>1.9118832092178302</v>
      </c>
      <c r="T14" s="11">
        <v>9.8195865349958016</v>
      </c>
      <c r="U14" s="11">
        <f t="shared" ref="U14:U15" si="6">SUM(S14:T14)</f>
        <v>11.731469744213632</v>
      </c>
      <c r="W14" s="10" t="str">
        <f>name!E10</f>
        <v>Sales and customer service occupations</v>
      </c>
      <c r="X14" s="11">
        <v>39.459123946993628</v>
      </c>
      <c r="Y14" s="11">
        <v>38.267382893331401</v>
      </c>
      <c r="Z14" s="11">
        <v>37.900112207541213</v>
      </c>
      <c r="AA14" s="11">
        <v>37.220590554944359</v>
      </c>
      <c r="AB14" s="11">
        <v>36.149609296910413</v>
      </c>
      <c r="AC14" s="11"/>
      <c r="AD14" s="11">
        <f t="shared" si="4"/>
        <v>-1.7505029106308001</v>
      </c>
      <c r="AE14" s="11">
        <v>19.5628900812879</v>
      </c>
      <c r="AF14" s="11">
        <f t="shared" ref="AF14:AF15" si="7">SUM(AD14:AE14)</f>
        <v>17.8123871706571</v>
      </c>
    </row>
    <row r="15" spans="1:32" x14ac:dyDescent="0.2">
      <c r="A15" t="str">
        <f>name!E11</f>
        <v>Process, plant and machine operatives</v>
      </c>
      <c r="B15" s="11">
        <v>37.86368362937651</v>
      </c>
      <c r="C15" s="11">
        <v>39.74154361038277</v>
      </c>
      <c r="D15" s="11">
        <v>33.643335164535806</v>
      </c>
      <c r="E15" s="11">
        <v>38.00761082025749</v>
      </c>
      <c r="F15" s="11">
        <v>38.048744257037569</v>
      </c>
      <c r="G15" s="11"/>
      <c r="H15" s="11">
        <f t="shared" si="0"/>
        <v>4.4054090925017633</v>
      </c>
      <c r="I15" s="11">
        <v>17.790759348867155</v>
      </c>
      <c r="J15" s="11">
        <f t="shared" si="1"/>
        <v>22.196168441368918</v>
      </c>
      <c r="L15" s="10" t="str">
        <f>name!E11</f>
        <v>Process, plant and machine operatives</v>
      </c>
      <c r="M15" s="11">
        <v>33.244243672927574</v>
      </c>
      <c r="N15" s="11">
        <v>35.247545346004081</v>
      </c>
      <c r="O15" s="11">
        <v>29.745635438663626</v>
      </c>
      <c r="P15" s="11">
        <v>32.776402448866918</v>
      </c>
      <c r="Q15" s="11">
        <v>32.353970766747487</v>
      </c>
      <c r="R15" s="11"/>
      <c r="S15" s="11">
        <f t="shared" si="2"/>
        <v>2.6083353280838608</v>
      </c>
      <c r="T15" s="11">
        <v>14.978135104568155</v>
      </c>
      <c r="U15" s="11">
        <f t="shared" si="6"/>
        <v>17.586470432652014</v>
      </c>
      <c r="W15" s="10" t="str">
        <f>name!E11</f>
        <v>Process, plant and machine operatives</v>
      </c>
      <c r="X15" s="11">
        <v>4.6194399564489199</v>
      </c>
      <c r="Y15" s="11">
        <v>4.4939982643786482</v>
      </c>
      <c r="Z15" s="11">
        <v>3.897699725872195</v>
      </c>
      <c r="AA15" s="11">
        <v>5.2312083713906041</v>
      </c>
      <c r="AB15" s="11">
        <v>5.69477349029005</v>
      </c>
      <c r="AC15" s="11"/>
      <c r="AD15" s="11">
        <f t="shared" si="4"/>
        <v>1.7970737644178549</v>
      </c>
      <c r="AE15" s="11">
        <v>2.8126242442990015</v>
      </c>
      <c r="AF15" s="11">
        <f t="shared" si="7"/>
        <v>4.6096980087168564</v>
      </c>
    </row>
    <row r="16" spans="1:32" x14ac:dyDescent="0.2">
      <c r="A16" t="str">
        <f>name!E12</f>
        <v>Elementary occupations</v>
      </c>
      <c r="B16" s="11">
        <v>97.277648870906489</v>
      </c>
      <c r="C16" s="11">
        <v>93.142138036950058</v>
      </c>
      <c r="D16" s="11">
        <v>84.814320137323875</v>
      </c>
      <c r="E16" s="11">
        <v>86.062380532069156</v>
      </c>
      <c r="F16" s="11">
        <v>83.448184336130424</v>
      </c>
      <c r="G16" s="11"/>
      <c r="H16" s="11">
        <f t="shared" si="0"/>
        <v>-1.366135801193451</v>
      </c>
      <c r="I16" s="11">
        <v>40.361550588453213</v>
      </c>
      <c r="J16" s="11">
        <f>SUM(H16:I16)</f>
        <v>38.995414787259762</v>
      </c>
      <c r="L16" s="10" t="str">
        <f>name!E12</f>
        <v>Elementary occupations</v>
      </c>
      <c r="M16" s="11">
        <v>49.548468852234492</v>
      </c>
      <c r="N16" s="11">
        <v>46.604251452757801</v>
      </c>
      <c r="O16" s="11">
        <v>42.859983313660472</v>
      </c>
      <c r="P16" s="11">
        <v>44.357309353701382</v>
      </c>
      <c r="Q16" s="11">
        <v>42.237538824797184</v>
      </c>
      <c r="R16" s="11"/>
      <c r="S16" s="11">
        <f t="shared" si="2"/>
        <v>-0.6224444888632874</v>
      </c>
      <c r="T16" s="11">
        <v>16.631014412204102</v>
      </c>
      <c r="U16" s="11">
        <f>SUM(S16:T16)</f>
        <v>16.008569923340815</v>
      </c>
      <c r="W16" s="10" t="str">
        <f>name!E12</f>
        <v>Elementary occupations</v>
      </c>
      <c r="X16" s="11">
        <v>47.729180018671805</v>
      </c>
      <c r="Y16" s="11">
        <v>46.537886584192336</v>
      </c>
      <c r="Z16" s="11">
        <v>41.954336823663439</v>
      </c>
      <c r="AA16" s="11">
        <v>41.705071178367888</v>
      </c>
      <c r="AB16" s="11">
        <v>41.210645511333169</v>
      </c>
      <c r="AC16" s="11"/>
      <c r="AD16" s="11">
        <f t="shared" si="4"/>
        <v>-0.74369131233027019</v>
      </c>
      <c r="AE16" s="11">
        <v>23.73053617624911</v>
      </c>
      <c r="AF16" s="11">
        <f>SUM(AD16:AE16)</f>
        <v>22.98684486391884</v>
      </c>
    </row>
    <row r="17" spans="1:32" x14ac:dyDescent="0.2">
      <c r="B17" s="11"/>
      <c r="C17" s="11"/>
      <c r="D17" s="11"/>
      <c r="E17" s="11"/>
      <c r="F17" s="11"/>
      <c r="G17" s="11"/>
      <c r="H17" s="11"/>
      <c r="I17" s="11"/>
      <c r="J17" s="11"/>
      <c r="M17" s="11"/>
      <c r="N17" s="11"/>
      <c r="O17" s="11"/>
      <c r="P17" s="11"/>
      <c r="Q17" s="11"/>
      <c r="R17" s="11"/>
      <c r="S17" s="11"/>
      <c r="T17" s="11"/>
      <c r="U17" s="11"/>
      <c r="X17" s="11"/>
      <c r="Y17" s="11"/>
      <c r="Z17" s="11"/>
      <c r="AA17" s="11"/>
      <c r="AB17" s="11"/>
      <c r="AC17" s="11"/>
      <c r="AD17" s="11"/>
      <c r="AE17" s="11"/>
      <c r="AF17" s="11"/>
    </row>
    <row r="18" spans="1:32" x14ac:dyDescent="0.2">
      <c r="A18" s="24" t="str">
        <f>name!E3</f>
        <v>All occupations</v>
      </c>
      <c r="B18" s="34">
        <f>SUM(B8:B16)</f>
        <v>865.00499999999988</v>
      </c>
      <c r="C18" s="34">
        <f>SUM(C8:C16)</f>
        <v>882.44900000000052</v>
      </c>
      <c r="D18" s="34">
        <f>SUM(D8:D16)</f>
        <v>864.63999999999965</v>
      </c>
      <c r="E18" s="34">
        <f>SUM(E8:E16)</f>
        <v>889.97999999999945</v>
      </c>
      <c r="F18" s="34">
        <f>SUM(F8:F16)</f>
        <v>925.47800000000007</v>
      </c>
      <c r="G18" s="11"/>
      <c r="H18" s="34">
        <f>SUM(H8:H16)</f>
        <v>60.838000000000257</v>
      </c>
      <c r="I18" s="34">
        <f>SUM(I8:I16)</f>
        <v>429.90581892185963</v>
      </c>
      <c r="J18" s="34">
        <f>SUM(H18:I18)</f>
        <v>490.74381892185988</v>
      </c>
      <c r="L18" s="231" t="str">
        <f>name!E3</f>
        <v>All occupations</v>
      </c>
      <c r="M18" s="34">
        <f>SUM(M8:M16)</f>
        <v>451.48896050555686</v>
      </c>
      <c r="N18" s="34">
        <f>SUM(N8:N16)</f>
        <v>455.42579368363357</v>
      </c>
      <c r="O18" s="34">
        <f>SUM(O8:O16)</f>
        <v>441.0972178583288</v>
      </c>
      <c r="P18" s="34">
        <f>SUM(P8:P16)</f>
        <v>455.15699328692824</v>
      </c>
      <c r="Q18" s="34">
        <f>SUM(Q8:Q16)</f>
        <v>473.49867150195911</v>
      </c>
      <c r="R18" s="11"/>
      <c r="S18" s="34">
        <f>SUM(S8:S16)</f>
        <v>32.401453643630248</v>
      </c>
      <c r="T18" s="34">
        <f>SUM(T8:T16)</f>
        <v>183.95800871137752</v>
      </c>
      <c r="U18" s="34">
        <f>SUM(S18:T18)</f>
        <v>216.35946235500776</v>
      </c>
      <c r="W18" s="231" t="str">
        <f>name!E3</f>
        <v>All occupations</v>
      </c>
      <c r="X18" s="34">
        <f>SUM(X8:X16)</f>
        <v>413.51603949444308</v>
      </c>
      <c r="Y18" s="34">
        <f>SUM(Y8:Y16)</f>
        <v>427.02320631636672</v>
      </c>
      <c r="Z18" s="34">
        <f>SUM(Z8:Z16)</f>
        <v>423.54278214167101</v>
      </c>
      <c r="AA18" s="34">
        <f>SUM(AA8:AA16)</f>
        <v>434.82300671307166</v>
      </c>
      <c r="AB18" s="34">
        <f>SUM(AB8:AB16)</f>
        <v>451.97932849804107</v>
      </c>
      <c r="AC18" s="11"/>
      <c r="AD18" s="34">
        <f>SUM(AD8:AD16)</f>
        <v>28.436546356370012</v>
      </c>
      <c r="AE18" s="34">
        <f>SUM(AE8:AE16)</f>
        <v>245.94781021048209</v>
      </c>
      <c r="AF18" s="34">
        <f>SUM(AD18:AE18)</f>
        <v>274.38435656685209</v>
      </c>
    </row>
    <row r="19" spans="1:32" x14ac:dyDescent="0.2">
      <c r="B19" s="11"/>
      <c r="C19" s="11"/>
      <c r="D19" s="11"/>
      <c r="E19" s="11"/>
      <c r="F19" s="11"/>
      <c r="G19" s="11"/>
      <c r="M19" s="11"/>
      <c r="N19" s="11"/>
      <c r="O19" s="11"/>
      <c r="P19" s="11"/>
      <c r="Q19" s="11"/>
      <c r="R19" s="11"/>
      <c r="X19" s="11"/>
      <c r="Y19" s="11"/>
      <c r="Z19" s="11"/>
      <c r="AA19" s="11"/>
      <c r="AB19" s="11"/>
      <c r="AC19" s="11"/>
    </row>
    <row r="20" spans="1:32" x14ac:dyDescent="0.2">
      <c r="B20" s="11"/>
      <c r="C20" s="11"/>
      <c r="D20" s="11"/>
      <c r="E20" s="11"/>
      <c r="F20" s="11"/>
      <c r="G20" s="11"/>
      <c r="M20" s="11"/>
      <c r="N20" s="11"/>
      <c r="O20" s="11"/>
      <c r="P20" s="11"/>
      <c r="Q20" s="11"/>
      <c r="R20" s="11"/>
      <c r="X20" s="11"/>
      <c r="Y20" s="11"/>
      <c r="Z20" s="11"/>
      <c r="AA20" s="11"/>
      <c r="AB20" s="11"/>
      <c r="AC20" s="11"/>
    </row>
    <row r="21" spans="1:32" x14ac:dyDescent="0.2">
      <c r="B21" s="11"/>
      <c r="C21" s="11"/>
      <c r="D21" s="11"/>
      <c r="E21" s="11"/>
      <c r="F21" s="16" t="s">
        <v>35</v>
      </c>
      <c r="G21" s="11"/>
      <c r="J21" s="16" t="s">
        <v>35</v>
      </c>
      <c r="M21" s="11"/>
      <c r="N21" s="11"/>
      <c r="O21" s="11"/>
      <c r="P21" s="11"/>
      <c r="Q21" s="16" t="s">
        <v>35</v>
      </c>
      <c r="R21" s="11"/>
      <c r="U21" s="16" t="s">
        <v>35</v>
      </c>
      <c r="X21" s="11"/>
      <c r="Y21" s="11"/>
      <c r="Z21" s="11"/>
      <c r="AA21" s="11"/>
      <c r="AB21" s="16" t="s">
        <v>35</v>
      </c>
      <c r="AC21" s="11"/>
      <c r="AF21" s="16" t="s">
        <v>35</v>
      </c>
    </row>
    <row r="22" spans="1:32" x14ac:dyDescent="0.2">
      <c r="A22" s="36"/>
      <c r="B22" s="65"/>
      <c r="C22" s="65"/>
      <c r="D22" s="65"/>
      <c r="E22" s="65"/>
      <c r="F22" s="65"/>
      <c r="G22" s="11"/>
      <c r="H22" s="28" t="str">
        <f>H4</f>
        <v>2020-2035</v>
      </c>
      <c r="I22" s="36"/>
      <c r="J22" s="36"/>
      <c r="L22" s="36"/>
      <c r="M22" s="65"/>
      <c r="N22" s="65"/>
      <c r="O22" s="65"/>
      <c r="P22" s="65"/>
      <c r="Q22" s="65"/>
      <c r="R22" s="11"/>
      <c r="S22" s="28" t="str">
        <f>S4</f>
        <v>2020-2035</v>
      </c>
      <c r="T22" s="36"/>
      <c r="U22" s="36"/>
      <c r="W22" s="36"/>
      <c r="X22" s="65"/>
      <c r="Y22" s="65"/>
      <c r="Z22" s="65"/>
      <c r="AA22" s="65"/>
      <c r="AB22" s="65"/>
      <c r="AC22" s="11"/>
      <c r="AD22" s="28" t="str">
        <f>AD4</f>
        <v>2020-2035</v>
      </c>
      <c r="AE22" s="36"/>
      <c r="AF22" s="36"/>
    </row>
    <row r="23" spans="1:32" x14ac:dyDescent="0.2">
      <c r="B23" s="11"/>
      <c r="C23" s="11"/>
      <c r="D23" s="11"/>
      <c r="E23" s="11"/>
      <c r="F23" s="11"/>
      <c r="G23" s="11"/>
      <c r="H23" t="str">
        <f>H5</f>
        <v>Net</v>
      </c>
      <c r="I23" t="str">
        <f>I5</f>
        <v>Replacement</v>
      </c>
      <c r="J23" t="str">
        <f>J5</f>
        <v>Total</v>
      </c>
      <c r="M23" s="11"/>
      <c r="N23" s="11"/>
      <c r="O23" s="11"/>
      <c r="P23" s="11"/>
      <c r="Q23" s="11"/>
      <c r="R23" s="11"/>
      <c r="S23" t="str">
        <f>S5</f>
        <v>Net</v>
      </c>
      <c r="T23" t="str">
        <f>T5</f>
        <v>Replacement</v>
      </c>
      <c r="U23" t="str">
        <f>U5</f>
        <v>Total</v>
      </c>
      <c r="X23" s="11"/>
      <c r="Y23" s="11"/>
      <c r="Z23" s="11"/>
      <c r="AA23" s="11"/>
      <c r="AB23" s="11"/>
      <c r="AC23" s="11"/>
      <c r="AD23" t="str">
        <f>AD5</f>
        <v>Net</v>
      </c>
      <c r="AE23" t="str">
        <f>AE5</f>
        <v>Replacement</v>
      </c>
      <c r="AF23" t="str">
        <f>AF5</f>
        <v>Total</v>
      </c>
    </row>
    <row r="24" spans="1:32" x14ac:dyDescent="0.2">
      <c r="A24" s="41" t="s">
        <v>14</v>
      </c>
      <c r="B24" s="35">
        <f>B$6</f>
        <v>2015</v>
      </c>
      <c r="C24" s="35">
        <f>C$6</f>
        <v>2019</v>
      </c>
      <c r="D24" s="35">
        <f>D$6</f>
        <v>2020</v>
      </c>
      <c r="E24" s="35">
        <f>E$6</f>
        <v>2025</v>
      </c>
      <c r="F24" s="35">
        <f>F$6</f>
        <v>2035</v>
      </c>
      <c r="G24" s="11"/>
      <c r="H24" s="24" t="str">
        <f>H6</f>
        <v>Change</v>
      </c>
      <c r="I24" s="24" t="str">
        <f>I6</f>
        <v>Demand</v>
      </c>
      <c r="J24" s="24" t="str">
        <f>J6</f>
        <v>Requirement</v>
      </c>
      <c r="L24" s="41" t="s">
        <v>14</v>
      </c>
      <c r="M24" s="35">
        <f>M$6</f>
        <v>2015</v>
      </c>
      <c r="N24" s="35">
        <f>N$6</f>
        <v>2019</v>
      </c>
      <c r="O24" s="35">
        <f>O$6</f>
        <v>2020</v>
      </c>
      <c r="P24" s="35">
        <f>P$6</f>
        <v>2025</v>
      </c>
      <c r="Q24" s="35">
        <f>Q$6</f>
        <v>2035</v>
      </c>
      <c r="R24" s="11"/>
      <c r="S24" s="24" t="str">
        <f>S6</f>
        <v>Change</v>
      </c>
      <c r="T24" s="24" t="str">
        <f>T6</f>
        <v>Demand</v>
      </c>
      <c r="U24" s="24" t="str">
        <f>U6</f>
        <v>Requirement</v>
      </c>
      <c r="W24" s="41" t="s">
        <v>14</v>
      </c>
      <c r="X24" s="35">
        <f>X$6</f>
        <v>2015</v>
      </c>
      <c r="Y24" s="35">
        <f>Y$6</f>
        <v>2019</v>
      </c>
      <c r="Z24" s="35">
        <f>Z$6</f>
        <v>2020</v>
      </c>
      <c r="AA24" s="35">
        <f>AA$6</f>
        <v>2025</v>
      </c>
      <c r="AB24" s="35">
        <f>AB$6</f>
        <v>2035</v>
      </c>
      <c r="AC24" s="11"/>
      <c r="AD24" s="24" t="str">
        <f>AD6</f>
        <v>Change</v>
      </c>
      <c r="AE24" s="24" t="str">
        <f>AE6</f>
        <v>Demand</v>
      </c>
      <c r="AF24" s="24" t="str">
        <f>AF6</f>
        <v>Requirement</v>
      </c>
    </row>
    <row r="25" spans="1:32" x14ac:dyDescent="0.2">
      <c r="A25" s="1"/>
      <c r="B25" s="17"/>
      <c r="C25" s="17"/>
      <c r="D25" s="17"/>
      <c r="E25" s="17"/>
      <c r="F25" s="17"/>
      <c r="G25" s="11"/>
      <c r="L25" s="1"/>
      <c r="M25" s="17"/>
      <c r="N25" s="17"/>
      <c r="O25" s="17"/>
      <c r="P25" s="17"/>
      <c r="Q25" s="17"/>
      <c r="R25" s="11"/>
      <c r="W25" s="1"/>
      <c r="X25" s="17"/>
      <c r="Y25" s="17"/>
      <c r="Z25" s="17"/>
      <c r="AA25" s="17"/>
      <c r="AB25" s="17"/>
      <c r="AC25" s="11"/>
    </row>
    <row r="26" spans="1:32" x14ac:dyDescent="0.2">
      <c r="A26" t="str">
        <f>$A$8</f>
        <v>Managers, directors and senior officials</v>
      </c>
      <c r="B26" s="18">
        <f t="shared" ref="B26:F34" si="8">B8/B$18*100</f>
        <v>11.540211405399981</v>
      </c>
      <c r="C26" s="18">
        <f t="shared" si="8"/>
        <v>12.455628473301589</v>
      </c>
      <c r="D26" s="18">
        <f t="shared" si="8"/>
        <v>12.713955609542953</v>
      </c>
      <c r="E26" s="18">
        <f t="shared" si="8"/>
        <v>12.774708738422955</v>
      </c>
      <c r="F26" s="18">
        <f t="shared" si="8"/>
        <v>13.717176336130191</v>
      </c>
      <c r="G26" s="11"/>
      <c r="H26" s="40">
        <f>IF(D8&gt;0,(H8/D8)*100,0)</f>
        <v>15.482135744372471</v>
      </c>
      <c r="I26" s="40">
        <f>IF(D8&gt;0,(I8/D8)*100,0)</f>
        <v>56.915440929802017</v>
      </c>
      <c r="J26" s="40">
        <f>IF(D8&gt;0,(J8/D8)*100,0)</f>
        <v>72.397576674174488</v>
      </c>
      <c r="L26" t="str">
        <f>$A$8</f>
        <v>Managers, directors and senior officials</v>
      </c>
      <c r="M26" s="18">
        <f t="shared" ref="M26:Q26" si="9">M8/M$18*100</f>
        <v>14.388652005346161</v>
      </c>
      <c r="N26" s="18">
        <f t="shared" si="9"/>
        <v>15.23385691164941</v>
      </c>
      <c r="O26" s="18">
        <f t="shared" si="9"/>
        <v>15.473879833628423</v>
      </c>
      <c r="P26" s="18">
        <f t="shared" si="9"/>
        <v>15.120716651189559</v>
      </c>
      <c r="Q26" s="18">
        <f t="shared" si="9"/>
        <v>15.704156222395053</v>
      </c>
      <c r="R26" s="11"/>
      <c r="S26" s="40">
        <f>IF(O8&gt;0,(S8/O8)*100,0)</f>
        <v>8.9431261442006953</v>
      </c>
      <c r="T26" s="40">
        <f>IF(O8&gt;0,(T8/O8)*100,0)</f>
        <v>49.589564562919968</v>
      </c>
      <c r="U26" s="40">
        <f>IF(O8&gt;0,(U8/O8)*100,0)</f>
        <v>58.532690707120658</v>
      </c>
      <c r="W26" t="str">
        <f>$A$8</f>
        <v>Managers, directors and senior officials</v>
      </c>
      <c r="X26" s="18">
        <f t="shared" ref="X26:AB26" si="10">X8/X$18*100</f>
        <v>8.4302002747463209</v>
      </c>
      <c r="Y26" s="18">
        <f t="shared" si="10"/>
        <v>9.492611773381066</v>
      </c>
      <c r="Z26" s="18">
        <f t="shared" si="10"/>
        <v>9.839641731289424</v>
      </c>
      <c r="AA26" s="18">
        <f t="shared" si="10"/>
        <v>10.31899252443062</v>
      </c>
      <c r="AB26" s="18">
        <f t="shared" si="10"/>
        <v>11.635593668237028</v>
      </c>
      <c r="AC26" s="11"/>
      <c r="AD26" s="40">
        <f>IF(Z8&gt;0,(AD8/Z8)*100,0)</f>
        <v>26.191629517084291</v>
      </c>
      <c r="AE26" s="40">
        <f>IF(Z8&gt;0,(AE8/Z8)*100,0)</f>
        <v>68.913653522839908</v>
      </c>
      <c r="AF26" s="40">
        <f>IF(Z8&gt;0,(AF8/Z8)*100,0)</f>
        <v>95.105283039924188</v>
      </c>
    </row>
    <row r="27" spans="1:32" x14ac:dyDescent="0.2">
      <c r="A27" t="str">
        <f>$A$9</f>
        <v>Professional occupations</v>
      </c>
      <c r="B27" s="18">
        <f t="shared" si="8"/>
        <v>21.665160439704444</v>
      </c>
      <c r="C27" s="18">
        <f t="shared" si="8"/>
        <v>23.229121155315845</v>
      </c>
      <c r="D27" s="18">
        <f t="shared" si="8"/>
        <v>24.308493669620169</v>
      </c>
      <c r="E27" s="18">
        <f t="shared" si="8"/>
        <v>25.389329757278933</v>
      </c>
      <c r="F27" s="18">
        <f t="shared" si="8"/>
        <v>26.638125980246418</v>
      </c>
      <c r="G27" s="11"/>
      <c r="H27" s="40">
        <f t="shared" ref="H27:H36" si="11">IF(D9&gt;0,(H9/D9)*100,0)</f>
        <v>17.294162112684255</v>
      </c>
      <c r="I27" s="40">
        <f t="shared" ref="I27:I36" si="12">IF(D9&gt;0,(I9/D9)*100,0)</f>
        <v>50.407559561938506</v>
      </c>
      <c r="J27" s="40">
        <f t="shared" ref="J27:J36" si="13">IF(D9&gt;0,(J9/D9)*100,0)</f>
        <v>67.701721674622775</v>
      </c>
      <c r="L27" t="str">
        <f>$A$9</f>
        <v>Professional occupations</v>
      </c>
      <c r="M27" s="18">
        <f t="shared" ref="M27:Q27" si="14">M9/M$18*100</f>
        <v>22.789104472810038</v>
      </c>
      <c r="N27" s="18">
        <f t="shared" si="14"/>
        <v>24.016513225668863</v>
      </c>
      <c r="O27" s="18">
        <f t="shared" si="14"/>
        <v>25.218966196277883</v>
      </c>
      <c r="P27" s="18">
        <f t="shared" si="14"/>
        <v>26.171251005635028</v>
      </c>
      <c r="Q27" s="18">
        <f t="shared" si="14"/>
        <v>27.149013661033305</v>
      </c>
      <c r="R27" s="11"/>
      <c r="S27" s="40">
        <f t="shared" ref="S27:S34" si="15">IF(O9&gt;0,(S9/O9)*100,0)</f>
        <v>15.560981768219465</v>
      </c>
      <c r="T27" s="40">
        <f t="shared" ref="T27:T34" si="16">IF(O9&gt;0,(T9/O9)*100,0)</f>
        <v>40.967464886586228</v>
      </c>
      <c r="U27" s="40">
        <f t="shared" ref="U27:U34" si="17">IF(O9&gt;0,(U9/O9)*100,0)</f>
        <v>56.528446654805698</v>
      </c>
      <c r="W27" t="str">
        <f>$A$9</f>
        <v>Professional occupations</v>
      </c>
      <c r="X27" s="18">
        <f t="shared" ref="X27:AB27" si="18">X9/X$18*100</f>
        <v>20.438005324285818</v>
      </c>
      <c r="Y27" s="18">
        <f t="shared" si="18"/>
        <v>22.389357289379603</v>
      </c>
      <c r="Z27" s="18">
        <f t="shared" si="18"/>
        <v>23.360285093347429</v>
      </c>
      <c r="AA27" s="18">
        <f t="shared" si="18"/>
        <v>24.570842881252666</v>
      </c>
      <c r="AB27" s="18">
        <f t="shared" si="18"/>
        <v>26.102914250667613</v>
      </c>
      <c r="AC27" s="11"/>
      <c r="AD27" s="40">
        <f t="shared" ref="AD27:AD34" si="19">IF(Z9&gt;0,(AD9/Z9)*100,0)</f>
        <v>19.242794558447677</v>
      </c>
      <c r="AE27" s="40">
        <f t="shared" ref="AE27:AE34" si="20">IF(Z9&gt;0,(AE9/Z9)*100,0)</f>
        <v>61.021154871981906</v>
      </c>
      <c r="AF27" s="40">
        <f t="shared" ref="AF27:AF34" si="21">IF(Z9&gt;0,(AF9/Z9)*100,0)</f>
        <v>80.263949430429577</v>
      </c>
    </row>
    <row r="28" spans="1:32" x14ac:dyDescent="0.2">
      <c r="A28" t="str">
        <f>$A$10</f>
        <v>Associate professional occupations</v>
      </c>
      <c r="B28" s="18">
        <f t="shared" si="8"/>
        <v>13.648748003813452</v>
      </c>
      <c r="C28" s="18">
        <f t="shared" si="8"/>
        <v>13.604798162826508</v>
      </c>
      <c r="D28" s="18">
        <f t="shared" si="8"/>
        <v>14.351136856491001</v>
      </c>
      <c r="E28" s="18">
        <f t="shared" si="8"/>
        <v>13.738780649087731</v>
      </c>
      <c r="F28" s="18">
        <f t="shared" si="8"/>
        <v>14.103702854425398</v>
      </c>
      <c r="G28" s="11"/>
      <c r="H28" s="40">
        <f t="shared" si="11"/>
        <v>5.190766509830671</v>
      </c>
      <c r="I28" s="40">
        <f t="shared" si="12"/>
        <v>46.061507035882471</v>
      </c>
      <c r="J28" s="40">
        <f t="shared" si="13"/>
        <v>51.252273545713145</v>
      </c>
      <c r="L28" t="str">
        <f>$A$10</f>
        <v>Associate professional occupations</v>
      </c>
      <c r="M28" s="18">
        <f t="shared" ref="M28:Q28" si="22">M10/M$18*100</f>
        <v>14.134539726295115</v>
      </c>
      <c r="N28" s="18">
        <f t="shared" si="22"/>
        <v>13.786521202403145</v>
      </c>
      <c r="O28" s="18">
        <f t="shared" si="22"/>
        <v>14.624914430783232</v>
      </c>
      <c r="P28" s="18">
        <f t="shared" si="22"/>
        <v>13.517764153799844</v>
      </c>
      <c r="Q28" s="18">
        <f t="shared" si="22"/>
        <v>13.504502573647988</v>
      </c>
      <c r="R28" s="11"/>
      <c r="S28" s="40">
        <f t="shared" si="15"/>
        <v>-0.87808028683010586</v>
      </c>
      <c r="T28" s="40">
        <f t="shared" si="16"/>
        <v>36.190200858795635</v>
      </c>
      <c r="U28" s="40">
        <f t="shared" si="17"/>
        <v>35.312120571965529</v>
      </c>
      <c r="W28" t="str">
        <f>$A$10</f>
        <v>Associate professional occupations</v>
      </c>
      <c r="X28" s="18">
        <f t="shared" ref="X28:AB28" si="23">X10/X$18*100</f>
        <v>13.118346329253047</v>
      </c>
      <c r="Y28" s="18">
        <f t="shared" si="23"/>
        <v>13.410988181763136</v>
      </c>
      <c r="Z28" s="18">
        <f t="shared" si="23"/>
        <v>14.066012114849414</v>
      </c>
      <c r="AA28" s="18">
        <f t="shared" si="23"/>
        <v>13.970132720870893</v>
      </c>
      <c r="AB28" s="18">
        <f t="shared" si="23"/>
        <v>14.731431865516514</v>
      </c>
      <c r="AC28" s="11"/>
      <c r="AD28" s="40">
        <f t="shared" si="19"/>
        <v>11.762282277926928</v>
      </c>
      <c r="AE28" s="40">
        <f t="shared" si="20"/>
        <v>56.750431368282037</v>
      </c>
      <c r="AF28" s="40">
        <f t="shared" si="21"/>
        <v>68.512713646208965</v>
      </c>
    </row>
    <row r="29" spans="1:32" x14ac:dyDescent="0.2">
      <c r="A29" t="str">
        <f>$A$11</f>
        <v>Administrative and secretarial occupations</v>
      </c>
      <c r="B29" s="18">
        <f t="shared" si="8"/>
        <v>10.863318185085941</v>
      </c>
      <c r="C29" s="18">
        <f t="shared" si="8"/>
        <v>9.9156014466746178</v>
      </c>
      <c r="D29" s="18">
        <f t="shared" si="8"/>
        <v>10.221517628436811</v>
      </c>
      <c r="E29" s="18">
        <f t="shared" si="8"/>
        <v>9.2494569944382619</v>
      </c>
      <c r="F29" s="18">
        <f t="shared" si="8"/>
        <v>7.9228848841572939</v>
      </c>
      <c r="G29" s="11"/>
      <c r="H29" s="40">
        <f t="shared" si="11"/>
        <v>-17.034269721754306</v>
      </c>
      <c r="I29" s="40">
        <f t="shared" si="12"/>
        <v>45.879144285560827</v>
      </c>
      <c r="J29" s="40">
        <f t="shared" si="13"/>
        <v>28.844874563806528</v>
      </c>
      <c r="L29" t="str">
        <f>$A$11</f>
        <v>Administrative and secretarial occupations</v>
      </c>
      <c r="M29" s="18">
        <f t="shared" ref="M29:Q29" si="24">M11/M$18*100</f>
        <v>4.2782388223437762</v>
      </c>
      <c r="N29" s="18">
        <f t="shared" si="24"/>
        <v>3.8080338525691899</v>
      </c>
      <c r="O29" s="18">
        <f t="shared" si="24"/>
        <v>4.5155583400668924</v>
      </c>
      <c r="P29" s="18">
        <f t="shared" si="24"/>
        <v>4.1614134850458093</v>
      </c>
      <c r="Q29" s="18">
        <f t="shared" si="24"/>
        <v>4.2489156273573636</v>
      </c>
      <c r="R29" s="11"/>
      <c r="S29" s="40">
        <f t="shared" si="15"/>
        <v>1.0069124296150276</v>
      </c>
      <c r="T29" s="40">
        <f t="shared" si="16"/>
        <v>35.766859084941103</v>
      </c>
      <c r="U29" s="40">
        <f t="shared" si="17"/>
        <v>36.773771514556138</v>
      </c>
      <c r="W29" t="str">
        <f>$A$11</f>
        <v>Administrative and secretarial occupations</v>
      </c>
      <c r="X29" s="18">
        <f t="shared" ref="X29:AB29" si="25">X11/X$18*100</f>
        <v>18.053101294746927</v>
      </c>
      <c r="Y29" s="18">
        <f t="shared" si="25"/>
        <v>16.429401581839052</v>
      </c>
      <c r="Z29" s="18">
        <f t="shared" si="25"/>
        <v>16.163969898750771</v>
      </c>
      <c r="AA29" s="18">
        <f t="shared" si="25"/>
        <v>14.575436875204581</v>
      </c>
      <c r="AB29" s="18">
        <f t="shared" si="25"/>
        <v>11.771776752762619</v>
      </c>
      <c r="AC29" s="11"/>
      <c r="AD29" s="40">
        <f t="shared" si="19"/>
        <v>-22.283135284488267</v>
      </c>
      <c r="AE29" s="40">
        <f t="shared" si="20"/>
        <v>48.821192378903035</v>
      </c>
      <c r="AF29" s="40">
        <f t="shared" si="21"/>
        <v>26.538057094414768</v>
      </c>
    </row>
    <row r="30" spans="1:32" x14ac:dyDescent="0.2">
      <c r="A30" t="str">
        <f>$A$12</f>
        <v>Skilled trades occupations</v>
      </c>
      <c r="B30" s="18">
        <f t="shared" si="8"/>
        <v>9.4117972478472911</v>
      </c>
      <c r="C30" s="18">
        <f t="shared" si="8"/>
        <v>8.8211362974751761</v>
      </c>
      <c r="D30" s="18">
        <f t="shared" si="8"/>
        <v>7.9250976547539871</v>
      </c>
      <c r="E30" s="18">
        <f t="shared" si="8"/>
        <v>8.0796142670152147</v>
      </c>
      <c r="F30" s="18">
        <f t="shared" si="8"/>
        <v>7.7563610248888732</v>
      </c>
      <c r="G30" s="11"/>
      <c r="H30" s="40">
        <f t="shared" si="11"/>
        <v>4.7572693484416559</v>
      </c>
      <c r="I30" s="40">
        <f t="shared" si="12"/>
        <v>44.484667506896855</v>
      </c>
      <c r="J30" s="40">
        <f t="shared" si="13"/>
        <v>49.241936855338508</v>
      </c>
      <c r="L30" t="str">
        <f>$A$12</f>
        <v>Skilled trades occupations</v>
      </c>
      <c r="M30" s="18">
        <f t="shared" ref="M30:Q30" si="26">M12/M$18*100</f>
        <v>15.750841775981094</v>
      </c>
      <c r="N30" s="18">
        <f t="shared" si="26"/>
        <v>15.04225197772444</v>
      </c>
      <c r="O30" s="18">
        <f t="shared" si="26"/>
        <v>13.298254434180967</v>
      </c>
      <c r="P30" s="18">
        <f t="shared" si="26"/>
        <v>13.252352341623631</v>
      </c>
      <c r="Q30" s="18">
        <f t="shared" si="26"/>
        <v>12.352753504175338</v>
      </c>
      <c r="R30" s="11"/>
      <c r="S30" s="40">
        <f t="shared" si="15"/>
        <v>-0.28658654677807599</v>
      </c>
      <c r="T30" s="40">
        <f t="shared" si="16"/>
        <v>39.905300799767225</v>
      </c>
      <c r="U30" s="40">
        <f t="shared" si="17"/>
        <v>39.61871425298915</v>
      </c>
      <c r="W30" t="str">
        <f>$A$12</f>
        <v>Skilled trades occupations</v>
      </c>
      <c r="X30" s="18">
        <f t="shared" ref="X30:AB30" si="27">X12/X$18*100</f>
        <v>2.4906421988083167</v>
      </c>
      <c r="Y30" s="18">
        <f t="shared" si="27"/>
        <v>2.1862356542156274</v>
      </c>
      <c r="Z30" s="18">
        <f t="shared" si="27"/>
        <v>2.3292414474131951</v>
      </c>
      <c r="AA30" s="18">
        <f t="shared" si="27"/>
        <v>2.6649791792881525</v>
      </c>
      <c r="AB30" s="18">
        <f t="shared" si="27"/>
        <v>2.9411281250214807</v>
      </c>
      <c r="AC30" s="11"/>
      <c r="AD30" s="40">
        <f t="shared" si="19"/>
        <v>34.747501812226808</v>
      </c>
      <c r="AE30" s="40">
        <f t="shared" si="20"/>
        <v>71.713096497878894</v>
      </c>
      <c r="AF30" s="40">
        <f t="shared" si="21"/>
        <v>106.46059831010568</v>
      </c>
    </row>
    <row r="31" spans="1:32" x14ac:dyDescent="0.2">
      <c r="A31" t="str">
        <f>$A$13</f>
        <v>Caring, leisure and other service occupations</v>
      </c>
      <c r="B31" s="18">
        <f t="shared" si="8"/>
        <v>9.426802538292641</v>
      </c>
      <c r="C31" s="18">
        <f t="shared" si="8"/>
        <v>9.4286887314788714</v>
      </c>
      <c r="D31" s="18">
        <f t="shared" si="8"/>
        <v>9.128449974177915</v>
      </c>
      <c r="E31" s="18">
        <f t="shared" si="8"/>
        <v>9.3783994453388182</v>
      </c>
      <c r="F31" s="18">
        <f t="shared" si="8"/>
        <v>9.5681326283261274</v>
      </c>
      <c r="G31" s="11"/>
      <c r="H31" s="40">
        <f t="shared" si="11"/>
        <v>12.191750209924972</v>
      </c>
      <c r="I31" s="40">
        <f t="shared" si="12"/>
        <v>57.8638809808932</v>
      </c>
      <c r="J31" s="40">
        <f t="shared" si="13"/>
        <v>70.055631190818161</v>
      </c>
      <c r="L31" t="str">
        <f>$A$13</f>
        <v>Caring, leisure and other service occupations</v>
      </c>
      <c r="M31" s="18">
        <f t="shared" ref="M31:Q31" si="28">M13/M$18*100</f>
        <v>4.0769144866771434</v>
      </c>
      <c r="N31" s="18">
        <f t="shared" si="28"/>
        <v>4.036653252240936</v>
      </c>
      <c r="O31" s="18">
        <f t="shared" si="28"/>
        <v>4.00268475743911</v>
      </c>
      <c r="P31" s="18">
        <f t="shared" si="28"/>
        <v>4.4422959590628714</v>
      </c>
      <c r="Q31" s="18">
        <f t="shared" si="28"/>
        <v>4.9164303635208242</v>
      </c>
      <c r="R31" s="11"/>
      <c r="S31" s="40">
        <f t="shared" si="15"/>
        <v>31.850855218273495</v>
      </c>
      <c r="T31" s="40">
        <f t="shared" si="16"/>
        <v>52.286686888983311</v>
      </c>
      <c r="U31" s="40">
        <f t="shared" si="17"/>
        <v>84.13754210725682</v>
      </c>
      <c r="W31" t="str">
        <f>$A$13</f>
        <v>Caring, leisure and other service occupations</v>
      </c>
      <c r="X31" s="18">
        <f t="shared" ref="X31:AB31" si="29">X13/X$18*100</f>
        <v>15.26796748608529</v>
      </c>
      <c r="Y31" s="18">
        <f t="shared" si="29"/>
        <v>15.179364576207846</v>
      </c>
      <c r="Z31" s="18">
        <f t="shared" si="29"/>
        <v>14.466661063659334</v>
      </c>
      <c r="AA31" s="18">
        <f t="shared" si="29"/>
        <v>14.545334006483184</v>
      </c>
      <c r="AB31" s="18">
        <f t="shared" si="29"/>
        <v>14.441308686902252</v>
      </c>
      <c r="AC31" s="11"/>
      <c r="AD31" s="40">
        <f t="shared" si="19"/>
        <v>6.5269596618647254</v>
      </c>
      <c r="AE31" s="40">
        <f t="shared" si="20"/>
        <v>59.470954973485014</v>
      </c>
      <c r="AF31" s="40">
        <f t="shared" si="21"/>
        <v>65.997914635349744</v>
      </c>
    </row>
    <row r="32" spans="1:32" x14ac:dyDescent="0.2">
      <c r="A32" t="str">
        <f>$A$14</f>
        <v>Sales and customer service occupations</v>
      </c>
      <c r="B32" s="18">
        <f t="shared" si="8"/>
        <v>7.8207770537260091</v>
      </c>
      <c r="C32" s="18">
        <f t="shared" si="8"/>
        <v>7.4865145161508089</v>
      </c>
      <c r="D32" s="18">
        <f t="shared" si="8"/>
        <v>7.6511201533016768</v>
      </c>
      <c r="E32" s="18">
        <f t="shared" si="8"/>
        <v>7.4489484063197624</v>
      </c>
      <c r="F32" s="18">
        <f t="shared" si="8"/>
        <v>7.1655971932444089</v>
      </c>
      <c r="H32" s="40">
        <f t="shared" si="11"/>
        <v>0.24394401613206676</v>
      </c>
      <c r="I32" s="40">
        <f t="shared" si="12"/>
        <v>44.414835097252478</v>
      </c>
      <c r="J32" s="40">
        <f t="shared" si="13"/>
        <v>44.658779113384547</v>
      </c>
      <c r="L32" t="str">
        <f>$A$14</f>
        <v>Sales and customer service occupations</v>
      </c>
      <c r="M32" s="18">
        <f t="shared" ref="M32:Q32" si="30">M14/M$18*100</f>
        <v>6.2440039674551633</v>
      </c>
      <c r="N32" s="18">
        <f t="shared" si="30"/>
        <v>6.1035826197859073</v>
      </c>
      <c r="O32" s="18">
        <f t="shared" si="30"/>
        <v>6.4055115158402831</v>
      </c>
      <c r="P32" s="18">
        <f t="shared" si="30"/>
        <v>6.3875895351326539</v>
      </c>
      <c r="Q32" s="18">
        <f t="shared" si="30"/>
        <v>6.3709611263522552</v>
      </c>
      <c r="S32" s="40">
        <f t="shared" si="15"/>
        <v>6.766642376997682</v>
      </c>
      <c r="T32" s="40">
        <f t="shared" si="16"/>
        <v>34.754021611750005</v>
      </c>
      <c r="U32" s="40">
        <f t="shared" si="17"/>
        <v>41.520663988747692</v>
      </c>
      <c r="W32" t="str">
        <f>$A$14</f>
        <v>Sales and customer service occupations</v>
      </c>
      <c r="X32" s="18">
        <f t="shared" ref="X32:AB32" si="31">X14/X$18*100</f>
        <v>9.542344232943325</v>
      </c>
      <c r="Y32" s="18">
        <f t="shared" si="31"/>
        <v>8.9614293385686459</v>
      </c>
      <c r="Z32" s="18">
        <f t="shared" si="31"/>
        <v>8.9483551144224176</v>
      </c>
      <c r="AA32" s="18">
        <f t="shared" si="31"/>
        <v>8.559940477000854</v>
      </c>
      <c r="AB32" s="18">
        <f t="shared" si="31"/>
        <v>7.998066950769207</v>
      </c>
      <c r="AD32" s="40">
        <f t="shared" si="19"/>
        <v>-4.6187275146971523</v>
      </c>
      <c r="AE32" s="40">
        <f t="shared" si="20"/>
        <v>51.616971406737299</v>
      </c>
      <c r="AF32" s="40">
        <f t="shared" si="21"/>
        <v>46.998243892040151</v>
      </c>
    </row>
    <row r="33" spans="1:32" x14ac:dyDescent="0.2">
      <c r="A33" t="str">
        <f>$A$15</f>
        <v>Process, plant and machine operatives</v>
      </c>
      <c r="B33" s="18">
        <f t="shared" si="8"/>
        <v>4.3772791636321768</v>
      </c>
      <c r="C33" s="18">
        <f t="shared" si="8"/>
        <v>4.5035513225560626</v>
      </c>
      <c r="D33" s="18">
        <f t="shared" si="8"/>
        <v>3.8910222941959449</v>
      </c>
      <c r="E33" s="18">
        <f t="shared" si="8"/>
        <v>4.270614038546654</v>
      </c>
      <c r="F33" s="18">
        <f t="shared" si="8"/>
        <v>4.111253239627259</v>
      </c>
      <c r="G33" s="11"/>
      <c r="H33" s="40">
        <f t="shared" si="11"/>
        <v>13.09444818998089</v>
      </c>
      <c r="I33" s="40">
        <f t="shared" si="12"/>
        <v>52.88048661602609</v>
      </c>
      <c r="J33" s="40">
        <f t="shared" si="13"/>
        <v>65.974934806006985</v>
      </c>
      <c r="L33" t="str">
        <f>$A$15</f>
        <v>Process, plant and machine operatives</v>
      </c>
      <c r="M33" s="18">
        <f t="shared" ref="M33:Q33" si="32">M15/M$18*100</f>
        <v>7.3632461878363937</v>
      </c>
      <c r="N33" s="18">
        <f t="shared" si="32"/>
        <v>7.7394705866152966</v>
      </c>
      <c r="O33" s="18">
        <f t="shared" si="32"/>
        <v>6.7435554418339816</v>
      </c>
      <c r="P33" s="18">
        <f t="shared" si="32"/>
        <v>7.2011202579073359</v>
      </c>
      <c r="Q33" s="18">
        <f t="shared" si="32"/>
        <v>6.8329591430783179</v>
      </c>
      <c r="R33" s="11"/>
      <c r="S33" s="40">
        <f t="shared" si="15"/>
        <v>8.7688001604885013</v>
      </c>
      <c r="T33" s="40">
        <f t="shared" si="16"/>
        <v>50.354059961010108</v>
      </c>
      <c r="U33" s="40">
        <f t="shared" si="17"/>
        <v>59.122860121498611</v>
      </c>
      <c r="W33" t="str">
        <f>$A$15</f>
        <v>Process, plant and machine operatives</v>
      </c>
      <c r="X33" s="18">
        <f t="shared" ref="X33:AB33" si="33">X15/X$18*100</f>
        <v>1.117112642618787</v>
      </c>
      <c r="Y33" s="18">
        <f t="shared" si="33"/>
        <v>1.0524014147018512</v>
      </c>
      <c r="Z33" s="18">
        <f t="shared" si="33"/>
        <v>0.9202611613786047</v>
      </c>
      <c r="AA33" s="18">
        <f t="shared" si="33"/>
        <v>1.2030661419998279</v>
      </c>
      <c r="AB33" s="18">
        <f t="shared" si="33"/>
        <v>1.259963261862922</v>
      </c>
      <c r="AC33" s="11"/>
      <c r="AD33" s="40">
        <f t="shared" si="19"/>
        <v>46.106008435930008</v>
      </c>
      <c r="AE33" s="40">
        <f t="shared" si="20"/>
        <v>72.161132003815808</v>
      </c>
      <c r="AF33" s="40">
        <f t="shared" si="21"/>
        <v>118.26714043974582</v>
      </c>
    </row>
    <row r="34" spans="1:32" x14ac:dyDescent="0.2">
      <c r="A34" t="str">
        <f>$A$16</f>
        <v>Elementary occupations</v>
      </c>
      <c r="B34" s="18">
        <f t="shared" si="8"/>
        <v>11.245905962498078</v>
      </c>
      <c r="C34" s="18">
        <f t="shared" si="8"/>
        <v>10.554959894220515</v>
      </c>
      <c r="D34" s="18">
        <f t="shared" si="8"/>
        <v>9.8092061594795421</v>
      </c>
      <c r="E34" s="18">
        <f t="shared" si="8"/>
        <v>9.6701477035516756</v>
      </c>
      <c r="F34" s="18">
        <f t="shared" si="8"/>
        <v>9.0167658589540132</v>
      </c>
      <c r="G34" s="11"/>
      <c r="H34" s="40">
        <f t="shared" si="11"/>
        <v>-1.6107371950650837</v>
      </c>
      <c r="I34" s="40">
        <f t="shared" si="12"/>
        <v>47.58813196062097</v>
      </c>
      <c r="J34" s="40">
        <f t="shared" si="13"/>
        <v>45.977394765555893</v>
      </c>
      <c r="L34" t="str">
        <f>$A$16</f>
        <v>Elementary occupations</v>
      </c>
      <c r="M34" s="18">
        <f t="shared" ref="M34:Q34" si="34">M16/M$18*100</f>
        <v>10.974458555255119</v>
      </c>
      <c r="N34" s="18">
        <f t="shared" si="34"/>
        <v>10.233116371342803</v>
      </c>
      <c r="O34" s="18">
        <f t="shared" si="34"/>
        <v>9.716675049949238</v>
      </c>
      <c r="P34" s="18">
        <f t="shared" si="34"/>
        <v>9.7454966106032792</v>
      </c>
      <c r="Q34" s="18">
        <f t="shared" si="34"/>
        <v>8.9203077784395486</v>
      </c>
      <c r="R34" s="11"/>
      <c r="S34" s="40">
        <f t="shared" si="15"/>
        <v>-1.4522742211728765</v>
      </c>
      <c r="T34" s="40">
        <f t="shared" si="16"/>
        <v>38.803128527825187</v>
      </c>
      <c r="U34" s="40">
        <f t="shared" si="17"/>
        <v>37.350854306652316</v>
      </c>
      <c r="W34" t="str">
        <f>$A$16</f>
        <v>Elementary occupations</v>
      </c>
      <c r="X34" s="18">
        <f t="shared" ref="X34:AB34" si="35">X16/X$18*100</f>
        <v>11.542280216512182</v>
      </c>
      <c r="Y34" s="18">
        <f t="shared" si="35"/>
        <v>10.898210189943173</v>
      </c>
      <c r="Z34" s="18">
        <f t="shared" si="35"/>
        <v>9.9055723748894202</v>
      </c>
      <c r="AA34" s="18">
        <f t="shared" si="35"/>
        <v>9.5912751934692295</v>
      </c>
      <c r="AB34" s="18">
        <f t="shared" si="35"/>
        <v>9.1178164382603573</v>
      </c>
      <c r="AC34" s="11"/>
      <c r="AD34" s="40">
        <f t="shared" si="19"/>
        <v>-1.772620826914864</v>
      </c>
      <c r="AE34" s="40">
        <f t="shared" si="20"/>
        <v>56.56277270211649</v>
      </c>
      <c r="AF34" s="40">
        <f t="shared" si="21"/>
        <v>54.790151875201623</v>
      </c>
    </row>
    <row r="35" spans="1:32" x14ac:dyDescent="0.2">
      <c r="B35" s="18"/>
      <c r="C35" s="18"/>
      <c r="D35" s="18"/>
      <c r="E35" s="18"/>
      <c r="F35" s="18"/>
      <c r="G35" s="11"/>
      <c r="H35" s="40"/>
      <c r="I35" s="40"/>
      <c r="J35" s="40"/>
      <c r="M35" s="18"/>
      <c r="N35" s="18"/>
      <c r="O35" s="18"/>
      <c r="P35" s="18"/>
      <c r="Q35" s="18"/>
      <c r="R35" s="11"/>
      <c r="S35" s="40"/>
      <c r="T35" s="40"/>
      <c r="U35" s="40"/>
      <c r="X35" s="18"/>
      <c r="Y35" s="18"/>
      <c r="Z35" s="18"/>
      <c r="AA35" s="18"/>
      <c r="AB35" s="18"/>
      <c r="AC35" s="11"/>
      <c r="AD35" s="40"/>
      <c r="AE35" s="40"/>
      <c r="AF35" s="40"/>
    </row>
    <row r="36" spans="1:32" x14ac:dyDescent="0.2">
      <c r="A36" s="24" t="str">
        <f>$A$18</f>
        <v>All occupations</v>
      </c>
      <c r="B36" s="26">
        <f>B18/B$18*100</f>
        <v>100</v>
      </c>
      <c r="C36" s="26">
        <f>C18/C$18*100</f>
        <v>100</v>
      </c>
      <c r="D36" s="26">
        <f>D18/D$18*100</f>
        <v>100</v>
      </c>
      <c r="E36" s="26">
        <f>E18/E$18*100</f>
        <v>100</v>
      </c>
      <c r="F36" s="26">
        <f>F18/F$18*100</f>
        <v>100</v>
      </c>
      <c r="G36" s="11"/>
      <c r="H36" s="43">
        <f t="shared" si="11"/>
        <v>7.0362231680237182</v>
      </c>
      <c r="I36" s="43">
        <f t="shared" si="12"/>
        <v>49.72078771764663</v>
      </c>
      <c r="J36" s="43">
        <f t="shared" si="13"/>
        <v>56.757010885670347</v>
      </c>
      <c r="L36" s="24" t="str">
        <f>$A$18</f>
        <v>All occupations</v>
      </c>
      <c r="M36" s="26">
        <f>M18/M$18*100</f>
        <v>100</v>
      </c>
      <c r="N36" s="26">
        <f>N18/N$18*100</f>
        <v>100</v>
      </c>
      <c r="O36" s="26">
        <f>O18/O$18*100</f>
        <v>100</v>
      </c>
      <c r="P36" s="26">
        <f>P18/P$18*100</f>
        <v>100</v>
      </c>
      <c r="Q36" s="26">
        <f>Q18/Q$18*100</f>
        <v>100</v>
      </c>
      <c r="R36" s="11"/>
      <c r="S36" s="43">
        <f t="shared" ref="S36" si="36">IF(O18&gt;0,(S18/O18)*100,0)</f>
        <v>7.3456490614359122</v>
      </c>
      <c r="T36" s="43">
        <f t="shared" ref="T36" si="37">IF(O18&gt;0,(T18/O18)*100,0)</f>
        <v>41.704640442883267</v>
      </c>
      <c r="U36" s="43">
        <f t="shared" ref="U36" si="38">IF(O18&gt;0,(U18/O18)*100,0)</f>
        <v>49.050289504319181</v>
      </c>
      <c r="W36" s="24" t="str">
        <f>$A$18</f>
        <v>All occupations</v>
      </c>
      <c r="X36" s="26">
        <f>X18/X$18*100</f>
        <v>100</v>
      </c>
      <c r="Y36" s="26">
        <f>Y18/Y$18*100</f>
        <v>100</v>
      </c>
      <c r="Z36" s="26">
        <f>Z18/Z$18*100</f>
        <v>100</v>
      </c>
      <c r="AA36" s="26">
        <f>AA18/AA$18*100</f>
        <v>100</v>
      </c>
      <c r="AB36" s="26">
        <f>AB18/AB$18*100</f>
        <v>100</v>
      </c>
      <c r="AC36" s="11"/>
      <c r="AD36" s="43">
        <f t="shared" ref="AD36" si="39">IF(Z18&gt;0,(AD18/Z18)*100,0)</f>
        <v>6.7139726033291867</v>
      </c>
      <c r="AE36" s="43">
        <f t="shared" ref="AE36" si="40">IF(Z18&gt;0,(AE18/Z18)*100,0)</f>
        <v>58.069177561433428</v>
      </c>
      <c r="AF36" s="43">
        <f t="shared" ref="AF36" si="41">IF(Z18&gt;0,(AF18/Z18)*100,0)</f>
        <v>64.783150164762617</v>
      </c>
    </row>
    <row r="37" spans="1:32" x14ac:dyDescent="0.2">
      <c r="B37" s="18"/>
      <c r="C37" s="18"/>
      <c r="D37" s="18"/>
      <c r="E37" s="18"/>
      <c r="F37" s="18"/>
      <c r="G37" s="11"/>
      <c r="M37" s="18"/>
      <c r="N37" s="18"/>
      <c r="O37" s="18"/>
      <c r="P37" s="18"/>
      <c r="Q37" s="18"/>
      <c r="R37" s="11"/>
      <c r="X37" s="18"/>
      <c r="Y37" s="18"/>
      <c r="Z37" s="18"/>
      <c r="AA37" s="18"/>
      <c r="AB37" s="18"/>
      <c r="AC37" s="11"/>
    </row>
    <row r="38" spans="1:32" x14ac:dyDescent="0.2">
      <c r="B38" s="18"/>
      <c r="C38" s="18"/>
      <c r="D38" s="18"/>
      <c r="E38" s="18"/>
      <c r="F38" s="18"/>
      <c r="G38" s="11"/>
      <c r="M38" s="18"/>
      <c r="N38" s="18"/>
      <c r="O38" s="18"/>
      <c r="P38" s="18"/>
      <c r="Q38" s="18"/>
      <c r="R38" s="11"/>
      <c r="X38" s="18"/>
      <c r="Y38" s="18"/>
      <c r="Z38" s="18"/>
      <c r="AA38" s="18"/>
      <c r="AB38" s="18"/>
      <c r="AC38" s="11"/>
    </row>
    <row r="39" spans="1:32" ht="15.75" x14ac:dyDescent="0.25">
      <c r="A39" s="19" t="str">
        <f>CONCATENATE(A$1," (Continued)")</f>
        <v>Occupation Table 1  Employment Change by Occupation Group (SOC 2020) and Replacement Demand, 2015-2035, Enterprise M3 (Continued)</v>
      </c>
      <c r="B39" s="18"/>
      <c r="C39" s="18"/>
      <c r="D39" s="18"/>
      <c r="E39" s="18"/>
      <c r="F39" s="18"/>
      <c r="G39" s="11"/>
      <c r="L39" s="19" t="str">
        <f>CONCATENATE(L$1," (Continued)")</f>
        <v>Occupation Table 1.1  Males: Employment Change by Occupation Group (SOC 2020) and Replacement Demand, 2015-2035, Enterprise M3 (Continued)</v>
      </c>
      <c r="M39" s="18"/>
      <c r="N39" s="18"/>
      <c r="O39" s="18"/>
      <c r="P39" s="18"/>
      <c r="Q39" s="18"/>
      <c r="R39" s="11"/>
      <c r="W39" s="19" t="str">
        <f>CONCATENATE(W$1," (Continued)")</f>
        <v>Occupation Table 1.2  Females: Employment Change by Occupation Group (SOC 2020) and Replacement Demand, 2015-2035, Enterprise M3 (Continued)</v>
      </c>
      <c r="X39" s="18"/>
      <c r="Y39" s="18"/>
      <c r="Z39" s="18"/>
      <c r="AA39" s="18"/>
      <c r="AB39" s="18"/>
      <c r="AC39" s="11"/>
    </row>
    <row r="40" spans="1:32" x14ac:dyDescent="0.2">
      <c r="B40" s="18"/>
      <c r="C40" s="18"/>
      <c r="D40" s="18"/>
      <c r="E40" s="18"/>
      <c r="F40" s="18"/>
      <c r="G40" s="11"/>
      <c r="M40" s="18"/>
      <c r="N40" s="18"/>
      <c r="O40" s="18"/>
      <c r="P40" s="18"/>
      <c r="Q40" s="18"/>
      <c r="R40" s="11"/>
      <c r="X40" s="18"/>
      <c r="Y40" s="18"/>
      <c r="Z40" s="18"/>
      <c r="AA40" s="18"/>
      <c r="AB40" s="18"/>
      <c r="AC40" s="11"/>
    </row>
    <row r="41" spans="1:32" x14ac:dyDescent="0.2">
      <c r="B41" s="18"/>
      <c r="C41" s="18"/>
      <c r="D41" s="18"/>
      <c r="E41" s="18"/>
      <c r="F41" s="16" t="s">
        <v>38</v>
      </c>
      <c r="G41" s="11"/>
      <c r="J41" s="16" t="s">
        <v>38</v>
      </c>
      <c r="M41" s="18"/>
      <c r="N41" s="18"/>
      <c r="O41" s="18"/>
      <c r="P41" s="18"/>
      <c r="Q41" s="16" t="s">
        <v>38</v>
      </c>
      <c r="R41" s="11"/>
      <c r="U41" s="16" t="s">
        <v>38</v>
      </c>
      <c r="X41" s="18"/>
      <c r="Y41" s="18"/>
      <c r="Z41" s="18"/>
      <c r="AA41" s="18"/>
      <c r="AB41" s="16" t="s">
        <v>38</v>
      </c>
      <c r="AC41" s="11"/>
      <c r="AF41" s="16" t="s">
        <v>38</v>
      </c>
    </row>
    <row r="42" spans="1:32" x14ac:dyDescent="0.2">
      <c r="A42" s="36"/>
      <c r="B42" s="66"/>
      <c r="C42" s="66"/>
      <c r="D42" s="66"/>
      <c r="E42" s="66"/>
      <c r="F42" s="66"/>
      <c r="G42" s="11"/>
      <c r="H42" s="28" t="str">
        <f>H4</f>
        <v>2020-2035</v>
      </c>
      <c r="I42" s="36"/>
      <c r="J42" s="36"/>
      <c r="L42" s="36"/>
      <c r="M42" s="66"/>
      <c r="N42" s="66"/>
      <c r="O42" s="66"/>
      <c r="P42" s="66"/>
      <c r="Q42" s="66"/>
      <c r="R42" s="11"/>
      <c r="S42" s="28" t="str">
        <f>S4</f>
        <v>2020-2035</v>
      </c>
      <c r="T42" s="36"/>
      <c r="U42" s="36"/>
      <c r="W42" s="36"/>
      <c r="X42" s="66"/>
      <c r="Y42" s="66"/>
      <c r="Z42" s="66"/>
      <c r="AA42" s="66"/>
      <c r="AB42" s="66"/>
      <c r="AC42" s="11"/>
      <c r="AD42" s="28" t="str">
        <f>AD4</f>
        <v>2020-2035</v>
      </c>
      <c r="AE42" s="36"/>
      <c r="AF42" s="36"/>
    </row>
    <row r="43" spans="1:32" x14ac:dyDescent="0.2">
      <c r="H43" t="str">
        <f>H5</f>
        <v>Net</v>
      </c>
      <c r="I43" t="str">
        <f>I5</f>
        <v>Replacement</v>
      </c>
      <c r="J43" t="str">
        <f>J5</f>
        <v>Total</v>
      </c>
      <c r="S43" t="str">
        <f>S5</f>
        <v>Net</v>
      </c>
      <c r="T43" t="str">
        <f>T5</f>
        <v>Replacement</v>
      </c>
      <c r="U43" t="str">
        <f>U5</f>
        <v>Total</v>
      </c>
      <c r="AD43" t="str">
        <f>AD5</f>
        <v>Net</v>
      </c>
      <c r="AE43" t="str">
        <f>AE5</f>
        <v>Replacement</v>
      </c>
      <c r="AF43" t="str">
        <f>AF5</f>
        <v>Total</v>
      </c>
    </row>
    <row r="44" spans="1:32" x14ac:dyDescent="0.2">
      <c r="A44" s="41" t="s">
        <v>39</v>
      </c>
      <c r="B44" s="64" t="str">
        <f>CONCATENATE(B$6,"-",C$6)</f>
        <v>2015-2019</v>
      </c>
      <c r="C44" s="64" t="str">
        <f>CONCATENATE(C$6,"-",D$6)</f>
        <v>2019-2020</v>
      </c>
      <c r="D44" s="64" t="str">
        <f>CONCATENATE(D$6,"-",E$6)</f>
        <v>2020-2025</v>
      </c>
      <c r="E44" s="64" t="str">
        <f>CONCATENATE(E$6,"-",F$6)</f>
        <v>2025-2035</v>
      </c>
      <c r="F44" s="64" t="str">
        <f>CONCATENATE(D$6,"-",F$6)</f>
        <v>2020-2035</v>
      </c>
      <c r="H44" s="24" t="str">
        <f>H6</f>
        <v>Change</v>
      </c>
      <c r="I44" s="24" t="str">
        <f>I6</f>
        <v>Demand</v>
      </c>
      <c r="J44" s="24" t="str">
        <f>J6</f>
        <v>Requirement</v>
      </c>
      <c r="L44" s="41" t="s">
        <v>39</v>
      </c>
      <c r="M44" s="64" t="str">
        <f>CONCATENATE(M$6,"-",N$6)</f>
        <v>2015-2019</v>
      </c>
      <c r="N44" s="64" t="str">
        <f>CONCATENATE(N$6,"-",O$6)</f>
        <v>2019-2020</v>
      </c>
      <c r="O44" s="64" t="str">
        <f>CONCATENATE(O$6,"-",P$6)</f>
        <v>2020-2025</v>
      </c>
      <c r="P44" s="64" t="str">
        <f>CONCATENATE(P$6,"-",Q$6)</f>
        <v>2025-2035</v>
      </c>
      <c r="Q44" s="64" t="str">
        <f>CONCATENATE(O$6,"-",Q$6)</f>
        <v>2020-2035</v>
      </c>
      <c r="S44" s="24" t="str">
        <f>S6</f>
        <v>Change</v>
      </c>
      <c r="T44" s="24" t="str">
        <f>T6</f>
        <v>Demand</v>
      </c>
      <c r="U44" s="24" t="str">
        <f>U6</f>
        <v>Requirement</v>
      </c>
      <c r="W44" s="41" t="s">
        <v>39</v>
      </c>
      <c r="X44" s="64" t="str">
        <f>CONCATENATE(X$6,"-",Y$6)</f>
        <v>2015-2019</v>
      </c>
      <c r="Y44" s="64" t="str">
        <f>CONCATENATE(Y$6,"-",Z$6)</f>
        <v>2019-2020</v>
      </c>
      <c r="Z44" s="64" t="str">
        <f>CONCATENATE(Z$6,"-",AA$6)</f>
        <v>2020-2025</v>
      </c>
      <c r="AA44" s="64" t="str">
        <f>CONCATENATE(AA$6,"-",AB$6)</f>
        <v>2025-2035</v>
      </c>
      <c r="AB44" s="64" t="str">
        <f>CONCATENATE(Z$6,"-",AB$6)</f>
        <v>2020-2035</v>
      </c>
      <c r="AD44" s="24" t="str">
        <f>AD6</f>
        <v>Change</v>
      </c>
      <c r="AE44" s="24" t="str">
        <f>AE6</f>
        <v>Demand</v>
      </c>
      <c r="AF44" s="24" t="str">
        <f>AF6</f>
        <v>Requirement</v>
      </c>
    </row>
    <row r="45" spans="1:32" x14ac:dyDescent="0.2">
      <c r="A45" s="1"/>
      <c r="B45" s="20"/>
      <c r="C45" s="20"/>
      <c r="D45" s="20"/>
      <c r="E45" s="20"/>
      <c r="F45" s="20"/>
      <c r="L45" s="1"/>
      <c r="M45" s="20"/>
      <c r="N45" s="20"/>
      <c r="O45" s="20"/>
      <c r="P45" s="20"/>
      <c r="Q45" s="20"/>
      <c r="W45" s="1"/>
      <c r="X45" s="20"/>
      <c r="Y45" s="20"/>
      <c r="Z45" s="20"/>
      <c r="AA45" s="20"/>
      <c r="AB45" s="20"/>
    </row>
    <row r="46" spans="1:32" x14ac:dyDescent="0.2">
      <c r="A46" t="str">
        <f>$A$8</f>
        <v>Managers, directors and senior officials</v>
      </c>
      <c r="B46" s="18">
        <f t="shared" ref="B46:E54" si="42">IF(C$6-B$6 &lt;&gt; 0,(EXP(LN(C8/B8)/(C$6-B$6))-1)*100,0)</f>
        <v>2.4367331079079291</v>
      </c>
      <c r="C46" s="18">
        <f t="shared" si="42"/>
        <v>1.3989843330097784E-2</v>
      </c>
      <c r="D46" s="18">
        <f t="shared" si="42"/>
        <v>0.67532681027486774</v>
      </c>
      <c r="E46" s="18">
        <f t="shared" si="42"/>
        <v>1.1090329613217209</v>
      </c>
      <c r="F46" s="18">
        <f>IF(F$6-D$6 &lt;&gt; 0,(EXP(LN(F8/D8)/(F$6-D$6))-1)*100,0)</f>
        <v>0.96425704162383941</v>
      </c>
      <c r="H46" s="18">
        <f>IF($F$6-$D$6 &lt;&gt; 0,(EXP(LN(1+(H26/100))/($F$6-$D$6))-1)*100,0)</f>
        <v>0.96425704162383941</v>
      </c>
      <c r="I46" s="18">
        <f>IF($F$6-$D$6 &lt;&gt; 0,(EXP(LN(1+(I26/100))/($F$6-$D$6))-1)*100,0)</f>
        <v>3.049141674276612</v>
      </c>
      <c r="J46" s="18">
        <f>IF($F$6-$D$6 &lt;&gt; 0,(EXP(LN(1+(J26/100))/($F$6-$D$6))-1)*100,0)</f>
        <v>3.6976092380074821</v>
      </c>
      <c r="L46" t="str">
        <f>$A$8</f>
        <v>Managers, directors and senior officials</v>
      </c>
      <c r="M46" s="18">
        <f t="shared" ref="M46:M54" si="43">IF(N$6-M$6 &lt;&gt; 0,(EXP(LN(N8/M8)/(N$6-M$6))-1)*100,0)</f>
        <v>1.6576492455118164</v>
      </c>
      <c r="N46" s="18">
        <f t="shared" ref="N46:N54" si="44">IF(O$6-N$6 &lt;&gt; 0,(EXP(LN(O8/N8)/(O$6-N$6))-1)*100,0)</f>
        <v>-1.6201757088717517</v>
      </c>
      <c r="O46" s="18">
        <f t="shared" ref="O46:O54" si="45">IF(P$6-O$6 &lt;&gt; 0,(EXP(LN(P8/O8)/(P$6-O$6))-1)*100,0)</f>
        <v>0.16592623772426762</v>
      </c>
      <c r="P46" s="18">
        <f t="shared" ref="P46:P54" si="46">IF(Q$6-P$6 &lt;&gt; 0,(EXP(LN(Q8/P8)/(Q$6-P$6))-1)*100,0)</f>
        <v>0.77666395824504963</v>
      </c>
      <c r="Q46" s="18">
        <f>IF(Q$6-O$6 &lt;&gt; 0,(EXP(LN(Q8/O8)/(Q$6-O$6))-1)*100,0)</f>
        <v>0.57267207680486987</v>
      </c>
      <c r="S46" s="18">
        <f>IF($F$6-$D$6 &lt;&gt; 0,(EXP(LN(1+(S26/100))/($F$6-$D$6))-1)*100,0)</f>
        <v>0.57267207680486987</v>
      </c>
      <c r="T46" s="18">
        <f>IF($F$6-$D$6 &lt;&gt; 0,(EXP(LN(1+(T26/100))/($F$6-$D$6))-1)*100,0)</f>
        <v>2.7212005451009658</v>
      </c>
      <c r="U46" s="18">
        <f>IF($F$6-$D$6 &lt;&gt; 0,(EXP(LN(1+(U26/100))/($F$6-$D$6))-1)*100,0)</f>
        <v>3.1196084674266267</v>
      </c>
      <c r="W46" t="str">
        <f>$A$8</f>
        <v>Managers, directors and senior officials</v>
      </c>
      <c r="X46" s="18">
        <f t="shared" ref="X46:X54" si="47">IF(Y$6-X$6 &lt;&gt; 0,(EXP(LN(Y8/X8)/(Y$6-X$6))-1)*100,0)</f>
        <v>3.8428828144589033</v>
      </c>
      <c r="Y46" s="18">
        <f t="shared" ref="Y46:Y54" si="48">IF(Z$6-Y$6 &lt;&gt; 0,(EXP(LN(Z8/Y8)/(Z$6-Y$6))-1)*100,0)</f>
        <v>2.8109504562886301</v>
      </c>
      <c r="Z46" s="18">
        <f t="shared" ref="Z46:Z54" si="49">IF(AA$6-Z$6 &lt;&gt; 0,(EXP(LN(AA8/Z8)/(AA$6-Z$6))-1)*100,0)</f>
        <v>1.4879893227514041</v>
      </c>
      <c r="AA46" s="18">
        <f t="shared" ref="AA46:AA54" si="50">IF(AB$6-AA$6 &lt;&gt; 0,(EXP(LN(AB8/AA8)/(AB$6-AA$6))-1)*100,0)</f>
        <v>1.6004732005745481</v>
      </c>
      <c r="AB46" s="18">
        <f>IF(AB$6-Z$6 &lt;&gt; 0,(EXP(LN(AB8/Z8)/(AB$6-Z$6))-1)*100,0)</f>
        <v>1.5629647291044657</v>
      </c>
      <c r="AD46" s="18">
        <f>IF($F$6-$D$6 &lt;&gt; 0,(EXP(LN(1+(AD26/100))/($F$6-$D$6))-1)*100,0)</f>
        <v>1.5629647291044657</v>
      </c>
      <c r="AE46" s="18">
        <f>IF($F$6-$D$6 &lt;&gt; 0,(EXP(LN(1+(AE26/100))/($F$6-$D$6))-1)*100,0)</f>
        <v>3.5565683479824139</v>
      </c>
      <c r="AF46" s="18">
        <f>IF($F$6-$D$6 &lt;&gt; 0,(EXP(LN(1+(AF26/100))/($F$6-$D$6))-1)*100,0)</f>
        <v>4.5565557804968959</v>
      </c>
    </row>
    <row r="47" spans="1:32" x14ac:dyDescent="0.2">
      <c r="A47" t="str">
        <f>$A$9</f>
        <v>Professional occupations</v>
      </c>
      <c r="B47" s="18">
        <f t="shared" si="42"/>
        <v>2.2669883793781098</v>
      </c>
      <c r="C47" s="18">
        <f t="shared" si="42"/>
        <v>2.5347262416111738</v>
      </c>
      <c r="D47" s="18">
        <f t="shared" si="42"/>
        <v>1.4583096690333974</v>
      </c>
      <c r="E47" s="18">
        <f t="shared" si="42"/>
        <v>0.87506520417817146</v>
      </c>
      <c r="F47" s="18">
        <f>IF(F$6-D$6 &lt;&gt; 0,(EXP(LN(F9/D9)/(F$6-D$6))-1)*100,0)</f>
        <v>1.0691065323153781</v>
      </c>
      <c r="H47" s="18">
        <f t="shared" ref="H47:J56" si="51">IF($F$6-$D$6 &lt;&gt; 0,(EXP(LN(1+(H27/100))/($F$6-$D$6))-1)*100,0)</f>
        <v>1.0691065323153781</v>
      </c>
      <c r="I47" s="18">
        <f t="shared" si="51"/>
        <v>2.7585524198373568</v>
      </c>
      <c r="J47" s="18">
        <f t="shared" si="51"/>
        <v>3.5068681319991191</v>
      </c>
      <c r="L47" t="str">
        <f>$A$9</f>
        <v>Professional occupations</v>
      </c>
      <c r="M47" s="18">
        <f t="shared" si="43"/>
        <v>1.5402658510598854</v>
      </c>
      <c r="N47" s="18">
        <f t="shared" si="44"/>
        <v>1.7030596447316748</v>
      </c>
      <c r="O47" s="18">
        <f t="shared" si="45"/>
        <v>1.3782571855016412</v>
      </c>
      <c r="P47" s="18">
        <f t="shared" si="46"/>
        <v>0.76476858351768318</v>
      </c>
      <c r="Q47" s="18">
        <f>IF(Q$6-O$6 &lt;&gt; 0,(EXP(LN(Q9/O9)/(Q$6-O$6))-1)*100,0)</f>
        <v>0.96885116917666547</v>
      </c>
      <c r="S47" s="18">
        <f t="shared" ref="S47:U47" si="52">IF($F$6-$D$6 &lt;&gt; 0,(EXP(LN(1+(S27/100))/($F$6-$D$6))-1)*100,0)</f>
        <v>0.96885116917666547</v>
      </c>
      <c r="T47" s="18">
        <f t="shared" si="52"/>
        <v>2.3154595691711188</v>
      </c>
      <c r="U47" s="18">
        <f t="shared" si="52"/>
        <v>3.0321790780315494</v>
      </c>
      <c r="W47" t="str">
        <f>$A$9</f>
        <v>Professional occupations</v>
      </c>
      <c r="X47" s="18">
        <f t="shared" si="47"/>
        <v>3.131315887501751</v>
      </c>
      <c r="Y47" s="18">
        <f t="shared" si="48"/>
        <v>3.4861713428750107</v>
      </c>
      <c r="Z47" s="18">
        <f t="shared" si="49"/>
        <v>1.5480128201084575</v>
      </c>
      <c r="AA47" s="18">
        <f t="shared" si="50"/>
        <v>0.99677354225748971</v>
      </c>
      <c r="AB47" s="18">
        <f>IF(AB$6-Z$6 &lt;&gt; 0,(EXP(LN(AB9/Z9)/(AB$6-Z$6))-1)*100,0)</f>
        <v>1.1801866828666574</v>
      </c>
      <c r="AD47" s="18">
        <f t="shared" ref="AD47:AF47" si="53">IF($F$6-$D$6 &lt;&gt; 0,(EXP(LN(1+(AD27/100))/($F$6-$D$6))-1)*100,0)</f>
        <v>1.1801866828666574</v>
      </c>
      <c r="AE47" s="18">
        <f t="shared" si="53"/>
        <v>3.2267361236961278</v>
      </c>
      <c r="AF47" s="18">
        <f t="shared" si="53"/>
        <v>4.0065264074583329</v>
      </c>
    </row>
    <row r="48" spans="1:32" x14ac:dyDescent="0.2">
      <c r="A48" t="str">
        <f>$A$10</f>
        <v>Associate professional occupations</v>
      </c>
      <c r="B48" s="18">
        <f t="shared" si="42"/>
        <v>0.41938823198097719</v>
      </c>
      <c r="C48" s="18">
        <f t="shared" si="42"/>
        <v>3.3570036806530812</v>
      </c>
      <c r="D48" s="18">
        <f t="shared" si="42"/>
        <v>-0.29398439778722807</v>
      </c>
      <c r="E48" s="18">
        <f t="shared" si="42"/>
        <v>0.65540049751693363</v>
      </c>
      <c r="F48" s="18">
        <f t="shared" ref="F48:F56" si="54">IF(F$6-D$6 &lt;&gt; 0,(EXP(LN(F10/D10)/(F$6-D$6))-1)*100,0)</f>
        <v>0.33793866045672694</v>
      </c>
      <c r="H48" s="18">
        <f t="shared" si="51"/>
        <v>0.33793866045672694</v>
      </c>
      <c r="I48" s="18">
        <f t="shared" si="51"/>
        <v>2.5578840060278774</v>
      </c>
      <c r="J48" s="18">
        <f t="shared" si="51"/>
        <v>2.7969258943586039</v>
      </c>
      <c r="L48" t="str">
        <f>$A$10</f>
        <v>Associate professional occupations</v>
      </c>
      <c r="M48" s="18">
        <f t="shared" si="43"/>
        <v>-0.40538029994646729</v>
      </c>
      <c r="N48" s="18">
        <f t="shared" si="44"/>
        <v>2.7437316803706979</v>
      </c>
      <c r="O48" s="18">
        <f t="shared" si="45"/>
        <v>-0.94242623805702586</v>
      </c>
      <c r="P48" s="18">
        <f>IF(Q$6-P$6 &lt;&gt; 0,(EXP(LN(Q10/P10)/(Q$6-P$6))-1)*100,0)</f>
        <v>0.3859948226117238</v>
      </c>
      <c r="Q48" s="18">
        <f t="shared" ref="Q48:Q54" si="55">IF(Q$6-O$6 &lt;&gt; 0,(EXP(LN(Q10/O10)/(Q$6-O$6))-1)*100,0)</f>
        <v>-5.8779926418428552E-2</v>
      </c>
      <c r="S48" s="18">
        <f t="shared" ref="S48:U48" si="56">IF($F$6-$D$6 &lt;&gt; 0,(EXP(LN(1+(S28/100))/($F$6-$D$6))-1)*100,0)</f>
        <v>-5.8779926418428552E-2</v>
      </c>
      <c r="T48" s="18">
        <f t="shared" si="56"/>
        <v>2.0805631722064399</v>
      </c>
      <c r="U48" s="18">
        <f t="shared" si="56"/>
        <v>2.0365532751409399</v>
      </c>
      <c r="W48" t="str">
        <f>$A$10</f>
        <v>Associate professional occupations</v>
      </c>
      <c r="X48" s="18">
        <f t="shared" si="47"/>
        <v>1.3643410021569435</v>
      </c>
      <c r="Y48" s="18">
        <f t="shared" si="48"/>
        <v>4.0293812190427492</v>
      </c>
      <c r="Z48" s="18">
        <f t="shared" si="49"/>
        <v>0.38965342763959132</v>
      </c>
      <c r="AA48" s="18">
        <f t="shared" si="50"/>
        <v>0.92181415319385618</v>
      </c>
      <c r="AB48" s="18">
        <f t="shared" ref="AB48:AB54" si="57">IF(AB$6-Z$6 &lt;&gt; 0,(EXP(LN(AB10/Z10)/(AB$6-Z$6))-1)*100,0)</f>
        <v>0.74411454103375796</v>
      </c>
      <c r="AD48" s="18">
        <f t="shared" ref="AD48:AF48" si="58">IF($F$6-$D$6 &lt;&gt; 0,(EXP(LN(1+(AD28/100))/($F$6-$D$6))-1)*100,0)</f>
        <v>0.74411454103375796</v>
      </c>
      <c r="AE48" s="18">
        <f t="shared" si="58"/>
        <v>3.0419138137141699</v>
      </c>
      <c r="AF48" s="18">
        <f t="shared" si="58"/>
        <v>3.5401631141405154</v>
      </c>
    </row>
    <row r="49" spans="1:32" x14ac:dyDescent="0.2">
      <c r="A49" t="str">
        <f>$A$11</f>
        <v>Administrative and secretarial occupations</v>
      </c>
      <c r="B49" s="18">
        <f t="shared" si="42"/>
        <v>-1.7671170697121985</v>
      </c>
      <c r="C49" s="18">
        <f t="shared" si="42"/>
        <v>1.0048033693776937</v>
      </c>
      <c r="D49" s="18">
        <f t="shared" si="42"/>
        <v>-1.4108423680839755</v>
      </c>
      <c r="E49" s="18">
        <f t="shared" si="42"/>
        <v>-1.1503135516762852</v>
      </c>
      <c r="F49" s="18">
        <f t="shared" si="54"/>
        <v>-1.2372328969751711</v>
      </c>
      <c r="H49" s="18">
        <f t="shared" si="51"/>
        <v>-1.2372328969751711</v>
      </c>
      <c r="I49" s="18">
        <f t="shared" si="51"/>
        <v>2.5493425615889187</v>
      </c>
      <c r="J49" s="18">
        <f t="shared" si="51"/>
        <v>1.7039475011259908</v>
      </c>
      <c r="L49" t="str">
        <f>$A$11</f>
        <v>Administrative and secretarial occupations</v>
      </c>
      <c r="M49" s="18">
        <f t="shared" si="43"/>
        <v>-2.6577083930215184</v>
      </c>
      <c r="N49" s="18">
        <f t="shared" si="44"/>
        <v>14.849035362050888</v>
      </c>
      <c r="O49" s="18">
        <f t="shared" si="45"/>
        <v>-1.0008962800781451</v>
      </c>
      <c r="P49" s="18">
        <f t="shared" si="46"/>
        <v>0.60497980087503844</v>
      </c>
      <c r="Q49" s="18">
        <f t="shared" si="55"/>
        <v>6.6814100072232208E-2</v>
      </c>
      <c r="S49" s="18">
        <f t="shared" ref="S49:U49" si="59">IF($F$6-$D$6 &lt;&gt; 0,(EXP(LN(1+(S29/100))/($F$6-$D$6))-1)*100,0)</f>
        <v>6.6814100072232208E-2</v>
      </c>
      <c r="T49" s="18">
        <f t="shared" si="59"/>
        <v>2.0593782017047646</v>
      </c>
      <c r="U49" s="18">
        <f t="shared" si="59"/>
        <v>2.1096658178862082</v>
      </c>
      <c r="W49" t="str">
        <f>$A$11</f>
        <v>Administrative and secretarial occupations</v>
      </c>
      <c r="X49" s="18">
        <f t="shared" si="47"/>
        <v>-1.5405827675976203</v>
      </c>
      <c r="Y49" s="18">
        <f t="shared" si="48"/>
        <v>-2.4174650559553701</v>
      </c>
      <c r="Z49" s="18">
        <f t="shared" si="49"/>
        <v>-1.5314017594046714</v>
      </c>
      <c r="AA49" s="18">
        <f t="shared" si="50"/>
        <v>-1.7341422466981449</v>
      </c>
      <c r="AB49" s="18">
        <f t="shared" si="57"/>
        <v>-1.6666085078244963</v>
      </c>
      <c r="AD49" s="18">
        <f t="shared" ref="AD49:AF49" si="60">IF($F$6-$D$6 &lt;&gt; 0,(EXP(LN(1+(AD29/100))/($F$6-$D$6))-1)*100,0)</f>
        <v>-1.6666085078244963</v>
      </c>
      <c r="AE49" s="18">
        <f t="shared" si="60"/>
        <v>2.6859405380604828</v>
      </c>
      <c r="AF49" s="18">
        <f t="shared" si="60"/>
        <v>1.5815286737210554</v>
      </c>
    </row>
    <row r="50" spans="1:32" x14ac:dyDescent="0.2">
      <c r="A50" t="str">
        <f>$A$12</f>
        <v>Skilled trades occupations</v>
      </c>
      <c r="B50" s="18">
        <f t="shared" si="42"/>
        <v>-1.114926250497994</v>
      </c>
      <c r="C50" s="18">
        <f t="shared" si="42"/>
        <v>-11.970994073356378</v>
      </c>
      <c r="D50" s="18">
        <f t="shared" si="42"/>
        <v>0.96856543246808258</v>
      </c>
      <c r="E50" s="18">
        <f t="shared" si="42"/>
        <v>-1.7193299914253224E-2</v>
      </c>
      <c r="F50" s="18">
        <f t="shared" si="54"/>
        <v>0.31031894563411377</v>
      </c>
      <c r="H50" s="18">
        <f t="shared" si="51"/>
        <v>0.31031894563411377</v>
      </c>
      <c r="I50" s="18">
        <f t="shared" si="51"/>
        <v>2.4836970990266716</v>
      </c>
      <c r="J50" s="18">
        <f t="shared" si="51"/>
        <v>2.7052691669445794</v>
      </c>
      <c r="L50" t="str">
        <f>$A$12</f>
        <v>Skilled trades occupations</v>
      </c>
      <c r="M50" s="18">
        <f t="shared" si="43"/>
        <v>-0.92937685402968429</v>
      </c>
      <c r="N50" s="18">
        <f t="shared" si="44"/>
        <v>-14.37541624282861</v>
      </c>
      <c r="O50" s="18">
        <f t="shared" si="45"/>
        <v>0.55994970347068573</v>
      </c>
      <c r="P50" s="18">
        <f t="shared" si="46"/>
        <v>-0.30742019912124441</v>
      </c>
      <c r="Q50" s="18">
        <f t="shared" si="55"/>
        <v>-1.9131369207348037E-2</v>
      </c>
      <c r="S50" s="18">
        <f t="shared" ref="S50:U50" si="61">IF($F$6-$D$6 &lt;&gt; 0,(EXP(LN(1+(S30/100))/($F$6-$D$6))-1)*100,0)</f>
        <v>-1.9131369207348037E-2</v>
      </c>
      <c r="T50" s="18">
        <f t="shared" si="61"/>
        <v>2.2638827490790048</v>
      </c>
      <c r="U50" s="18">
        <f t="shared" si="61"/>
        <v>2.2499040049273944</v>
      </c>
      <c r="W50" t="str">
        <f>$A$12</f>
        <v>Skilled trades occupations</v>
      </c>
      <c r="X50" s="18">
        <f t="shared" si="47"/>
        <v>-2.4255331337295849</v>
      </c>
      <c r="Y50" s="18">
        <f t="shared" si="48"/>
        <v>5.6728315552343478</v>
      </c>
      <c r="Z50" s="18">
        <f t="shared" si="49"/>
        <v>3.2711250029710426</v>
      </c>
      <c r="AA50" s="18">
        <f t="shared" si="50"/>
        <v>1.3824117215144094</v>
      </c>
      <c r="AB50" s="18">
        <f t="shared" si="57"/>
        <v>2.0081132310171945</v>
      </c>
      <c r="AD50" s="18">
        <f t="shared" ref="AD50:AF50" si="62">IF($F$6-$D$6 &lt;&gt; 0,(EXP(LN(1+(AD30/100))/($F$6-$D$6))-1)*100,0)</f>
        <v>2.0081132310171945</v>
      </c>
      <c r="AE50" s="18">
        <f t="shared" si="62"/>
        <v>3.6701104726818201</v>
      </c>
      <c r="AF50" s="18">
        <f t="shared" si="62"/>
        <v>4.9516197185387467</v>
      </c>
    </row>
    <row r="51" spans="1:32" x14ac:dyDescent="0.2">
      <c r="A51" t="str">
        <f>$A$13</f>
        <v>Caring, leisure and other service occupations</v>
      </c>
      <c r="B51" s="18">
        <f t="shared" si="42"/>
        <v>0.50541739195446578</v>
      </c>
      <c r="C51" s="18">
        <f t="shared" si="42"/>
        <v>-5.1381808175673616</v>
      </c>
      <c r="D51" s="18">
        <f t="shared" si="42"/>
        <v>1.1242519717474586</v>
      </c>
      <c r="E51" s="18">
        <f t="shared" si="42"/>
        <v>0.59315539469848577</v>
      </c>
      <c r="F51" s="18">
        <f t="shared" si="54"/>
        <v>0.76987694172052645</v>
      </c>
      <c r="H51" s="18">
        <f t="shared" si="51"/>
        <v>0.76987694172052645</v>
      </c>
      <c r="I51" s="18">
        <f t="shared" si="51"/>
        <v>3.0905488261011804</v>
      </c>
      <c r="J51" s="18">
        <f t="shared" si="51"/>
        <v>3.6030961824742747</v>
      </c>
      <c r="L51" t="str">
        <f>$A$13</f>
        <v>Caring, leisure and other service occupations</v>
      </c>
      <c r="M51" s="18">
        <f t="shared" si="43"/>
        <v>-3.1061012649247211E-2</v>
      </c>
      <c r="N51" s="18">
        <f t="shared" si="44"/>
        <v>-3.9612194713420701</v>
      </c>
      <c r="O51" s="18">
        <f t="shared" si="45"/>
        <v>2.7487626556228495</v>
      </c>
      <c r="P51" s="18">
        <f t="shared" si="46"/>
        <v>1.4191566366319686</v>
      </c>
      <c r="Q51" s="18">
        <f t="shared" si="55"/>
        <v>1.8604358331291815</v>
      </c>
      <c r="S51" s="18">
        <f t="shared" ref="S51:U51" si="63">IF($F$6-$D$6 &lt;&gt; 0,(EXP(LN(1+(S31/100))/($F$6-$D$6))-1)*100,0)</f>
        <v>1.8604358331291815</v>
      </c>
      <c r="T51" s="18">
        <f t="shared" si="63"/>
        <v>2.8436454698699487</v>
      </c>
      <c r="U51" s="18">
        <f t="shared" si="63"/>
        <v>4.1540485838959196</v>
      </c>
      <c r="W51" t="str">
        <f>$A$13</f>
        <v>Caring, leisure and other service occupations</v>
      </c>
      <c r="X51" s="18">
        <f t="shared" si="47"/>
        <v>0.66021895686996235</v>
      </c>
      <c r="Y51" s="18">
        <f t="shared" si="48"/>
        <v>-5.4719884019379217</v>
      </c>
      <c r="Z51" s="18">
        <f t="shared" si="49"/>
        <v>0.63617561516384757</v>
      </c>
      <c r="AA51" s="18">
        <f t="shared" si="50"/>
        <v>0.3156960888187843</v>
      </c>
      <c r="AB51" s="18">
        <f t="shared" si="57"/>
        <v>0.42240903918266959</v>
      </c>
      <c r="AD51" s="18">
        <f t="shared" ref="AD51:AF51" si="64">IF($F$6-$D$6 &lt;&gt; 0,(EXP(LN(1+(AD31/100))/($F$6-$D$6))-1)*100,0)</f>
        <v>0.42240903918266959</v>
      </c>
      <c r="AE51" s="18">
        <f t="shared" si="64"/>
        <v>3.1601835823169777</v>
      </c>
      <c r="AF51" s="18">
        <f t="shared" si="64"/>
        <v>3.4364266422344691</v>
      </c>
    </row>
    <row r="52" spans="1:32" x14ac:dyDescent="0.2">
      <c r="A52" t="str">
        <f>$A$14</f>
        <v>Sales and customer service occupations</v>
      </c>
      <c r="B52" s="18">
        <f t="shared" si="42"/>
        <v>-0.59111773417415137</v>
      </c>
      <c r="C52" s="18">
        <f t="shared" si="42"/>
        <v>0.13618899102778581</v>
      </c>
      <c r="D52" s="18">
        <f t="shared" si="42"/>
        <v>4.2140111622224197E-2</v>
      </c>
      <c r="E52" s="18">
        <f t="shared" si="42"/>
        <v>3.2991324074194139E-3</v>
      </c>
      <c r="F52" s="18">
        <f t="shared" si="54"/>
        <v>1.6244449649605031E-2</v>
      </c>
      <c r="H52" s="18">
        <f t="shared" si="51"/>
        <v>1.6244449649605031E-2</v>
      </c>
      <c r="I52" s="18">
        <f t="shared" si="51"/>
        <v>2.4803941888373204</v>
      </c>
      <c r="J52" s="18">
        <f t="shared" si="51"/>
        <v>2.4919256881429819</v>
      </c>
      <c r="L52" t="str">
        <f>$A$14</f>
        <v>Sales and customer service occupations</v>
      </c>
      <c r="M52" s="18">
        <f t="shared" si="43"/>
        <v>-0.35097899280422951</v>
      </c>
      <c r="N52" s="18">
        <f t="shared" si="44"/>
        <v>1.644921153917589</v>
      </c>
      <c r="O52" s="18">
        <f t="shared" si="45"/>
        <v>0.57314177609240069</v>
      </c>
      <c r="P52" s="18">
        <f t="shared" si="46"/>
        <v>0.36968240679038367</v>
      </c>
      <c r="Q52" s="18">
        <f t="shared" si="55"/>
        <v>0.43745642226677983</v>
      </c>
      <c r="S52" s="18">
        <f t="shared" ref="S52:U52" si="65">IF($F$6-$D$6 &lt;&gt; 0,(EXP(LN(1+(S32/100))/($F$6-$D$6))-1)*100,0)</f>
        <v>0.43745642226677983</v>
      </c>
      <c r="T52" s="18">
        <f t="shared" si="65"/>
        <v>2.0084422698601223</v>
      </c>
      <c r="U52" s="18">
        <f t="shared" si="65"/>
        <v>2.3421784655595745</v>
      </c>
      <c r="W52" t="str">
        <f>$A$14</f>
        <v>Sales and customer service occupations</v>
      </c>
      <c r="X52" s="18">
        <f t="shared" si="47"/>
        <v>-0.76375315813942413</v>
      </c>
      <c r="Y52" s="18">
        <f t="shared" si="48"/>
        <v>-0.95974863714599623</v>
      </c>
      <c r="Z52" s="18">
        <f t="shared" si="49"/>
        <v>-0.36118525148064462</v>
      </c>
      <c r="AA52" s="18">
        <f t="shared" si="50"/>
        <v>-0.2915339816947915</v>
      </c>
      <c r="AB52" s="18">
        <f t="shared" si="57"/>
        <v>-0.31475647981563659</v>
      </c>
      <c r="AD52" s="18">
        <f t="shared" ref="AD52:AF52" si="66">IF($F$6-$D$6 &lt;&gt; 0,(EXP(LN(1+(AD32/100))/($F$6-$D$6))-1)*100,0)</f>
        <v>-0.31475647981563659</v>
      </c>
      <c r="AE52" s="18">
        <f t="shared" si="66"/>
        <v>2.8134315195602388</v>
      </c>
      <c r="AF52" s="18">
        <f t="shared" si="66"/>
        <v>2.6016023042487735</v>
      </c>
    </row>
    <row r="53" spans="1:32" x14ac:dyDescent="0.2">
      <c r="A53" t="str">
        <f>$A$15</f>
        <v>Process, plant and machine operatives</v>
      </c>
      <c r="B53" s="18">
        <f t="shared" si="42"/>
        <v>1.2174675779490496</v>
      </c>
      <c r="C53" s="18">
        <f t="shared" si="42"/>
        <v>-15.344669310363079</v>
      </c>
      <c r="D53" s="18">
        <f t="shared" si="42"/>
        <v>2.4694265238534241</v>
      </c>
      <c r="E53" s="18">
        <f t="shared" si="42"/>
        <v>1.0817154054376665E-2</v>
      </c>
      <c r="F53" s="18">
        <f t="shared" si="54"/>
        <v>0.82372817954072808</v>
      </c>
      <c r="H53" s="18">
        <f t="shared" si="51"/>
        <v>0.82372817954072808</v>
      </c>
      <c r="I53" s="18">
        <f t="shared" si="51"/>
        <v>2.8703309649344977</v>
      </c>
      <c r="J53" s="18">
        <f t="shared" si="51"/>
        <v>3.4354719695975255</v>
      </c>
      <c r="L53" t="str">
        <f>$A$15</f>
        <v>Process, plant and machine operatives</v>
      </c>
      <c r="M53" s="18">
        <f t="shared" si="43"/>
        <v>1.4736086557790795</v>
      </c>
      <c r="N53" s="18">
        <f t="shared" si="44"/>
        <v>-15.609342021781924</v>
      </c>
      <c r="O53" s="18">
        <f t="shared" si="45"/>
        <v>1.9594787420921911</v>
      </c>
      <c r="P53" s="18">
        <f t="shared" si="46"/>
        <v>-0.12963651490630612</v>
      </c>
      <c r="Q53" s="18">
        <f t="shared" si="55"/>
        <v>0.56193526008931904</v>
      </c>
      <c r="S53" s="18">
        <f t="shared" ref="S53:U53" si="67">IF($F$6-$D$6 &lt;&gt; 0,(EXP(LN(1+(S33/100))/($F$6-$D$6))-1)*100,0)</f>
        <v>0.56193526008931904</v>
      </c>
      <c r="T53" s="18">
        <f t="shared" si="67"/>
        <v>2.7561152842214609</v>
      </c>
      <c r="U53" s="18">
        <f t="shared" si="67"/>
        <v>3.1451563277989703</v>
      </c>
      <c r="W53" t="str">
        <f>$A$15</f>
        <v>Process, plant and machine operatives</v>
      </c>
      <c r="X53" s="18">
        <f t="shared" si="47"/>
        <v>-0.68590408194825203</v>
      </c>
      <c r="Y53" s="18">
        <f t="shared" si="48"/>
        <v>-13.268775451761305</v>
      </c>
      <c r="Z53" s="18">
        <f t="shared" si="49"/>
        <v>6.0617352341150843</v>
      </c>
      <c r="AA53" s="18">
        <f t="shared" si="50"/>
        <v>0.85268003367036105</v>
      </c>
      <c r="AB53" s="18">
        <f t="shared" si="57"/>
        <v>2.5599668366242945</v>
      </c>
      <c r="AD53" s="18">
        <f t="shared" ref="AD53:AF53" si="68">IF($F$6-$D$6 &lt;&gt; 0,(EXP(LN(1+(AD33/100))/($F$6-$D$6))-1)*100,0)</f>
        <v>2.5599668366242945</v>
      </c>
      <c r="AE53" s="18">
        <f t="shared" si="68"/>
        <v>3.6881216901742286</v>
      </c>
      <c r="AF53" s="18">
        <f t="shared" si="68"/>
        <v>5.3414334796122676</v>
      </c>
    </row>
    <row r="54" spans="1:32" x14ac:dyDescent="0.2">
      <c r="A54" t="str">
        <f>$A$16</f>
        <v>Elementary occupations</v>
      </c>
      <c r="B54" s="18">
        <f t="shared" si="42"/>
        <v>-1.0801875404681249</v>
      </c>
      <c r="C54" s="18">
        <f t="shared" si="42"/>
        <v>-8.9409778164234233</v>
      </c>
      <c r="D54" s="18">
        <f t="shared" si="42"/>
        <v>0.29258700769196899</v>
      </c>
      <c r="E54" s="18">
        <f t="shared" si="42"/>
        <v>-0.30798969533881726</v>
      </c>
      <c r="F54" s="18">
        <f t="shared" si="54"/>
        <v>-0.10819812836684317</v>
      </c>
      <c r="H54" s="18">
        <f t="shared" si="51"/>
        <v>-0.10819812836684317</v>
      </c>
      <c r="I54" s="18">
        <f t="shared" si="51"/>
        <v>2.6289996437981022</v>
      </c>
      <c r="J54" s="18">
        <f t="shared" si="51"/>
        <v>2.5539456215571077</v>
      </c>
      <c r="L54" t="str">
        <f>$A$16</f>
        <v>Elementary occupations</v>
      </c>
      <c r="M54" s="18">
        <f t="shared" si="43"/>
        <v>-1.5198220692318465</v>
      </c>
      <c r="N54" s="18">
        <f t="shared" si="44"/>
        <v>-8.0341771885186315</v>
      </c>
      <c r="O54" s="18">
        <f t="shared" si="45"/>
        <v>0.68914183157184894</v>
      </c>
      <c r="P54" s="18">
        <f t="shared" si="46"/>
        <v>-0.48848436164375952</v>
      </c>
      <c r="Q54" s="18">
        <f t="shared" si="55"/>
        <v>-9.7480653253945171E-2</v>
      </c>
      <c r="S54" s="18">
        <f t="shared" ref="S54:U54" si="69">IF($F$6-$D$6 &lt;&gt; 0,(EXP(LN(1+(S34/100))/($F$6-$D$6))-1)*100,0)</f>
        <v>-9.7480653253945171E-2</v>
      </c>
      <c r="T54" s="18">
        <f t="shared" si="69"/>
        <v>2.2099753766805952</v>
      </c>
      <c r="U54" s="18">
        <f t="shared" si="69"/>
        <v>2.1383311685156725</v>
      </c>
      <c r="W54" t="str">
        <f>$A$16</f>
        <v>Elementary occupations</v>
      </c>
      <c r="X54" s="18">
        <f t="shared" si="47"/>
        <v>-0.62991280794783</v>
      </c>
      <c r="Y54" s="18">
        <f t="shared" si="48"/>
        <v>-9.8490715779212081</v>
      </c>
      <c r="Z54" s="18">
        <f t="shared" si="49"/>
        <v>-0.1191105259469416</v>
      </c>
      <c r="AA54" s="18">
        <f t="shared" si="50"/>
        <v>-0.11919014431384101</v>
      </c>
      <c r="AB54" s="18">
        <f t="shared" si="57"/>
        <v>-0.11916360486525779</v>
      </c>
      <c r="AD54" s="18">
        <f t="shared" ref="AD54:AF54" si="70">IF($F$6-$D$6 &lt;&gt; 0,(EXP(LN(1+(AD34/100))/($F$6-$D$6))-1)*100,0)</f>
        <v>-0.11916360486525779</v>
      </c>
      <c r="AE54" s="18">
        <f t="shared" si="70"/>
        <v>3.0336852262290881</v>
      </c>
      <c r="AF54" s="18">
        <f t="shared" si="70"/>
        <v>2.9555007138430955</v>
      </c>
    </row>
    <row r="55" spans="1:32" x14ac:dyDescent="0.2">
      <c r="B55" s="18"/>
      <c r="C55" s="18"/>
      <c r="D55" s="18"/>
      <c r="E55" s="18"/>
      <c r="F55" s="18"/>
      <c r="H55" s="18"/>
      <c r="I55" s="18"/>
      <c r="J55" s="18"/>
      <c r="M55" s="18"/>
      <c r="N55" s="18"/>
      <c r="O55" s="18"/>
      <c r="P55" s="18"/>
      <c r="Q55" s="18"/>
      <c r="S55" s="18"/>
      <c r="T55" s="18"/>
      <c r="U55" s="18"/>
      <c r="X55" s="18"/>
      <c r="Y55" s="18"/>
      <c r="Z55" s="18"/>
      <c r="AA55" s="18"/>
      <c r="AB55" s="18"/>
      <c r="AD55" s="18"/>
      <c r="AE55" s="18"/>
      <c r="AF55" s="18"/>
    </row>
    <row r="56" spans="1:32" x14ac:dyDescent="0.2">
      <c r="A56" s="24" t="str">
        <f>$A$18</f>
        <v>All occupations</v>
      </c>
      <c r="B56" s="26">
        <f>IF(C$6-B$6 &lt;&gt; 0,(EXP(LN(C18/B18)/(C$6-B$6))-1)*100,0)</f>
        <v>0.50039053026922353</v>
      </c>
      <c r="C56" s="26">
        <f>IF(D$6-C$6 &lt;&gt; 0,(EXP(LN(D18/C18)/(D$6-C$6))-1)*100,0)</f>
        <v>-2.0181336258527027</v>
      </c>
      <c r="D56" s="26">
        <f>IF(E$6-D$6 &lt;&gt; 0,(EXP(LN(E18/D18)/(E$6-D$6))-1)*100,0)</f>
        <v>0.57938709657918697</v>
      </c>
      <c r="E56" s="26">
        <f>IF(F$6-E$6 &lt;&gt; 0,(EXP(LN(F18/E18)/(F$6-E$6))-1)*100,0)</f>
        <v>0.39187955008854747</v>
      </c>
      <c r="F56" s="26">
        <f t="shared" si="54"/>
        <v>0.45434319276140833</v>
      </c>
      <c r="H56" s="26">
        <f t="shared" si="51"/>
        <v>0.45434319276140833</v>
      </c>
      <c r="I56" s="26">
        <f t="shared" ref="I56" si="71">IF($F$6-$D$6 &lt;&gt; 0,(EXP(LN(1+(I36/100))/($F$6-$D$6))-1)*100,0)</f>
        <v>2.7272053690730935</v>
      </c>
      <c r="J56" s="26">
        <f t="shared" ref="J56" si="72">IF($F$6-$D$6 &lt;&gt; 0,(EXP(LN(1+(J36/100))/($F$6-$D$6))-1)*100,0)</f>
        <v>3.0422021500962293</v>
      </c>
      <c r="L56" s="24" t="str">
        <f>$A$18</f>
        <v>All occupations</v>
      </c>
      <c r="M56" s="26">
        <f>IF(N$6-M$6 &lt;&gt; 0,(EXP(LN(N18/M18)/(N$6-M$6))-1)*100,0)</f>
        <v>0.21728246186971667</v>
      </c>
      <c r="N56" s="26">
        <f>IF(O$6-N$6 &lt;&gt; 0,(EXP(LN(O18/N18)/(O$6-N$6))-1)*100,0)</f>
        <v>-3.1461933039432233</v>
      </c>
      <c r="O56" s="26">
        <f>IF(P$6-O$6 &lt;&gt; 0,(EXP(LN(P18/O18)/(P$6-O$6))-1)*100,0)</f>
        <v>0.6295151665045795</v>
      </c>
      <c r="P56" s="26">
        <f>IF(Q$6-P$6 &lt;&gt; 0,(EXP(LN(Q18/P18)/(Q$6-P$6))-1)*100,0)</f>
        <v>0.39584849161231617</v>
      </c>
      <c r="Q56" s="26">
        <f t="shared" ref="Q56" si="73">IF(Q$6-O$6 &lt;&gt; 0,(EXP(LN(Q18/O18)/(Q$6-O$6))-1)*100,0)</f>
        <v>0.4736770336640328</v>
      </c>
      <c r="S56" s="26">
        <f t="shared" ref="S56:U56" si="74">IF($F$6-$D$6 &lt;&gt; 0,(EXP(LN(1+(S36/100))/($F$6-$D$6))-1)*100,0)</f>
        <v>0.4736770336640328</v>
      </c>
      <c r="T56" s="26">
        <f t="shared" si="74"/>
        <v>2.3510427249093135</v>
      </c>
      <c r="U56" s="26">
        <f t="shared" si="74"/>
        <v>2.6964713726156608</v>
      </c>
      <c r="W56" s="24" t="str">
        <f>$A$18</f>
        <v>All occupations</v>
      </c>
      <c r="X56" s="26">
        <f>IF(Y$6-X$6 &lt;&gt; 0,(EXP(LN(Y18/X18)/(Y$6-X$6))-1)*100,0)</f>
        <v>0.80678853405464768</v>
      </c>
      <c r="Y56" s="26">
        <f>IF(Z$6-Y$6 &lt;&gt; 0,(EXP(LN(Z18/Y18)/(Z$6-Y$6))-1)*100,0)</f>
        <v>-0.81504333329303069</v>
      </c>
      <c r="Z56" s="26">
        <f>IF(AA$6-Z$6 &lt;&gt; 0,(EXP(LN(AA18/Z18)/(AA$6-Z$6))-1)*100,0)</f>
        <v>0.52707493379775539</v>
      </c>
      <c r="AA56" s="26">
        <f>IF(AB$6-AA$6 &lt;&gt; 0,(EXP(LN(AB18/AA18)/(AB$6-AA$6))-1)*100,0)</f>
        <v>0.3877234923316264</v>
      </c>
      <c r="AB56" s="26">
        <f t="shared" ref="AB56" si="75">IF(AB$6-Z$6 &lt;&gt; 0,(EXP(LN(AB18/Z18)/(AB$6-Z$6))-1)*100,0)</f>
        <v>0.43415249624276786</v>
      </c>
      <c r="AD56" s="26">
        <f t="shared" ref="AD56:AF56" si="76">IF($F$6-$D$6 &lt;&gt; 0,(EXP(LN(1+(AD36/100))/($F$6-$D$6))-1)*100,0)</f>
        <v>0.43415249624276786</v>
      </c>
      <c r="AE56" s="26">
        <f t="shared" si="76"/>
        <v>3.0994811221212615</v>
      </c>
      <c r="AF56" s="26">
        <f t="shared" si="76"/>
        <v>3.3857906511452596</v>
      </c>
    </row>
    <row r="57" spans="1:32" x14ac:dyDescent="0.2">
      <c r="B57" s="18"/>
      <c r="C57" s="18"/>
      <c r="D57" s="18"/>
      <c r="E57" s="18"/>
      <c r="F57" s="18"/>
      <c r="M57" s="18"/>
      <c r="N57" s="18"/>
      <c r="O57" s="18"/>
      <c r="P57" s="18"/>
      <c r="Q57" s="18"/>
      <c r="X57" s="18"/>
      <c r="Y57" s="18"/>
      <c r="Z57" s="18"/>
      <c r="AA57" s="18"/>
      <c r="AB57" s="18"/>
    </row>
    <row r="58" spans="1:32" x14ac:dyDescent="0.2">
      <c r="B58" s="18"/>
      <c r="C58" s="18"/>
      <c r="D58" s="18"/>
      <c r="E58" s="18"/>
      <c r="F58" s="18"/>
      <c r="M58" s="18"/>
      <c r="N58" s="18"/>
      <c r="O58" s="18"/>
      <c r="P58" s="18"/>
      <c r="Q58" s="18"/>
      <c r="X58" s="18"/>
      <c r="Y58" s="18"/>
      <c r="Z58" s="18"/>
      <c r="AA58" s="18"/>
      <c r="AB58" s="18"/>
    </row>
    <row r="59" spans="1:32" x14ac:dyDescent="0.2">
      <c r="B59" s="18"/>
      <c r="C59" s="18"/>
      <c r="D59" s="18"/>
      <c r="E59" s="18"/>
      <c r="F59" s="16" t="s">
        <v>36</v>
      </c>
      <c r="M59" s="18"/>
      <c r="N59" s="18"/>
      <c r="O59" s="18"/>
      <c r="P59" s="18"/>
      <c r="Q59" s="16" t="s">
        <v>36</v>
      </c>
      <c r="X59" s="18"/>
      <c r="Y59" s="18"/>
      <c r="Z59" s="18"/>
      <c r="AA59" s="18"/>
      <c r="AB59" s="16" t="s">
        <v>36</v>
      </c>
    </row>
    <row r="60" spans="1:32" x14ac:dyDescent="0.2">
      <c r="A60" s="36"/>
      <c r="B60" s="66"/>
      <c r="C60" s="66"/>
      <c r="D60" s="66"/>
      <c r="E60" s="66"/>
      <c r="F60" s="66"/>
      <c r="L60" s="36"/>
      <c r="M60" s="66"/>
      <c r="N60" s="66"/>
      <c r="O60" s="66"/>
      <c r="P60" s="66"/>
      <c r="Q60" s="66"/>
      <c r="W60" s="36"/>
      <c r="X60" s="66"/>
      <c r="Y60" s="66"/>
      <c r="Z60" s="66"/>
      <c r="AA60" s="66"/>
      <c r="AB60" s="66"/>
    </row>
    <row r="62" spans="1:32" x14ac:dyDescent="0.2">
      <c r="A62" s="41" t="s">
        <v>19</v>
      </c>
      <c r="B62" s="64" t="str">
        <f>CONCATENATE(B$6,"-",C$6)</f>
        <v>2015-2019</v>
      </c>
      <c r="C62" s="64" t="str">
        <f>CONCATENATE(C$6,"-",D$6)</f>
        <v>2019-2020</v>
      </c>
      <c r="D62" s="64" t="str">
        <f>CONCATENATE(D$6,"-",E$6)</f>
        <v>2020-2025</v>
      </c>
      <c r="E62" s="64" t="str">
        <f>CONCATENATE(E$6,"-",F$6)</f>
        <v>2025-2035</v>
      </c>
      <c r="F62" s="64" t="str">
        <f>CONCATENATE(D$6,"-",F$6)</f>
        <v>2020-2035</v>
      </c>
      <c r="L62" s="41" t="s">
        <v>19</v>
      </c>
      <c r="M62" s="64" t="str">
        <f>CONCATENATE(M$6,"-",N$6)</f>
        <v>2015-2019</v>
      </c>
      <c r="N62" s="64" t="str">
        <f>CONCATENATE(N$6,"-",O$6)</f>
        <v>2019-2020</v>
      </c>
      <c r="O62" s="64" t="str">
        <f>CONCATENATE(O$6,"-",P$6)</f>
        <v>2020-2025</v>
      </c>
      <c r="P62" s="64" t="str">
        <f>CONCATENATE(P$6,"-",Q$6)</f>
        <v>2025-2035</v>
      </c>
      <c r="Q62" s="64" t="str">
        <f>CONCATENATE(O$6,"-",Q$6)</f>
        <v>2020-2035</v>
      </c>
      <c r="W62" s="41" t="s">
        <v>19</v>
      </c>
      <c r="X62" s="64" t="str">
        <f>CONCATENATE(X$6,"-",Y$6)</f>
        <v>2015-2019</v>
      </c>
      <c r="Y62" s="64" t="str">
        <f>CONCATENATE(Y$6,"-",Z$6)</f>
        <v>2019-2020</v>
      </c>
      <c r="Z62" s="64" t="str">
        <f>CONCATENATE(Z$6,"-",AA$6)</f>
        <v>2020-2025</v>
      </c>
      <c r="AA62" s="64" t="str">
        <f>CONCATENATE(AA$6,"-",AB$6)</f>
        <v>2025-2035</v>
      </c>
      <c r="AB62" s="64" t="str">
        <f>CONCATENATE(Z$6,"-",AB$6)</f>
        <v>2020-2035</v>
      </c>
    </row>
    <row r="63" spans="1:32" x14ac:dyDescent="0.2">
      <c r="A63" s="1"/>
      <c r="B63" s="20"/>
      <c r="C63" s="20"/>
      <c r="D63" s="20"/>
      <c r="E63" s="20"/>
      <c r="F63" s="20"/>
      <c r="L63" s="1"/>
      <c r="M63" s="20"/>
      <c r="N63" s="20"/>
      <c r="O63" s="20"/>
      <c r="P63" s="20"/>
      <c r="Q63" s="20"/>
      <c r="W63" s="1"/>
      <c r="X63" s="20"/>
      <c r="Y63" s="20"/>
      <c r="Z63" s="20"/>
      <c r="AA63" s="20"/>
      <c r="AB63" s="20"/>
    </row>
    <row r="64" spans="1:32" x14ac:dyDescent="0.2">
      <c r="A64" t="str">
        <f>$A$8</f>
        <v>Managers, directors and senior officials</v>
      </c>
      <c r="B64" s="27">
        <f t="shared" ref="B64:E72" si="77">C8-B8</f>
        <v>10.091163239085105</v>
      </c>
      <c r="C64" s="27">
        <f t="shared" si="77"/>
        <v>1.5376875986945038E-2</v>
      </c>
      <c r="D64" s="27">
        <f t="shared" si="77"/>
        <v>3.7624070478643858</v>
      </c>
      <c r="E64" s="27">
        <f t="shared" si="77"/>
        <v>13.257096381874433</v>
      </c>
      <c r="F64" s="27">
        <f>F8-D8</f>
        <v>17.019503429738819</v>
      </c>
      <c r="L64" t="str">
        <f>$A$8</f>
        <v>Managers, directors and senior officials</v>
      </c>
      <c r="M64" s="27">
        <f t="shared" ref="M64:M72" si="78">N8-M8</f>
        <v>4.4157383788090527</v>
      </c>
      <c r="N64" s="27">
        <f t="shared" ref="N64:N72" si="79">O8-N8</f>
        <v>-1.1240603076324192</v>
      </c>
      <c r="O64" s="27">
        <f t="shared" ref="O64:O72" si="80">P8-O8</f>
        <v>0.56814583211432534</v>
      </c>
      <c r="P64" s="27">
        <f t="shared" ref="P64:P72" si="81">Q8-P8</f>
        <v>5.535971810642522</v>
      </c>
      <c r="Q64" s="27">
        <f>Q8-O8</f>
        <v>6.1041176427568473</v>
      </c>
      <c r="W64" t="str">
        <f>$A$8</f>
        <v>Managers, directors and senior officials</v>
      </c>
      <c r="X64" s="27">
        <f t="shared" ref="X64:X72" si="82">Y8-X8</f>
        <v>5.6754248602760953</v>
      </c>
      <c r="Y64" s="27">
        <f t="shared" ref="Y64:Y72" si="83">Z8-Y8</f>
        <v>1.1394371836193642</v>
      </c>
      <c r="Z64" s="27">
        <f t="shared" ref="Z64:Z72" si="84">AA8-Z8</f>
        <v>3.1942612157502097</v>
      </c>
      <c r="AA64" s="27">
        <f t="shared" ref="AA64:AA72" si="85">AB8-AA8</f>
        <v>7.7211245712319823</v>
      </c>
      <c r="AB64" s="27">
        <f>AB8-Z8</f>
        <v>10.915385786982192</v>
      </c>
    </row>
    <row r="65" spans="1:31" x14ac:dyDescent="0.2">
      <c r="A65" t="str">
        <f>$A$9</f>
        <v>Professional occupations</v>
      </c>
      <c r="B65" s="27">
        <f t="shared" si="77"/>
        <v>17.580426282407842</v>
      </c>
      <c r="C65" s="27">
        <f t="shared" si="77"/>
        <v>5.1958123211304894</v>
      </c>
      <c r="D65" s="27">
        <f t="shared" si="77"/>
        <v>15.778997308827172</v>
      </c>
      <c r="E65" s="27">
        <f t="shared" si="77"/>
        <v>20.57003858563408</v>
      </c>
      <c r="F65" s="27">
        <f t="shared" ref="F65:F72" si="86">F9-D9</f>
        <v>36.349035894461252</v>
      </c>
      <c r="L65" t="str">
        <f>$A$9</f>
        <v>Professional occupations</v>
      </c>
      <c r="M65" s="27">
        <f t="shared" si="78"/>
        <v>6.4871050803218537</v>
      </c>
      <c r="N65" s="27">
        <f t="shared" si="79"/>
        <v>1.86276229127688</v>
      </c>
      <c r="O65" s="27">
        <f t="shared" si="80"/>
        <v>7.8801209184092187</v>
      </c>
      <c r="P65" s="27">
        <f t="shared" si="81"/>
        <v>9.4299398280547422</v>
      </c>
      <c r="Q65" s="27">
        <f t="shared" ref="Q65:Q72" si="87">Q9-O9</f>
        <v>17.310060746463961</v>
      </c>
      <c r="W65" t="str">
        <f>$A$9</f>
        <v>Professional occupations</v>
      </c>
      <c r="X65" s="27">
        <f t="shared" si="82"/>
        <v>11.093321202085832</v>
      </c>
      <c r="Y65" s="27">
        <f t="shared" si="83"/>
        <v>3.3330500298537942</v>
      </c>
      <c r="Z65" s="27">
        <f t="shared" si="84"/>
        <v>7.8988763904178256</v>
      </c>
      <c r="AA65" s="27">
        <f t="shared" si="85"/>
        <v>11.140098757579381</v>
      </c>
      <c r="AB65" s="27">
        <f t="shared" ref="AB65:AB72" si="88">AB9-Z9</f>
        <v>19.038975147997206</v>
      </c>
    </row>
    <row r="66" spans="1:31" x14ac:dyDescent="0.2">
      <c r="A66" t="str">
        <f>$A$10</f>
        <v>Associate professional occupations</v>
      </c>
      <c r="B66" s="27">
        <f t="shared" si="77"/>
        <v>1.9930526694944319</v>
      </c>
      <c r="C66" s="27">
        <f t="shared" si="77"/>
        <v>4.0302643760827834</v>
      </c>
      <c r="D66" s="27">
        <f t="shared" si="77"/>
        <v>-1.8132696952128242</v>
      </c>
      <c r="E66" s="27">
        <f t="shared" si="77"/>
        <v>8.2542670823281696</v>
      </c>
      <c r="F66" s="27">
        <f t="shared" si="86"/>
        <v>6.4409973871153454</v>
      </c>
      <c r="L66" t="str">
        <f>$A$10</f>
        <v>Associate professional occupations</v>
      </c>
      <c r="M66" s="27">
        <f t="shared" si="78"/>
        <v>-1.0285128750878414</v>
      </c>
      <c r="N66" s="27">
        <f t="shared" si="79"/>
        <v>1.7227170609391322</v>
      </c>
      <c r="O66" s="27">
        <f t="shared" si="80"/>
        <v>-2.9830417862925316</v>
      </c>
      <c r="P66" s="27">
        <f t="shared" si="81"/>
        <v>2.416591397117557</v>
      </c>
      <c r="Q66" s="27">
        <f t="shared" si="87"/>
        <v>-0.56645038917497459</v>
      </c>
      <c r="W66" t="str">
        <f>$A$10</f>
        <v>Associate professional occupations</v>
      </c>
      <c r="X66" s="27">
        <f t="shared" si="82"/>
        <v>3.0215655445821028</v>
      </c>
      <c r="Y66" s="27">
        <f t="shared" si="83"/>
        <v>2.3075473151437436</v>
      </c>
      <c r="Z66" s="27">
        <f t="shared" si="84"/>
        <v>1.1697720910797642</v>
      </c>
      <c r="AA66" s="27">
        <f t="shared" si="85"/>
        <v>5.8376756852105203</v>
      </c>
      <c r="AB66" s="27">
        <f t="shared" si="88"/>
        <v>7.0074477762902845</v>
      </c>
    </row>
    <row r="67" spans="1:31" x14ac:dyDescent="0.2">
      <c r="A67" t="str">
        <f>$A$11</f>
        <v>Administrative and secretarial occupations</v>
      </c>
      <c r="B67" s="27">
        <f t="shared" si="77"/>
        <v>-6.4681196567368886</v>
      </c>
      <c r="C67" s="27">
        <f t="shared" si="77"/>
        <v>0.8792042123502597</v>
      </c>
      <c r="D67" s="27">
        <f t="shared" si="77"/>
        <v>-6.0610126634144024</v>
      </c>
      <c r="E67" s="27">
        <f t="shared" si="77"/>
        <v>-8.9937607909003532</v>
      </c>
      <c r="F67" s="27">
        <f t="shared" si="86"/>
        <v>-15.054773454314756</v>
      </c>
      <c r="L67" t="str">
        <f>$A$11</f>
        <v>Administrative and secretarial occupations</v>
      </c>
      <c r="M67" s="27">
        <f t="shared" si="78"/>
        <v>-1.973007590140412</v>
      </c>
      <c r="N67" s="27">
        <f t="shared" si="79"/>
        <v>2.5752338120001141</v>
      </c>
      <c r="O67" s="27">
        <f t="shared" si="80"/>
        <v>-0.97703771203351408</v>
      </c>
      <c r="P67" s="27">
        <f t="shared" si="81"/>
        <v>1.1775945520049653</v>
      </c>
      <c r="Q67" s="27">
        <f t="shared" si="87"/>
        <v>0.20055683997145124</v>
      </c>
      <c r="W67" t="str">
        <f>$A$11</f>
        <v>Administrative and secretarial occupations</v>
      </c>
      <c r="X67" s="27">
        <f t="shared" si="82"/>
        <v>-4.4951120665965334</v>
      </c>
      <c r="Y67" s="27">
        <f t="shared" si="83"/>
        <v>-1.6960295996497194</v>
      </c>
      <c r="Z67" s="27">
        <f t="shared" si="84"/>
        <v>-5.0839749513809238</v>
      </c>
      <c r="AA67" s="27">
        <f t="shared" si="85"/>
        <v>-10.17135534290535</v>
      </c>
      <c r="AB67" s="27">
        <f t="shared" si="88"/>
        <v>-15.255330294286274</v>
      </c>
    </row>
    <row r="68" spans="1:31" x14ac:dyDescent="0.2">
      <c r="A68" t="str">
        <f>$A$12</f>
        <v>Skilled trades occupations</v>
      </c>
      <c r="B68" s="27">
        <f t="shared" si="77"/>
        <v>-3.5704877380347</v>
      </c>
      <c r="C68" s="27">
        <f t="shared" si="77"/>
        <v>-9.3184646836419063</v>
      </c>
      <c r="D68" s="27">
        <f t="shared" si="77"/>
        <v>3.3833866915171171</v>
      </c>
      <c r="E68" s="27">
        <f t="shared" si="77"/>
        <v>-0.12353616766091591</v>
      </c>
      <c r="F68" s="27">
        <f t="shared" si="86"/>
        <v>3.2598505238562012</v>
      </c>
      <c r="L68" t="str">
        <f>$A$12</f>
        <v>Skilled trades occupations</v>
      </c>
      <c r="M68" s="27">
        <f t="shared" si="78"/>
        <v>-2.6070163478084396</v>
      </c>
      <c r="N68" s="27">
        <f t="shared" si="79"/>
        <v>-9.8480651245495068</v>
      </c>
      <c r="O68" s="27">
        <f t="shared" si="80"/>
        <v>1.6607781250298501</v>
      </c>
      <c r="P68" s="27">
        <f t="shared" si="81"/>
        <v>-1.8288847217420212</v>
      </c>
      <c r="Q68" s="27">
        <f t="shared" si="87"/>
        <v>-0.1681065967121711</v>
      </c>
      <c r="W68" t="str">
        <f>$A$12</f>
        <v>Skilled trades occupations</v>
      </c>
      <c r="X68" s="27">
        <f t="shared" si="82"/>
        <v>-0.96347139022629591</v>
      </c>
      <c r="Y68" s="27">
        <f t="shared" si="83"/>
        <v>0.52960044090760405</v>
      </c>
      <c r="Z68" s="27">
        <f t="shared" si="84"/>
        <v>1.7226085664873114</v>
      </c>
      <c r="AA68" s="27">
        <f t="shared" si="85"/>
        <v>1.7053485540810307</v>
      </c>
      <c r="AB68" s="27">
        <f t="shared" si="88"/>
        <v>3.4279571205683421</v>
      </c>
    </row>
    <row r="69" spans="1:31" x14ac:dyDescent="0.2">
      <c r="A69" t="str">
        <f>$A$13</f>
        <v>Caring, leisure and other service occupations</v>
      </c>
      <c r="B69" s="27">
        <f t="shared" si="77"/>
        <v>1.6610561276897897</v>
      </c>
      <c r="C69" s="27">
        <f t="shared" si="77"/>
        <v>-4.2751395673161454</v>
      </c>
      <c r="D69" s="27">
        <f t="shared" si="77"/>
        <v>4.5376495268944552</v>
      </c>
      <c r="E69" s="27">
        <f t="shared" si="77"/>
        <v>5.0850831023537211</v>
      </c>
      <c r="F69" s="27">
        <f t="shared" si="86"/>
        <v>9.6227326292481763</v>
      </c>
      <c r="L69" t="str">
        <f>$A$13</f>
        <v>Caring, leisure and other service occupations</v>
      </c>
      <c r="M69" s="27">
        <f t="shared" si="78"/>
        <v>-2.2858724324606783E-2</v>
      </c>
      <c r="N69" s="27">
        <f t="shared" si="79"/>
        <v>-0.72822900757117637</v>
      </c>
      <c r="O69" s="27">
        <f t="shared" si="80"/>
        <v>2.5636896154739688</v>
      </c>
      <c r="P69" s="27">
        <f t="shared" si="81"/>
        <v>3.0598117364127617</v>
      </c>
      <c r="Q69" s="27">
        <f t="shared" si="87"/>
        <v>5.6235013518867305</v>
      </c>
      <c r="W69" t="str">
        <f>$A$13</f>
        <v>Caring, leisure and other service occupations</v>
      </c>
      <c r="X69" s="27">
        <f t="shared" si="82"/>
        <v>1.6839148520143326</v>
      </c>
      <c r="Y69" s="27">
        <f t="shared" si="83"/>
        <v>-3.5469105597449158</v>
      </c>
      <c r="Z69" s="27">
        <f t="shared" si="84"/>
        <v>1.9739599114204793</v>
      </c>
      <c r="AA69" s="27">
        <f t="shared" si="85"/>
        <v>2.0252713659409949</v>
      </c>
      <c r="AB69" s="27">
        <f t="shared" si="88"/>
        <v>3.9992312773614742</v>
      </c>
    </row>
    <row r="70" spans="1:31" x14ac:dyDescent="0.2">
      <c r="A70" t="str">
        <f>$A$14</f>
        <v>Sales and customer service occupations</v>
      </c>
      <c r="B70" s="27">
        <f t="shared" si="77"/>
        <v>-1.5854400709549594</v>
      </c>
      <c r="C70" s="27">
        <f t="shared" si="77"/>
        <v>8.9972810879899612E-2</v>
      </c>
      <c r="D70" s="27">
        <f t="shared" si="77"/>
        <v>0.13950573305697844</v>
      </c>
      <c r="E70" s="27">
        <f t="shared" si="77"/>
        <v>2.1874565529927281E-2</v>
      </c>
      <c r="F70" s="27">
        <f t="shared" si="86"/>
        <v>0.16138029858690572</v>
      </c>
      <c r="L70" t="str">
        <f>$A$14</f>
        <v>Sales and customer service occupations</v>
      </c>
      <c r="M70" s="27">
        <f t="shared" si="78"/>
        <v>-0.3936990172927608</v>
      </c>
      <c r="N70" s="27">
        <f t="shared" si="79"/>
        <v>0.45724349667006692</v>
      </c>
      <c r="O70" s="27">
        <f t="shared" si="80"/>
        <v>0.81902738565391076</v>
      </c>
      <c r="P70" s="27">
        <f t="shared" si="81"/>
        <v>1.0928558235639194</v>
      </c>
      <c r="Q70" s="27">
        <f t="shared" si="87"/>
        <v>1.9118832092178302</v>
      </c>
      <c r="W70" t="str">
        <f>$A$14</f>
        <v>Sales and customer service occupations</v>
      </c>
      <c r="X70" s="27">
        <f t="shared" si="82"/>
        <v>-1.191741053662227</v>
      </c>
      <c r="Y70" s="27">
        <f t="shared" si="83"/>
        <v>-0.36727068579018862</v>
      </c>
      <c r="Z70" s="27">
        <f t="shared" si="84"/>
        <v>-0.67952165259685415</v>
      </c>
      <c r="AA70" s="27">
        <f t="shared" si="85"/>
        <v>-1.0709812580339459</v>
      </c>
      <c r="AB70" s="27">
        <f t="shared" si="88"/>
        <v>-1.7505029106308001</v>
      </c>
    </row>
    <row r="71" spans="1:31" x14ac:dyDescent="0.2">
      <c r="A71" t="str">
        <f>$A$15</f>
        <v>Process, plant and machine operatives</v>
      </c>
      <c r="B71" s="27">
        <f t="shared" si="77"/>
        <v>1.8778599810062602</v>
      </c>
      <c r="C71" s="27">
        <f t="shared" si="77"/>
        <v>-6.0982084458469643</v>
      </c>
      <c r="D71" s="27">
        <f t="shared" si="77"/>
        <v>4.3642756557216842</v>
      </c>
      <c r="E71" s="27">
        <f t="shared" si="77"/>
        <v>4.113343678007908E-2</v>
      </c>
      <c r="F71" s="27">
        <f t="shared" si="86"/>
        <v>4.4054090925017633</v>
      </c>
      <c r="L71" t="str">
        <f>$A$15</f>
        <v>Process, plant and machine operatives</v>
      </c>
      <c r="M71" s="27">
        <f t="shared" si="78"/>
        <v>2.003301673076507</v>
      </c>
      <c r="N71" s="27">
        <f t="shared" si="79"/>
        <v>-5.5019099073404547</v>
      </c>
      <c r="O71" s="27">
        <f t="shared" si="80"/>
        <v>3.0307670102032915</v>
      </c>
      <c r="P71" s="27">
        <f t="shared" si="81"/>
        <v>-0.42243168211943072</v>
      </c>
      <c r="Q71" s="27">
        <f t="shared" si="87"/>
        <v>2.6083353280838608</v>
      </c>
      <c r="W71" t="str">
        <f>$A$15</f>
        <v>Process, plant and machine operatives</v>
      </c>
      <c r="X71" s="27">
        <f t="shared" si="82"/>
        <v>-0.12544169207027167</v>
      </c>
      <c r="Y71" s="27">
        <f t="shared" si="83"/>
        <v>-0.5962985385064532</v>
      </c>
      <c r="Z71" s="27">
        <f t="shared" si="84"/>
        <v>1.3335086455184091</v>
      </c>
      <c r="AA71" s="27">
        <f t="shared" si="85"/>
        <v>0.46356511889944585</v>
      </c>
      <c r="AB71" s="27">
        <f t="shared" si="88"/>
        <v>1.7970737644178549</v>
      </c>
    </row>
    <row r="72" spans="1:31" x14ac:dyDescent="0.2">
      <c r="A72" t="str">
        <f>$A$16</f>
        <v>Elementary occupations</v>
      </c>
      <c r="B72" s="27">
        <f t="shared" si="77"/>
        <v>-4.135510833956431</v>
      </c>
      <c r="C72" s="27">
        <f t="shared" si="77"/>
        <v>-8.3278178996261829</v>
      </c>
      <c r="D72" s="27">
        <f t="shared" si="77"/>
        <v>1.2480603947452806</v>
      </c>
      <c r="E72" s="27">
        <f t="shared" si="77"/>
        <v>-2.6141961959387316</v>
      </c>
      <c r="F72" s="27">
        <f t="shared" si="86"/>
        <v>-1.366135801193451</v>
      </c>
      <c r="L72" t="str">
        <f>$A$16</f>
        <v>Elementary occupations</v>
      </c>
      <c r="M72" s="27">
        <f t="shared" si="78"/>
        <v>-2.9442173994766918</v>
      </c>
      <c r="N72" s="27">
        <f t="shared" si="79"/>
        <v>-3.7442681390973291</v>
      </c>
      <c r="O72" s="27">
        <f t="shared" si="80"/>
        <v>1.4973260400409103</v>
      </c>
      <c r="P72" s="27">
        <f t="shared" si="81"/>
        <v>-2.1197705289041977</v>
      </c>
      <c r="Q72" s="27">
        <f t="shared" si="87"/>
        <v>-0.6224444888632874</v>
      </c>
      <c r="W72" t="str">
        <f>$A$16</f>
        <v>Elementary occupations</v>
      </c>
      <c r="X72" s="27">
        <f t="shared" si="82"/>
        <v>-1.1912934344794692</v>
      </c>
      <c r="Y72" s="27">
        <f t="shared" si="83"/>
        <v>-4.5835497605288964</v>
      </c>
      <c r="Z72" s="27">
        <f t="shared" si="84"/>
        <v>-0.24926564529555151</v>
      </c>
      <c r="AA72" s="27">
        <f t="shared" si="85"/>
        <v>-0.49442566703471869</v>
      </c>
      <c r="AB72" s="27">
        <f t="shared" si="88"/>
        <v>-0.74369131233027019</v>
      </c>
    </row>
    <row r="73" spans="1:31" x14ac:dyDescent="0.2">
      <c r="B73" s="27"/>
      <c r="C73" s="27"/>
      <c r="D73" s="27"/>
      <c r="E73" s="27"/>
      <c r="F73" s="27"/>
      <c r="M73" s="27"/>
      <c r="N73" s="27"/>
      <c r="O73" s="27"/>
      <c r="P73" s="27"/>
      <c r="Q73" s="27"/>
      <c r="X73" s="27"/>
      <c r="Y73" s="27"/>
      <c r="Z73" s="27"/>
      <c r="AA73" s="27"/>
      <c r="AB73" s="27"/>
    </row>
    <row r="74" spans="1:31" x14ac:dyDescent="0.2">
      <c r="A74" s="24" t="str">
        <f>$A$18</f>
        <v>All occupations</v>
      </c>
      <c r="B74" s="29">
        <f>C18-B18</f>
        <v>17.444000000000642</v>
      </c>
      <c r="C74" s="29">
        <f t="shared" ref="C74" si="89">D18-C18</f>
        <v>-17.809000000000879</v>
      </c>
      <c r="D74" s="29">
        <f>E18-D18</f>
        <v>25.339999999999804</v>
      </c>
      <c r="E74" s="29">
        <f>F18-E18</f>
        <v>35.498000000000616</v>
      </c>
      <c r="F74" s="29">
        <f>F18-D18</f>
        <v>60.83800000000042</v>
      </c>
      <c r="L74" s="24" t="str">
        <f>$A$18</f>
        <v>All occupations</v>
      </c>
      <c r="M74" s="29">
        <f>N18-M18</f>
        <v>3.9368331780767107</v>
      </c>
      <c r="N74" s="29">
        <f t="shared" ref="N74" si="90">O18-N18</f>
        <v>-14.328575825304767</v>
      </c>
      <c r="O74" s="29">
        <f>P18-O18</f>
        <v>14.059775428599437</v>
      </c>
      <c r="P74" s="29">
        <f>Q18-P18</f>
        <v>18.341678215030868</v>
      </c>
      <c r="Q74" s="29">
        <f>Q18-O18</f>
        <v>32.401453643630305</v>
      </c>
      <c r="W74" s="24" t="str">
        <f>$A$18</f>
        <v>All occupations</v>
      </c>
      <c r="X74" s="29">
        <f>Y18-X18</f>
        <v>13.507166821923647</v>
      </c>
      <c r="Y74" s="29">
        <f t="shared" ref="Y74" si="91">Z18-Y18</f>
        <v>-3.4804241746957132</v>
      </c>
      <c r="Z74" s="29">
        <f>AA18-Z18</f>
        <v>11.280224571400652</v>
      </c>
      <c r="AA74" s="29">
        <f>AB18-AA18</f>
        <v>17.156321784969407</v>
      </c>
      <c r="AB74" s="29">
        <f>AB18-Z18</f>
        <v>28.436546356370059</v>
      </c>
    </row>
    <row r="78" spans="1:31" x14ac:dyDescent="0.2">
      <c r="D78" s="1" t="s">
        <v>13</v>
      </c>
      <c r="H78" s="41" t="s">
        <v>44</v>
      </c>
      <c r="O78" s="1" t="s">
        <v>13</v>
      </c>
      <c r="S78" s="41" t="s">
        <v>44</v>
      </c>
      <c r="Z78" s="1" t="s">
        <v>13</v>
      </c>
      <c r="AD78" s="41" t="s">
        <v>44</v>
      </c>
    </row>
    <row r="79" spans="1:31" x14ac:dyDescent="0.2">
      <c r="A79" s="22"/>
      <c r="B79" s="23">
        <f>B6</f>
        <v>2015</v>
      </c>
      <c r="C79" s="23">
        <f>C6</f>
        <v>2019</v>
      </c>
      <c r="D79" s="23">
        <f>D6</f>
        <v>2020</v>
      </c>
      <c r="E79" s="23">
        <f>E6</f>
        <v>2025</v>
      </c>
      <c r="F79" s="23">
        <f>F6</f>
        <v>2035</v>
      </c>
      <c r="H79" s="75" t="str">
        <f>CONCATENATE(B$6,"-",D$6)</f>
        <v>2015-2020</v>
      </c>
      <c r="I79" s="75" t="str">
        <f>F44</f>
        <v>2020-2035</v>
      </c>
      <c r="L79" s="22"/>
      <c r="M79" s="23">
        <f>M6</f>
        <v>2015</v>
      </c>
      <c r="N79" s="23">
        <f>N6</f>
        <v>2019</v>
      </c>
      <c r="O79" s="23">
        <f>O6</f>
        <v>2020</v>
      </c>
      <c r="P79" s="23">
        <f>P6</f>
        <v>2025</v>
      </c>
      <c r="Q79" s="23">
        <f>Q6</f>
        <v>2035</v>
      </c>
      <c r="S79" s="75" t="str">
        <f>CONCATENATE(M$6,"-",O$6)</f>
        <v>2015-2020</v>
      </c>
      <c r="T79" s="75" t="str">
        <f>Q44</f>
        <v>2020-2035</v>
      </c>
      <c r="W79" s="22"/>
      <c r="X79" s="23">
        <f>X6</f>
        <v>2015</v>
      </c>
      <c r="Y79" s="23">
        <f>Y6</f>
        <v>2019</v>
      </c>
      <c r="Z79" s="23">
        <f>Z6</f>
        <v>2020</v>
      </c>
      <c r="AA79" s="23">
        <f>AA6</f>
        <v>2025</v>
      </c>
      <c r="AB79" s="23">
        <f>AB6</f>
        <v>2035</v>
      </c>
      <c r="AD79" s="75" t="str">
        <f>CONCATENATE(X$6,"-",Z$6)</f>
        <v>2015-2020</v>
      </c>
      <c r="AE79" s="75" t="str">
        <f>AB44</f>
        <v>2020-2035</v>
      </c>
    </row>
    <row r="80" spans="1:31" x14ac:dyDescent="0.2">
      <c r="A80" t="str">
        <f t="shared" ref="A80:F88" si="92">A8</f>
        <v>Managers, directors and senior officials</v>
      </c>
      <c r="B80" s="11">
        <f t="shared" si="92"/>
        <v>99.823405667280099</v>
      </c>
      <c r="C80" s="11">
        <f t="shared" si="92"/>
        <v>109.9145689063652</v>
      </c>
      <c r="D80" s="11">
        <f t="shared" si="92"/>
        <v>109.92994578235215</v>
      </c>
      <c r="E80" s="11">
        <f t="shared" si="92"/>
        <v>113.69235283021654</v>
      </c>
      <c r="F80" s="11">
        <f t="shared" si="92"/>
        <v>126.94944921209097</v>
      </c>
      <c r="H80" s="40">
        <f>IF(D$6-B$6 &lt;&gt; 0,(EXP(LN(D8/B8)/(D$6-B$6))-1)*100,0)</f>
        <v>1.9475342606428026</v>
      </c>
      <c r="I80" s="40">
        <f t="shared" ref="I80:I88" si="93">F46</f>
        <v>0.96425704162383941</v>
      </c>
      <c r="L80" t="str">
        <f t="shared" ref="L80:Q88" si="94">L8</f>
        <v>Managers, directors and senior officials</v>
      </c>
      <c r="M80" s="11">
        <f t="shared" si="94"/>
        <v>64.963175369699343</v>
      </c>
      <c r="N80" s="11">
        <f t="shared" si="94"/>
        <v>69.378913748508396</v>
      </c>
      <c r="O80" s="11">
        <f t="shared" si="94"/>
        <v>68.254853440875976</v>
      </c>
      <c r="P80" s="11">
        <f t="shared" si="94"/>
        <v>68.822999272990302</v>
      </c>
      <c r="Q80" s="11">
        <f t="shared" si="94"/>
        <v>74.358971083632824</v>
      </c>
      <c r="S80" s="40">
        <f t="shared" ref="S80:S88" si="95">IF(O$6-M$6 &lt;&gt; 0,(EXP(LN(O8/M8)/(O$6-M$6))-1)*100,0)</f>
        <v>0.99346174183654323</v>
      </c>
      <c r="T80" s="40">
        <f t="shared" ref="T80:T88" si="96">Q46</f>
        <v>0.57267207680486987</v>
      </c>
      <c r="W80" t="str">
        <f t="shared" ref="W80:AB88" si="97">W8</f>
        <v>Managers, directors and senior officials</v>
      </c>
      <c r="X80" s="11">
        <f t="shared" si="97"/>
        <v>34.86023029758065</v>
      </c>
      <c r="Y80" s="11">
        <f t="shared" si="97"/>
        <v>40.535655157856745</v>
      </c>
      <c r="Z80" s="11">
        <f t="shared" si="97"/>
        <v>41.675092341476109</v>
      </c>
      <c r="AA80" s="11">
        <f t="shared" si="97"/>
        <v>44.869353557226319</v>
      </c>
      <c r="AB80" s="11">
        <f t="shared" si="97"/>
        <v>52.590478128458301</v>
      </c>
      <c r="AD80" s="40">
        <f t="shared" ref="AD80:AD88" si="98">IF(Z$6-X$6 &lt;&gt; 0,(EXP(LN(Z8/X8)/(Z$6-X$6))-1)*100,0)</f>
        <v>3.6356710358219413</v>
      </c>
      <c r="AE80" s="40">
        <f t="shared" ref="AE80:AE88" si="99">AB46</f>
        <v>1.5629647291044657</v>
      </c>
    </row>
    <row r="81" spans="1:31" x14ac:dyDescent="0.2">
      <c r="A81" t="str">
        <f t="shared" si="92"/>
        <v>Professional occupations</v>
      </c>
      <c r="B81" s="11">
        <f t="shared" si="92"/>
        <v>187.40472106146541</v>
      </c>
      <c r="C81" s="11">
        <f t="shared" si="92"/>
        <v>204.98514734387325</v>
      </c>
      <c r="D81" s="11">
        <f t="shared" si="92"/>
        <v>210.18095966500374</v>
      </c>
      <c r="E81" s="11">
        <f t="shared" si="92"/>
        <v>225.95995697383091</v>
      </c>
      <c r="F81" s="11">
        <f t="shared" si="92"/>
        <v>246.52999555946499</v>
      </c>
      <c r="H81" s="40">
        <f t="shared" ref="H81:H88" si="100">IF(D$6-B$6 &lt;&gt; 0,(EXP(LN(D9/B9)/(D$6-B$6))-1)*100,0)</f>
        <v>2.320479964125699</v>
      </c>
      <c r="I81" s="40">
        <f t="shared" si="93"/>
        <v>1.0691065323153781</v>
      </c>
      <c r="L81" t="str">
        <f t="shared" si="94"/>
        <v>Professional occupations</v>
      </c>
      <c r="M81" s="11">
        <f t="shared" si="94"/>
        <v>102.8902908928154</v>
      </c>
      <c r="N81" s="11">
        <f t="shared" si="94"/>
        <v>109.37739597313725</v>
      </c>
      <c r="O81" s="11">
        <f t="shared" si="94"/>
        <v>111.24015826441413</v>
      </c>
      <c r="P81" s="11">
        <f t="shared" si="94"/>
        <v>119.12027918282335</v>
      </c>
      <c r="Q81" s="11">
        <f t="shared" si="94"/>
        <v>128.5502190108781</v>
      </c>
      <c r="S81" s="40">
        <f t="shared" si="95"/>
        <v>1.5728037500068126</v>
      </c>
      <c r="T81" s="40">
        <f t="shared" si="96"/>
        <v>0.96885116917666547</v>
      </c>
      <c r="W81" t="str">
        <f t="shared" si="97"/>
        <v>Professional occupations</v>
      </c>
      <c r="X81" s="11">
        <f t="shared" si="97"/>
        <v>84.514430168650122</v>
      </c>
      <c r="Y81" s="11">
        <f t="shared" si="97"/>
        <v>95.607751370735954</v>
      </c>
      <c r="Z81" s="11">
        <f t="shared" si="97"/>
        <v>98.940801400589748</v>
      </c>
      <c r="AA81" s="11">
        <f t="shared" si="97"/>
        <v>106.83967779100757</v>
      </c>
      <c r="AB81" s="11">
        <f t="shared" si="97"/>
        <v>117.97977654858695</v>
      </c>
      <c r="AD81" s="40">
        <f t="shared" si="98"/>
        <v>3.2021895004806566</v>
      </c>
      <c r="AE81" s="40">
        <f t="shared" si="99"/>
        <v>1.1801866828666574</v>
      </c>
    </row>
    <row r="82" spans="1:31" x14ac:dyDescent="0.2">
      <c r="A82" t="str">
        <f t="shared" si="92"/>
        <v>Associate professional occupations</v>
      </c>
      <c r="B82" s="11">
        <f t="shared" si="92"/>
        <v>118.06235267038653</v>
      </c>
      <c r="C82" s="11">
        <f t="shared" si="92"/>
        <v>120.05540533988096</v>
      </c>
      <c r="D82" s="11">
        <f t="shared" si="92"/>
        <v>124.08566971596375</v>
      </c>
      <c r="E82" s="11">
        <f t="shared" si="92"/>
        <v>122.27240002075092</v>
      </c>
      <c r="F82" s="11">
        <f t="shared" si="92"/>
        <v>130.52666710307909</v>
      </c>
      <c r="H82" s="40">
        <f t="shared" si="100"/>
        <v>1.0001547367332497</v>
      </c>
      <c r="I82" s="40">
        <f t="shared" si="93"/>
        <v>0.33793866045672694</v>
      </c>
      <c r="L82" t="str">
        <f t="shared" si="94"/>
        <v>Associate professional occupations</v>
      </c>
      <c r="M82" s="11">
        <f t="shared" si="94"/>
        <v>63.81588648249479</v>
      </c>
      <c r="N82" s="11">
        <f t="shared" si="94"/>
        <v>62.787373607406948</v>
      </c>
      <c r="O82" s="11">
        <f t="shared" si="94"/>
        <v>64.510090668346081</v>
      </c>
      <c r="P82" s="11">
        <f t="shared" si="94"/>
        <v>61.527048882053549</v>
      </c>
      <c r="Q82" s="11">
        <f t="shared" si="94"/>
        <v>63.943640279171106</v>
      </c>
      <c r="S82" s="40">
        <f t="shared" si="95"/>
        <v>0.21662413686820425</v>
      </c>
      <c r="T82" s="40">
        <f t="shared" si="96"/>
        <v>-5.8779926418428552E-2</v>
      </c>
      <c r="W82" t="str">
        <f t="shared" si="97"/>
        <v>Associate professional occupations</v>
      </c>
      <c r="X82" s="11">
        <f t="shared" si="97"/>
        <v>54.246466187891855</v>
      </c>
      <c r="Y82" s="11">
        <f t="shared" si="97"/>
        <v>57.268031732473958</v>
      </c>
      <c r="Z82" s="11">
        <f t="shared" si="97"/>
        <v>59.575579047617701</v>
      </c>
      <c r="AA82" s="11">
        <f t="shared" si="97"/>
        <v>60.745351138697465</v>
      </c>
      <c r="AB82" s="11">
        <f t="shared" si="97"/>
        <v>66.583026823907986</v>
      </c>
      <c r="AD82" s="40">
        <f t="shared" si="98"/>
        <v>1.8918304026958044</v>
      </c>
      <c r="AE82" s="40">
        <f t="shared" si="99"/>
        <v>0.74411454103375796</v>
      </c>
    </row>
    <row r="83" spans="1:31" x14ac:dyDescent="0.2">
      <c r="A83" t="str">
        <f t="shared" si="92"/>
        <v>Administrative and secretarial occupations</v>
      </c>
      <c r="B83" s="11">
        <f t="shared" si="92"/>
        <v>93.96824546690263</v>
      </c>
      <c r="C83" s="11">
        <f t="shared" si="92"/>
        <v>87.500125810165741</v>
      </c>
      <c r="D83" s="11">
        <f t="shared" si="92"/>
        <v>88.379330022516001</v>
      </c>
      <c r="E83" s="11">
        <f t="shared" si="92"/>
        <v>82.318317359101599</v>
      </c>
      <c r="F83" s="11">
        <f t="shared" si="92"/>
        <v>73.324556568201245</v>
      </c>
      <c r="H83" s="40">
        <f t="shared" si="100"/>
        <v>-1.2188864983476377</v>
      </c>
      <c r="I83" s="40">
        <f t="shared" si="93"/>
        <v>-1.2372328969751711</v>
      </c>
      <c r="L83" t="str">
        <f t="shared" si="94"/>
        <v>Administrative and secretarial occupations</v>
      </c>
      <c r="M83" s="11">
        <f t="shared" si="94"/>
        <v>19.315775986945095</v>
      </c>
      <c r="N83" s="11">
        <f t="shared" si="94"/>
        <v>17.342768396804683</v>
      </c>
      <c r="O83" s="11">
        <f t="shared" si="94"/>
        <v>19.918002208804797</v>
      </c>
      <c r="P83" s="11">
        <f t="shared" si="94"/>
        <v>18.940964496771283</v>
      </c>
      <c r="Q83" s="11">
        <f t="shared" si="94"/>
        <v>20.118559048776248</v>
      </c>
      <c r="S83" s="40">
        <f t="shared" si="95"/>
        <v>0.61592477862513206</v>
      </c>
      <c r="T83" s="40">
        <f t="shared" si="96"/>
        <v>6.6814100072232208E-2</v>
      </c>
      <c r="W83" t="str">
        <f t="shared" si="97"/>
        <v>Administrative and secretarial occupations</v>
      </c>
      <c r="X83" s="11">
        <f t="shared" si="97"/>
        <v>74.652469479957517</v>
      </c>
      <c r="Y83" s="11">
        <f t="shared" si="97"/>
        <v>70.157357413360984</v>
      </c>
      <c r="Z83" s="11">
        <f t="shared" si="97"/>
        <v>68.461327813711264</v>
      </c>
      <c r="AA83" s="11">
        <f t="shared" si="97"/>
        <v>63.377352862330341</v>
      </c>
      <c r="AB83" s="11">
        <f t="shared" si="97"/>
        <v>53.20599751942499</v>
      </c>
      <c r="AD83" s="40">
        <f t="shared" si="98"/>
        <v>-1.7165873477477112</v>
      </c>
      <c r="AE83" s="40">
        <f t="shared" si="99"/>
        <v>-1.6666085078244963</v>
      </c>
    </row>
    <row r="84" spans="1:31" x14ac:dyDescent="0.2">
      <c r="A84" t="str">
        <f t="shared" si="92"/>
        <v>Skilled trades occupations</v>
      </c>
      <c r="B84" s="11">
        <f t="shared" si="92"/>
        <v>81.412516783741452</v>
      </c>
      <c r="C84" s="11">
        <f t="shared" si="92"/>
        <v>77.842029045706752</v>
      </c>
      <c r="D84" s="11">
        <f t="shared" si="92"/>
        <v>68.523564362064846</v>
      </c>
      <c r="E84" s="11">
        <f t="shared" si="92"/>
        <v>71.906951053581963</v>
      </c>
      <c r="F84" s="11">
        <f t="shared" si="92"/>
        <v>71.783414885921047</v>
      </c>
      <c r="H84" s="40">
        <f t="shared" si="100"/>
        <v>-3.3882935883606469</v>
      </c>
      <c r="I84" s="40">
        <f t="shared" si="93"/>
        <v>0.31031894563411377</v>
      </c>
      <c r="L84" t="str">
        <f t="shared" si="94"/>
        <v>Skilled trades occupations</v>
      </c>
      <c r="M84" s="11">
        <f t="shared" si="94"/>
        <v>71.113311805252039</v>
      </c>
      <c r="N84" s="11">
        <f t="shared" si="94"/>
        <v>68.506295457443599</v>
      </c>
      <c r="O84" s="11">
        <f t="shared" si="94"/>
        <v>58.658230332894092</v>
      </c>
      <c r="P84" s="11">
        <f t="shared" si="94"/>
        <v>60.319008457923943</v>
      </c>
      <c r="Q84" s="11">
        <f t="shared" si="94"/>
        <v>58.490123736181921</v>
      </c>
      <c r="S84" s="40">
        <f t="shared" si="95"/>
        <v>-3.7777273016036728</v>
      </c>
      <c r="T84" s="40">
        <f t="shared" si="96"/>
        <v>-1.9131369207348037E-2</v>
      </c>
      <c r="W84" t="str">
        <f t="shared" si="97"/>
        <v>Skilled trades occupations</v>
      </c>
      <c r="X84" s="11">
        <f t="shared" si="97"/>
        <v>10.299204978489465</v>
      </c>
      <c r="Y84" s="11">
        <f t="shared" si="97"/>
        <v>9.3357335882631691</v>
      </c>
      <c r="Z84" s="11">
        <f t="shared" si="97"/>
        <v>9.8653340291707732</v>
      </c>
      <c r="AA84" s="11">
        <f t="shared" si="97"/>
        <v>11.587942595658085</v>
      </c>
      <c r="AB84" s="11">
        <f t="shared" si="97"/>
        <v>13.293291149739115</v>
      </c>
      <c r="AD84" s="40">
        <f t="shared" si="98"/>
        <v>-0.85709991023923404</v>
      </c>
      <c r="AE84" s="40">
        <f t="shared" si="99"/>
        <v>2.0081132310171945</v>
      </c>
    </row>
    <row r="85" spans="1:31" x14ac:dyDescent="0.2">
      <c r="A85" t="str">
        <f t="shared" si="92"/>
        <v>Caring, leisure and other service occupations</v>
      </c>
      <c r="B85" s="11">
        <f t="shared" si="92"/>
        <v>81.542313296358259</v>
      </c>
      <c r="C85" s="11">
        <f t="shared" si="92"/>
        <v>83.203369424048049</v>
      </c>
      <c r="D85" s="11">
        <f t="shared" si="92"/>
        <v>78.928229856731903</v>
      </c>
      <c r="E85" s="11">
        <f t="shared" si="92"/>
        <v>83.465879383626358</v>
      </c>
      <c r="F85" s="11">
        <f t="shared" si="92"/>
        <v>88.550962485980079</v>
      </c>
      <c r="H85" s="40">
        <f t="shared" si="100"/>
        <v>-0.64954349360096808</v>
      </c>
      <c r="I85" s="40">
        <f t="shared" si="93"/>
        <v>0.76987694172052645</v>
      </c>
      <c r="L85" t="str">
        <f t="shared" si="94"/>
        <v>Caring, leisure and other service occupations</v>
      </c>
      <c r="M85" s="11">
        <f t="shared" si="94"/>
        <v>18.406818836599093</v>
      </c>
      <c r="N85" s="11">
        <f t="shared" si="94"/>
        <v>18.383960112274487</v>
      </c>
      <c r="O85" s="11">
        <f t="shared" si="94"/>
        <v>17.65573110470331</v>
      </c>
      <c r="P85" s="11">
        <f t="shared" si="94"/>
        <v>20.219420720177279</v>
      </c>
      <c r="Q85" s="11">
        <f t="shared" si="94"/>
        <v>23.279232456590041</v>
      </c>
      <c r="S85" s="40">
        <f t="shared" si="95"/>
        <v>-0.82975330052245111</v>
      </c>
      <c r="T85" s="40">
        <f t="shared" si="96"/>
        <v>1.8604358331291815</v>
      </c>
      <c r="W85" t="str">
        <f t="shared" si="97"/>
        <v>Caring, leisure and other service occupations</v>
      </c>
      <c r="X85" s="11">
        <f t="shared" si="97"/>
        <v>63.13549445975918</v>
      </c>
      <c r="Y85" s="11">
        <f t="shared" si="97"/>
        <v>64.819409311773512</v>
      </c>
      <c r="Z85" s="11">
        <f t="shared" si="97"/>
        <v>61.272498752028596</v>
      </c>
      <c r="AA85" s="11">
        <f t="shared" si="97"/>
        <v>63.246458663449076</v>
      </c>
      <c r="AB85" s="11">
        <f t="shared" si="97"/>
        <v>65.271730029390071</v>
      </c>
      <c r="AD85" s="40">
        <f>IF(Z$6-X$6 &lt;&gt; 0,(EXP(LN(Z13/X13)/(Z$6-X$6))-1)*100,0)</f>
        <v>-0.59724961318579073</v>
      </c>
      <c r="AE85" s="40">
        <f t="shared" si="99"/>
        <v>0.42240903918266959</v>
      </c>
    </row>
    <row r="86" spans="1:31" x14ac:dyDescent="0.2">
      <c r="A86" t="str">
        <f t="shared" si="92"/>
        <v>Sales and customer service occupations</v>
      </c>
      <c r="B86" s="11">
        <f t="shared" si="92"/>
        <v>67.650112553582659</v>
      </c>
      <c r="C86" s="11">
        <f t="shared" si="92"/>
        <v>66.064672482627699</v>
      </c>
      <c r="D86" s="11">
        <f t="shared" si="92"/>
        <v>66.154645293507599</v>
      </c>
      <c r="E86" s="11">
        <f t="shared" si="92"/>
        <v>66.294151026564577</v>
      </c>
      <c r="F86" s="11">
        <f t="shared" si="92"/>
        <v>66.316025592094505</v>
      </c>
      <c r="H86" s="40">
        <f t="shared" si="100"/>
        <v>-0.44608022635886924</v>
      </c>
      <c r="I86" s="40">
        <f t="shared" si="93"/>
        <v>1.6244449649605031E-2</v>
      </c>
      <c r="L86" t="str">
        <f t="shared" si="94"/>
        <v>Sales and customer service occupations</v>
      </c>
      <c r="M86" s="11">
        <f t="shared" si="94"/>
        <v>28.190988606589045</v>
      </c>
      <c r="N86" s="11">
        <f t="shared" si="94"/>
        <v>27.797289589296284</v>
      </c>
      <c r="O86" s="11">
        <f t="shared" si="94"/>
        <v>28.254533085966351</v>
      </c>
      <c r="P86" s="11">
        <f t="shared" si="94"/>
        <v>29.073560471620262</v>
      </c>
      <c r="Q86" s="11">
        <f t="shared" si="94"/>
        <v>30.166416295184181</v>
      </c>
      <c r="S86" s="40">
        <f t="shared" si="95"/>
        <v>4.5040820759845168E-2</v>
      </c>
      <c r="T86" s="40">
        <f t="shared" si="96"/>
        <v>0.43745642226677983</v>
      </c>
      <c r="W86" t="str">
        <f t="shared" si="97"/>
        <v>Sales and customer service occupations</v>
      </c>
      <c r="X86" s="11">
        <f t="shared" si="97"/>
        <v>39.459123946993628</v>
      </c>
      <c r="Y86" s="11">
        <f t="shared" si="97"/>
        <v>38.267382893331401</v>
      </c>
      <c r="Z86" s="11">
        <f t="shared" si="97"/>
        <v>37.900112207541213</v>
      </c>
      <c r="AA86" s="11">
        <f t="shared" si="97"/>
        <v>37.220590554944359</v>
      </c>
      <c r="AB86" s="11">
        <f t="shared" si="97"/>
        <v>36.149609296910413</v>
      </c>
      <c r="AD86" s="40">
        <f t="shared" si="98"/>
        <v>-0.80298325858979558</v>
      </c>
      <c r="AE86" s="40">
        <f t="shared" si="99"/>
        <v>-0.31475647981563659</v>
      </c>
    </row>
    <row r="87" spans="1:31" x14ac:dyDescent="0.2">
      <c r="A87" t="str">
        <f t="shared" si="92"/>
        <v>Process, plant and machine operatives</v>
      </c>
      <c r="B87" s="11">
        <f t="shared" si="92"/>
        <v>37.86368362937651</v>
      </c>
      <c r="C87" s="11">
        <f t="shared" si="92"/>
        <v>39.74154361038277</v>
      </c>
      <c r="D87" s="11">
        <f t="shared" si="92"/>
        <v>33.643335164535806</v>
      </c>
      <c r="E87" s="11">
        <f t="shared" si="92"/>
        <v>38.00761082025749</v>
      </c>
      <c r="F87" s="11">
        <f t="shared" si="92"/>
        <v>38.048744257037569</v>
      </c>
      <c r="H87" s="40">
        <f t="shared" si="100"/>
        <v>-2.3358362227903662</v>
      </c>
      <c r="I87" s="40">
        <f t="shared" si="93"/>
        <v>0.82372817954072808</v>
      </c>
      <c r="L87" t="str">
        <f t="shared" si="94"/>
        <v>Process, plant and machine operatives</v>
      </c>
      <c r="M87" s="11">
        <f t="shared" si="94"/>
        <v>33.244243672927574</v>
      </c>
      <c r="N87" s="11">
        <f t="shared" si="94"/>
        <v>35.247545346004081</v>
      </c>
      <c r="O87" s="11">
        <f t="shared" si="94"/>
        <v>29.745635438663626</v>
      </c>
      <c r="P87" s="11">
        <f t="shared" si="94"/>
        <v>32.776402448866918</v>
      </c>
      <c r="Q87" s="11">
        <f t="shared" si="94"/>
        <v>32.353970766747487</v>
      </c>
      <c r="S87" s="40">
        <f t="shared" si="95"/>
        <v>-2.199436112409725</v>
      </c>
      <c r="T87" s="40">
        <f t="shared" si="96"/>
        <v>0.56193526008931904</v>
      </c>
      <c r="W87" t="str">
        <f t="shared" si="97"/>
        <v>Process, plant and machine operatives</v>
      </c>
      <c r="X87" s="11">
        <f t="shared" si="97"/>
        <v>4.6194399564489199</v>
      </c>
      <c r="Y87" s="11">
        <f t="shared" si="97"/>
        <v>4.4939982643786482</v>
      </c>
      <c r="Z87" s="11">
        <f t="shared" si="97"/>
        <v>3.897699725872195</v>
      </c>
      <c r="AA87" s="11">
        <f t="shared" si="97"/>
        <v>5.2312083713906041</v>
      </c>
      <c r="AB87" s="11">
        <f t="shared" si="97"/>
        <v>5.69477349029005</v>
      </c>
      <c r="AD87" s="40">
        <f t="shared" si="98"/>
        <v>-3.340663338458183</v>
      </c>
      <c r="AE87" s="40">
        <f t="shared" si="99"/>
        <v>2.5599668366242945</v>
      </c>
    </row>
    <row r="88" spans="1:31" x14ac:dyDescent="0.2">
      <c r="A88" t="str">
        <f t="shared" si="92"/>
        <v>Elementary occupations</v>
      </c>
      <c r="B88" s="11">
        <f t="shared" si="92"/>
        <v>97.277648870906489</v>
      </c>
      <c r="C88" s="11">
        <f t="shared" si="92"/>
        <v>93.142138036950058</v>
      </c>
      <c r="D88" s="11">
        <f t="shared" si="92"/>
        <v>84.814320137323875</v>
      </c>
      <c r="E88" s="11">
        <f t="shared" si="92"/>
        <v>86.062380532069156</v>
      </c>
      <c r="F88" s="11">
        <f t="shared" si="92"/>
        <v>83.448184336130424</v>
      </c>
      <c r="H88" s="40">
        <f t="shared" si="100"/>
        <v>-2.7048428348231068</v>
      </c>
      <c r="I88" s="40">
        <f t="shared" si="93"/>
        <v>-0.10819812836684317</v>
      </c>
      <c r="L88" t="str">
        <f t="shared" si="94"/>
        <v>Elementary occupations</v>
      </c>
      <c r="M88" s="11">
        <f t="shared" si="94"/>
        <v>49.548468852234492</v>
      </c>
      <c r="N88" s="11">
        <f t="shared" si="94"/>
        <v>46.604251452757801</v>
      </c>
      <c r="O88" s="11">
        <f t="shared" si="94"/>
        <v>42.859983313660472</v>
      </c>
      <c r="P88" s="11">
        <f t="shared" si="94"/>
        <v>44.357309353701382</v>
      </c>
      <c r="Q88" s="11">
        <f t="shared" si="94"/>
        <v>42.237538824797184</v>
      </c>
      <c r="S88" s="40">
        <f t="shared" si="95"/>
        <v>-2.8586014295619799</v>
      </c>
      <c r="T88" s="40">
        <f t="shared" si="96"/>
        <v>-9.7480653253945171E-2</v>
      </c>
      <c r="W88" t="str">
        <f t="shared" si="97"/>
        <v>Elementary occupations</v>
      </c>
      <c r="X88" s="11">
        <f t="shared" si="97"/>
        <v>47.729180018671805</v>
      </c>
      <c r="Y88" s="11">
        <f t="shared" si="97"/>
        <v>46.537886584192336</v>
      </c>
      <c r="Z88" s="11">
        <f t="shared" si="97"/>
        <v>41.954336823663439</v>
      </c>
      <c r="AA88" s="11">
        <f t="shared" si="97"/>
        <v>41.705071178367888</v>
      </c>
      <c r="AB88" s="11">
        <f t="shared" si="97"/>
        <v>41.210645511333169</v>
      </c>
      <c r="AD88" s="40">
        <f t="shared" si="98"/>
        <v>-2.5462450382405688</v>
      </c>
      <c r="AE88" s="40">
        <f t="shared" si="99"/>
        <v>-0.11916360486525779</v>
      </c>
    </row>
    <row r="89" spans="1:31" x14ac:dyDescent="0.2">
      <c r="B89" s="11"/>
      <c r="C89" s="11"/>
      <c r="D89" s="11"/>
      <c r="E89" s="11"/>
      <c r="F89" s="11"/>
      <c r="H89" s="40"/>
      <c r="I89" s="40"/>
      <c r="M89" s="11"/>
      <c r="N89" s="11"/>
      <c r="O89" s="11"/>
      <c r="P89" s="11"/>
      <c r="Q89" s="11"/>
      <c r="S89" s="40"/>
      <c r="T89" s="40"/>
      <c r="X89" s="11"/>
      <c r="Y89" s="11"/>
      <c r="Z89" s="11"/>
      <c r="AA89" s="11"/>
      <c r="AB89" s="11"/>
      <c r="AD89" s="40"/>
      <c r="AE89" s="40"/>
    </row>
    <row r="90" spans="1:31" x14ac:dyDescent="0.2">
      <c r="A90" s="24" t="str">
        <f t="shared" ref="A90:F90" si="101">A18</f>
        <v>All occupations</v>
      </c>
      <c r="B90" s="34">
        <f t="shared" si="101"/>
        <v>865.00499999999988</v>
      </c>
      <c r="C90" s="34">
        <f t="shared" si="101"/>
        <v>882.44900000000052</v>
      </c>
      <c r="D90" s="34">
        <f t="shared" si="101"/>
        <v>864.63999999999965</v>
      </c>
      <c r="E90" s="34">
        <f t="shared" si="101"/>
        <v>889.97999999999945</v>
      </c>
      <c r="F90" s="34">
        <f t="shared" si="101"/>
        <v>925.47800000000007</v>
      </c>
      <c r="H90" s="43">
        <f>IF(D$6-B$6 &lt;&gt; 0,(EXP(LN(D18/B18)/(D$6-B$6))-1)*100,0)</f>
        <v>-8.4406823586569146E-3</v>
      </c>
      <c r="I90" s="43">
        <f>F56</f>
        <v>0.45434319276140833</v>
      </c>
      <c r="L90" s="24" t="str">
        <f t="shared" ref="L90:Q90" si="102">L18</f>
        <v>All occupations</v>
      </c>
      <c r="M90" s="34">
        <f t="shared" si="102"/>
        <v>451.48896050555686</v>
      </c>
      <c r="N90" s="34">
        <f t="shared" si="102"/>
        <v>455.42579368363357</v>
      </c>
      <c r="O90" s="34">
        <f t="shared" si="102"/>
        <v>441.0972178583288</v>
      </c>
      <c r="P90" s="34">
        <f t="shared" si="102"/>
        <v>455.15699328692824</v>
      </c>
      <c r="Q90" s="34">
        <f t="shared" si="102"/>
        <v>473.49867150195911</v>
      </c>
      <c r="S90" s="43">
        <f>IF(O$6-M$6 &lt;&gt; 0,(EXP(LN(O18/M18)/(O$6-M$6))-1)*100,0)</f>
        <v>-0.46462968192506615</v>
      </c>
      <c r="T90" s="43">
        <f>Q56</f>
        <v>0.4736770336640328</v>
      </c>
      <c r="W90" s="24" t="str">
        <f t="shared" ref="W90:AB90" si="103">W18</f>
        <v>All occupations</v>
      </c>
      <c r="X90" s="34">
        <f t="shared" si="103"/>
        <v>413.51603949444308</v>
      </c>
      <c r="Y90" s="34">
        <f t="shared" si="103"/>
        <v>427.02320631636672</v>
      </c>
      <c r="Z90" s="34">
        <f t="shared" si="103"/>
        <v>423.54278214167101</v>
      </c>
      <c r="AA90" s="34">
        <f t="shared" si="103"/>
        <v>434.82300671307166</v>
      </c>
      <c r="AB90" s="34">
        <f t="shared" si="103"/>
        <v>451.97932849804107</v>
      </c>
      <c r="AD90" s="43">
        <f>IF(Z$6-X$6 &lt;&gt; 0,(EXP(LN(Z18/X18)/(Z$6-X$6))-1)*100,0)</f>
        <v>0.48031435091149266</v>
      </c>
      <c r="AE90" s="43">
        <f>AB56</f>
        <v>0.43415249624276786</v>
      </c>
    </row>
  </sheetData>
  <phoneticPr fontId="4" type="noConversion"/>
  <pageMargins left="0.39370078740157483" right="0.39370078740157483" top="0.78740157480314965" bottom="0.78740157480314965" header="0.51181102362204722" footer="0.51181102362204722"/>
  <pageSetup paperSize="9" scale="73" fitToHeight="0" orientation="landscape" r:id="rId1"/>
  <headerFooter alignWithMargins="0"/>
  <rowBreaks count="1" manualBreakCount="1">
    <brk id="38" max="31" man="1"/>
  </rowBreaks>
  <colBreaks count="2" manualBreakCount="2">
    <brk id="11" max="89" man="1"/>
    <brk id="22" max="89" man="1"/>
  </colBreaks>
  <ignoredErrors>
    <ignoredError sqref="C45 C57:C61 C63" 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2"/>
  <dimension ref="A1:AF182"/>
  <sheetViews>
    <sheetView showGridLines="0" zoomScale="85" zoomScaleNormal="85" workbookViewId="0"/>
  </sheetViews>
  <sheetFormatPr defaultColWidth="9.140625" defaultRowHeight="12.75" x14ac:dyDescent="0.2"/>
  <cols>
    <col min="1" max="1" width="55.7109375" customWidth="1"/>
    <col min="2" max="6" width="10" customWidth="1"/>
    <col min="7" max="7" width="6.7109375" customWidth="1"/>
    <col min="8" max="10" width="13" customWidth="1"/>
    <col min="12" max="12" width="55.7109375" customWidth="1"/>
    <col min="13" max="17" width="10" customWidth="1"/>
    <col min="18" max="18" width="6.7109375" customWidth="1"/>
    <col min="19" max="21" width="13" customWidth="1"/>
    <col min="23" max="23" width="55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2  Employment Change by Occupation (SOC 2020) and Replacement Demand, ",B$6,"-",F$6,", ",Info!B5)</f>
        <v>Occupation Table 2  Employment Change by Occupation (SOC 2020) and Replacement Demand, 2015-2035, Enterprise M3</v>
      </c>
      <c r="L1" s="19" t="str">
        <f>CONCATENATE("Occupation Table 2.1  Males: Employment Change by Occupation (SOC 2020) and Replacement Demand, ",M$6,"-",Q$6,", ",Info!B5)</f>
        <v>Occupation Table 2.1  Males: Employment Change by Occupation (SOC 2020) and Replacement Demand, 2015-2035, Enterprise M3</v>
      </c>
      <c r="W1" s="19" t="str">
        <f>CONCATENATE("Occupation Table 2.2  Females: Employment Change by Occupation (SOC 2020) and Replacement Demand, ",X$6,"-",AB$6,", ",Info!B5)</f>
        <v>Occupation Table 2.2  Females: Employment Change by Occupation (SOC 2020) and Replacement Demand, 2015-2035, Enterprise M3</v>
      </c>
    </row>
    <row r="2" spans="1:32" ht="12.75" customHeight="1" x14ac:dyDescent="0.2">
      <c r="A2" s="182" t="s">
        <v>520</v>
      </c>
      <c r="D2" s="340"/>
      <c r="G2" s="86"/>
      <c r="J2" s="86"/>
      <c r="M2" s="86"/>
      <c r="P2" s="86"/>
      <c r="S2" s="86"/>
      <c r="V2" s="86"/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99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99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99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18</v>
      </c>
      <c r="B6" s="42">
        <v>2015</v>
      </c>
      <c r="C6" s="42">
        <v>2019</v>
      </c>
      <c r="D6" s="42">
        <v>2020</v>
      </c>
      <c r="E6" s="42">
        <v>2025</v>
      </c>
      <c r="F6" s="42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42">
        <f>B6</f>
        <v>2015</v>
      </c>
      <c r="N6" s="42">
        <f t="shared" ref="N6:Q6" si="0">C6</f>
        <v>2019</v>
      </c>
      <c r="O6" s="42">
        <f t="shared" si="0"/>
        <v>2020</v>
      </c>
      <c r="P6" s="42">
        <f t="shared" si="0"/>
        <v>2025</v>
      </c>
      <c r="Q6" s="42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42">
        <f>B6</f>
        <v>2015</v>
      </c>
      <c r="Y6" s="42">
        <f t="shared" ref="Y6:AB6" si="1">C6</f>
        <v>2019</v>
      </c>
      <c r="Z6" s="42">
        <f t="shared" si="1"/>
        <v>2020</v>
      </c>
      <c r="AA6" s="42">
        <f t="shared" si="1"/>
        <v>2025</v>
      </c>
      <c r="AB6" s="42">
        <f t="shared" si="1"/>
        <v>2035</v>
      </c>
      <c r="AD6" s="63" t="s">
        <v>19</v>
      </c>
      <c r="AE6" s="63" t="s">
        <v>32</v>
      </c>
      <c r="AF6" s="63" t="s">
        <v>34</v>
      </c>
    </row>
    <row r="8" spans="1:32" x14ac:dyDescent="0.2">
      <c r="A8" s="10" t="str">
        <f>name!D4</f>
        <v>11 Corporate managers and directors</v>
      </c>
      <c r="B8" s="11">
        <v>68.673395206321104</v>
      </c>
      <c r="C8" s="11">
        <v>78.354158175892394</v>
      </c>
      <c r="D8" s="11">
        <v>78.879841298032446</v>
      </c>
      <c r="E8" s="11">
        <v>74.416082347702968</v>
      </c>
      <c r="F8" s="11">
        <v>81.205940364543608</v>
      </c>
      <c r="G8" s="10"/>
      <c r="H8" s="11">
        <f>F8-D8</f>
        <v>2.3260990665111621</v>
      </c>
      <c r="I8" s="11">
        <f>'RD T1'!E7</f>
        <v>39.373556031260712</v>
      </c>
      <c r="J8" s="11">
        <f>SUM(H8:I8)</f>
        <v>41.699655097771874</v>
      </c>
      <c r="L8" s="10" t="str">
        <f>name!D4</f>
        <v>11 Corporate managers and directors</v>
      </c>
      <c r="M8" s="11">
        <v>47.061462302732686</v>
      </c>
      <c r="N8" s="11">
        <v>51.352946039954624</v>
      </c>
      <c r="O8" s="11">
        <v>51.334894775556322</v>
      </c>
      <c r="P8" s="11">
        <v>46.968965373195431</v>
      </c>
      <c r="Q8" s="11">
        <v>49.347617273000978</v>
      </c>
      <c r="R8" s="10"/>
      <c r="S8" s="11">
        <f>Q8-O8</f>
        <v>-1.9872775025553437</v>
      </c>
      <c r="T8" s="11">
        <f>'RD T1'!T7</f>
        <v>22.450170740728666</v>
      </c>
      <c r="U8" s="11">
        <f>SUM(S8:T8)</f>
        <v>20.462893238173322</v>
      </c>
      <c r="W8" s="10" t="str">
        <f>name!D4</f>
        <v>11 Corporate managers and directors</v>
      </c>
      <c r="X8" s="11">
        <v>21.611932903588336</v>
      </c>
      <c r="Y8" s="11">
        <v>27.001212135937706</v>
      </c>
      <c r="Z8" s="11">
        <v>27.544946522476089</v>
      </c>
      <c r="AA8" s="11">
        <v>27.447116974507583</v>
      </c>
      <c r="AB8" s="11">
        <v>31.858323091542704</v>
      </c>
      <c r="AC8" s="10"/>
      <c r="AD8" s="11">
        <f>AB8-Z8</f>
        <v>4.3133765690666159</v>
      </c>
      <c r="AE8" s="11">
        <f>'RD T1'!T36</f>
        <v>16.923385290532046</v>
      </c>
      <c r="AF8" s="11">
        <f>SUM(AD8:AE8)</f>
        <v>21.236761859598662</v>
      </c>
    </row>
    <row r="9" spans="1:32" x14ac:dyDescent="0.2">
      <c r="A9" s="10" t="str">
        <f>name!D5</f>
        <v>12 Other managers and proprietors</v>
      </c>
      <c r="B9" s="11">
        <v>31.150010460958992</v>
      </c>
      <c r="C9" s="11">
        <v>31.560410730472807</v>
      </c>
      <c r="D9" s="11">
        <v>31.0501044843197</v>
      </c>
      <c r="E9" s="11">
        <v>39.276270482513567</v>
      </c>
      <c r="F9" s="11">
        <v>45.743508847547353</v>
      </c>
      <c r="H9" s="11">
        <f t="shared" ref="H9:H32" si="2">F9-D9</f>
        <v>14.693404363227653</v>
      </c>
      <c r="I9" s="11">
        <f>'RD T1'!E8</f>
        <v>23.193557324657309</v>
      </c>
      <c r="J9" s="11">
        <f>SUM(H9:I9)</f>
        <v>37.886961687884963</v>
      </c>
      <c r="L9" s="10" t="str">
        <f>name!D5</f>
        <v>12 Other managers and proprietors</v>
      </c>
      <c r="M9" s="11">
        <v>17.901713066966657</v>
      </c>
      <c r="N9" s="11">
        <v>18.025967708553772</v>
      </c>
      <c r="O9" s="11">
        <v>16.919958665319651</v>
      </c>
      <c r="P9" s="11">
        <v>21.854033899794867</v>
      </c>
      <c r="Q9" s="11">
        <v>25.011353810631842</v>
      </c>
      <c r="S9" s="11">
        <f t="shared" ref="S9:S32" si="3">Q9-O9</f>
        <v>8.0913951453121911</v>
      </c>
      <c r="T9" s="11">
        <f>'RD T1'!T8</f>
        <v>11.397113873660926</v>
      </c>
      <c r="U9" s="11">
        <f>SUM(S9:T9)</f>
        <v>19.488509018973119</v>
      </c>
      <c r="W9" s="10" t="str">
        <f>name!D5</f>
        <v>12 Other managers and proprietors</v>
      </c>
      <c r="X9" s="11">
        <v>13.248297393992313</v>
      </c>
      <c r="Y9" s="11">
        <v>13.53444302191904</v>
      </c>
      <c r="Z9" s="11">
        <v>14.130145819000019</v>
      </c>
      <c r="AA9" s="11">
        <v>17.422236582718735</v>
      </c>
      <c r="AB9" s="11">
        <v>20.7321550369156</v>
      </c>
      <c r="AD9" s="11">
        <f t="shared" ref="AD9:AD32" si="4">AB9-Z9</f>
        <v>6.6020092179155814</v>
      </c>
      <c r="AE9" s="11">
        <f>'RD T1'!T37</f>
        <v>11.796443450996387</v>
      </c>
      <c r="AF9" s="11">
        <f>SUM(AD9:AE9)</f>
        <v>18.398452668911968</v>
      </c>
    </row>
    <row r="10" spans="1:32" x14ac:dyDescent="0.2">
      <c r="A10" s="10" t="str">
        <f>name!D6</f>
        <v>21 Science, research, engineering and technology professionals</v>
      </c>
      <c r="B10" s="11">
        <v>63.176564041394101</v>
      </c>
      <c r="C10" s="11">
        <v>67.962409440888067</v>
      </c>
      <c r="D10" s="11">
        <v>69.933180691612307</v>
      </c>
      <c r="E10" s="11">
        <v>74.453936611404387</v>
      </c>
      <c r="F10" s="11">
        <v>81.977793168316026</v>
      </c>
      <c r="G10" s="11"/>
      <c r="H10" s="11">
        <f t="shared" si="2"/>
        <v>12.044612476703719</v>
      </c>
      <c r="I10" s="11">
        <f>'RD T1'!E9</f>
        <v>28.714939391764933</v>
      </c>
      <c r="J10" s="11">
        <f t="shared" ref="J10:J32" si="5">SUM(H10:I10)</f>
        <v>40.759551868468648</v>
      </c>
      <c r="L10" s="10" t="str">
        <f>name!D6</f>
        <v>21 Science, research, engineering and technology professionals</v>
      </c>
      <c r="M10" s="11">
        <v>50.346544547552391</v>
      </c>
      <c r="N10" s="11">
        <v>54.358891839603281</v>
      </c>
      <c r="O10" s="11">
        <v>53.663537123871947</v>
      </c>
      <c r="P10" s="11">
        <v>55.309003853057114</v>
      </c>
      <c r="Q10" s="11">
        <v>59.505482196258789</v>
      </c>
      <c r="R10" s="11"/>
      <c r="S10" s="11">
        <f t="shared" si="3"/>
        <v>5.8419450723868422</v>
      </c>
      <c r="T10" s="11">
        <f>'RD T1'!T9</f>
        <v>18.54219453407504</v>
      </c>
      <c r="U10" s="11">
        <f t="shared" ref="U10:U32" si="6">SUM(S10:T10)</f>
        <v>24.384139606461883</v>
      </c>
      <c r="W10" s="10" t="str">
        <f>name!D6</f>
        <v>21 Science, research, engineering and technology professionals</v>
      </c>
      <c r="X10" s="11">
        <v>12.83001949384167</v>
      </c>
      <c r="Y10" s="11">
        <v>13.60351760128467</v>
      </c>
      <c r="Z10" s="11">
        <v>16.269643567740438</v>
      </c>
      <c r="AA10" s="11">
        <v>19.144932758347309</v>
      </c>
      <c r="AB10" s="11">
        <v>22.472310972057194</v>
      </c>
      <c r="AC10" s="11"/>
      <c r="AD10" s="11">
        <f t="shared" si="4"/>
        <v>6.202667404316756</v>
      </c>
      <c r="AE10" s="11">
        <f>'RD T1'!T38</f>
        <v>10.17274485768989</v>
      </c>
      <c r="AF10" s="11">
        <f t="shared" ref="AF10:AF32" si="7">SUM(AD10:AE10)</f>
        <v>16.375412262006648</v>
      </c>
    </row>
    <row r="11" spans="1:32" x14ac:dyDescent="0.2">
      <c r="A11" s="10" t="str">
        <f>name!D7</f>
        <v>22 Health professionals</v>
      </c>
      <c r="B11" s="11">
        <v>28.267194384711377</v>
      </c>
      <c r="C11" s="11">
        <v>33.804261892733194</v>
      </c>
      <c r="D11" s="11">
        <v>33.507088363575704</v>
      </c>
      <c r="E11" s="11">
        <v>35.446328771962605</v>
      </c>
      <c r="F11" s="11">
        <v>37.145736440383374</v>
      </c>
      <c r="G11" s="11"/>
      <c r="H11" s="11">
        <f t="shared" si="2"/>
        <v>3.6386480768076694</v>
      </c>
      <c r="I11" s="11">
        <f>'RD T1'!E10</f>
        <v>19.128465251265666</v>
      </c>
      <c r="J11" s="11">
        <f t="shared" si="5"/>
        <v>22.767113328073336</v>
      </c>
      <c r="L11" s="10" t="str">
        <f>name!D7</f>
        <v>22 Health professionals</v>
      </c>
      <c r="M11" s="11">
        <v>6.1180916749762089</v>
      </c>
      <c r="N11" s="11">
        <v>7.194605074061668</v>
      </c>
      <c r="O11" s="11">
        <v>7.7171536857218275</v>
      </c>
      <c r="P11" s="11">
        <v>8.1075383589400367</v>
      </c>
      <c r="Q11" s="11">
        <v>8.5250487073176586</v>
      </c>
      <c r="R11" s="11"/>
      <c r="S11" s="11">
        <f t="shared" si="3"/>
        <v>0.80789502159583115</v>
      </c>
      <c r="T11" s="11">
        <f>'RD T1'!T10</f>
        <v>3.0546280572070459</v>
      </c>
      <c r="U11" s="11">
        <f t="shared" si="6"/>
        <v>3.862523078802877</v>
      </c>
      <c r="W11" s="10" t="str">
        <f>name!D7</f>
        <v>22 Health professionals</v>
      </c>
      <c r="X11" s="11">
        <v>22.1491027097352</v>
      </c>
      <c r="Y11" s="11">
        <v>26.609656818671528</v>
      </c>
      <c r="Z11" s="11">
        <v>25.789934677853875</v>
      </c>
      <c r="AA11" s="11">
        <v>27.338790413022565</v>
      </c>
      <c r="AB11" s="11">
        <v>28.620687733065719</v>
      </c>
      <c r="AC11" s="11"/>
      <c r="AD11" s="11">
        <f t="shared" si="4"/>
        <v>2.8307530552118436</v>
      </c>
      <c r="AE11" s="11">
        <f>'RD T1'!T39</f>
        <v>16.073837194058623</v>
      </c>
      <c r="AF11" s="11">
        <f t="shared" si="7"/>
        <v>18.904590249270466</v>
      </c>
    </row>
    <row r="12" spans="1:32" x14ac:dyDescent="0.2">
      <c r="A12" s="10" t="str">
        <f>name!D8</f>
        <v>23 Teaching and other educational professionals</v>
      </c>
      <c r="B12" s="11">
        <v>38.222998373704257</v>
      </c>
      <c r="C12" s="11">
        <v>39.126425629130246</v>
      </c>
      <c r="D12" s="11">
        <v>39.418497018336062</v>
      </c>
      <c r="E12" s="11">
        <v>40.742480700690237</v>
      </c>
      <c r="F12" s="11">
        <v>43.903871917542446</v>
      </c>
      <c r="G12" s="11"/>
      <c r="H12" s="11">
        <f t="shared" si="2"/>
        <v>4.4853748992063842</v>
      </c>
      <c r="I12" s="11">
        <f>'RD T1'!E11</f>
        <v>21.423357975041796</v>
      </c>
      <c r="J12" s="11">
        <f t="shared" si="5"/>
        <v>25.90873287424818</v>
      </c>
      <c r="L12" s="10" t="str">
        <f>name!D8</f>
        <v>23 Teaching and other educational professionals</v>
      </c>
      <c r="M12" s="11">
        <v>12.016821943185226</v>
      </c>
      <c r="N12" s="11">
        <v>11.654590292384558</v>
      </c>
      <c r="O12" s="11">
        <v>12.388805970653415</v>
      </c>
      <c r="P12" s="11">
        <v>13.326928087556256</v>
      </c>
      <c r="Q12" s="11">
        <v>14.320841966154246</v>
      </c>
      <c r="R12" s="11"/>
      <c r="S12" s="11">
        <f t="shared" si="3"/>
        <v>1.932035995500831</v>
      </c>
      <c r="T12" s="11">
        <f>'RD T1'!T11</f>
        <v>5.8015309105220414</v>
      </c>
      <c r="U12" s="11">
        <f t="shared" si="6"/>
        <v>7.7335669060228724</v>
      </c>
      <c r="W12" s="10" t="str">
        <f>name!D8</f>
        <v>23 Teaching and other educational professionals</v>
      </c>
      <c r="X12" s="11">
        <v>26.206176430519069</v>
      </c>
      <c r="Y12" s="11">
        <v>27.471835336745716</v>
      </c>
      <c r="Z12" s="11">
        <v>27.029691047682768</v>
      </c>
      <c r="AA12" s="11">
        <v>27.415552613134015</v>
      </c>
      <c r="AB12" s="11">
        <v>29.58302995138822</v>
      </c>
      <c r="AC12" s="11"/>
      <c r="AD12" s="11">
        <f t="shared" si="4"/>
        <v>2.5533389037054519</v>
      </c>
      <c r="AE12" s="11">
        <f>'RD T1'!T40</f>
        <v>15.621827064519758</v>
      </c>
      <c r="AF12" s="11">
        <f t="shared" si="7"/>
        <v>18.175165968225208</v>
      </c>
    </row>
    <row r="13" spans="1:32" x14ac:dyDescent="0.2">
      <c r="A13" s="10" t="str">
        <f>name!D9</f>
        <v>24 Business, media and public service professionals</v>
      </c>
      <c r="B13" s="11">
        <v>57.737964261655698</v>
      </c>
      <c r="C13" s="11">
        <v>64.092050381121737</v>
      </c>
      <c r="D13" s="11">
        <v>67.322193591479675</v>
      </c>
      <c r="E13" s="11">
        <v>75.317210889773705</v>
      </c>
      <c r="F13" s="11">
        <v>83.502594033223147</v>
      </c>
      <c r="G13" s="11"/>
      <c r="H13" s="11">
        <f t="shared" si="2"/>
        <v>16.180400441743473</v>
      </c>
      <c r="I13" s="11">
        <f>'RD T1'!E12</f>
        <v>36.680329812918323</v>
      </c>
      <c r="J13" s="11">
        <f t="shared" si="5"/>
        <v>52.860730254661796</v>
      </c>
      <c r="L13" s="10" t="str">
        <f>name!D9</f>
        <v>24 Business, media and public service professionals</v>
      </c>
      <c r="M13" s="11">
        <v>34.408832727101583</v>
      </c>
      <c r="N13" s="11">
        <v>36.169308767087735</v>
      </c>
      <c r="O13" s="11">
        <v>37.470661484166961</v>
      </c>
      <c r="P13" s="11">
        <v>42.376808883269945</v>
      </c>
      <c r="Q13" s="11">
        <v>46.198846141147392</v>
      </c>
      <c r="R13" s="11"/>
      <c r="S13" s="11">
        <f t="shared" si="3"/>
        <v>8.7281846569804316</v>
      </c>
      <c r="T13" s="11">
        <f>'RD T1'!T12</f>
        <v>18.173919274952681</v>
      </c>
      <c r="U13" s="11">
        <f t="shared" si="6"/>
        <v>26.902103931933112</v>
      </c>
      <c r="W13" s="10" t="str">
        <f>name!D9</f>
        <v>24 Business, media and public service professionals</v>
      </c>
      <c r="X13" s="11">
        <v>23.329131534554175</v>
      </c>
      <c r="Y13" s="11">
        <v>27.922741614034035</v>
      </c>
      <c r="Z13" s="11">
        <v>29.851532107312661</v>
      </c>
      <c r="AA13" s="11">
        <v>32.940402006503682</v>
      </c>
      <c r="AB13" s="11">
        <v>37.303747892075826</v>
      </c>
      <c r="AC13" s="11"/>
      <c r="AD13" s="11">
        <f t="shared" si="4"/>
        <v>7.4522157847631654</v>
      </c>
      <c r="AE13" s="11">
        <f>'RD T1'!T41</f>
        <v>18.50641053796565</v>
      </c>
      <c r="AF13" s="11">
        <f t="shared" si="7"/>
        <v>25.958626322728815</v>
      </c>
    </row>
    <row r="14" spans="1:32" x14ac:dyDescent="0.2">
      <c r="A14" s="10" t="str">
        <f>name!D10</f>
        <v>31 Science, engineering and technology associate professionals</v>
      </c>
      <c r="B14" s="11">
        <v>15.495168489057251</v>
      </c>
      <c r="C14" s="11">
        <v>17.069560549647854</v>
      </c>
      <c r="D14" s="11">
        <v>18.372333308333101</v>
      </c>
      <c r="E14" s="11">
        <v>16.390845416542803</v>
      </c>
      <c r="F14" s="11">
        <v>17.616695063451782</v>
      </c>
      <c r="G14" s="11"/>
      <c r="H14" s="11">
        <f t="shared" si="2"/>
        <v>-0.75563824488131814</v>
      </c>
      <c r="I14" s="11">
        <f>'RD T1'!E13</f>
        <v>7.0699817472128563</v>
      </c>
      <c r="J14" s="11">
        <f t="shared" si="5"/>
        <v>6.3143435023315382</v>
      </c>
      <c r="L14" s="10" t="str">
        <f>name!D10</f>
        <v>31 Science, engineering and technology associate professionals</v>
      </c>
      <c r="M14" s="11">
        <v>10.719833909804809</v>
      </c>
      <c r="N14" s="11">
        <v>12.270902057539265</v>
      </c>
      <c r="O14" s="11">
        <v>12.602651998065593</v>
      </c>
      <c r="P14" s="11">
        <v>10.436442662049677</v>
      </c>
      <c r="Q14" s="11">
        <v>10.611954146631591</v>
      </c>
      <c r="R14" s="11"/>
      <c r="S14" s="11">
        <f t="shared" si="3"/>
        <v>-1.9906978514340015</v>
      </c>
      <c r="T14" s="11">
        <f>'RD T1'!T13</f>
        <v>3.9152368590180342</v>
      </c>
      <c r="U14" s="11">
        <f t="shared" si="6"/>
        <v>1.9245390075840327</v>
      </c>
      <c r="W14" s="10" t="str">
        <f>name!D10</f>
        <v>31 Science, engineering and technology associate professionals</v>
      </c>
      <c r="X14" s="11">
        <v>4.7753345792524247</v>
      </c>
      <c r="Y14" s="11">
        <v>4.798658492108566</v>
      </c>
      <c r="Z14" s="11">
        <v>5.7696813102675133</v>
      </c>
      <c r="AA14" s="11">
        <v>5.9544027544931204</v>
      </c>
      <c r="AB14" s="11">
        <v>7.0047409168201789</v>
      </c>
      <c r="AC14" s="11"/>
      <c r="AD14" s="11">
        <f t="shared" si="4"/>
        <v>1.2350596065526656</v>
      </c>
      <c r="AE14" s="11">
        <f>'RD T1'!T42</f>
        <v>3.1547448881948239</v>
      </c>
      <c r="AF14" s="11">
        <f t="shared" si="7"/>
        <v>4.389804494747489</v>
      </c>
    </row>
    <row r="15" spans="1:32" x14ac:dyDescent="0.2">
      <c r="A15" s="10" t="str">
        <f>name!D11</f>
        <v>32 Health and social care associate professionals</v>
      </c>
      <c r="B15" s="11">
        <v>12.707484419440277</v>
      </c>
      <c r="C15" s="11">
        <v>14.445980344186147</v>
      </c>
      <c r="D15" s="11">
        <v>14.702827358199553</v>
      </c>
      <c r="E15" s="11">
        <v>14.669006530218624</v>
      </c>
      <c r="F15" s="11">
        <v>15.567270685868875</v>
      </c>
      <c r="G15" s="11"/>
      <c r="H15" s="11">
        <f t="shared" si="2"/>
        <v>0.86444332766932241</v>
      </c>
      <c r="I15" s="11">
        <f>'RD T1'!E14</f>
        <v>8.54259138236241</v>
      </c>
      <c r="J15" s="11">
        <f t="shared" si="5"/>
        <v>9.4070347100317324</v>
      </c>
      <c r="L15" s="10" t="str">
        <f>name!D11</f>
        <v>32 Health and social care associate professionals</v>
      </c>
      <c r="M15" s="11">
        <v>2.6081296876100293</v>
      </c>
      <c r="N15" s="11">
        <v>2.6522488175463739</v>
      </c>
      <c r="O15" s="11">
        <v>3.006480564146885</v>
      </c>
      <c r="P15" s="11">
        <v>2.6832013973246078</v>
      </c>
      <c r="Q15" s="11">
        <v>2.7920022577968115</v>
      </c>
      <c r="R15" s="11"/>
      <c r="S15" s="11">
        <f t="shared" si="3"/>
        <v>-0.21447830635007348</v>
      </c>
      <c r="T15" s="11">
        <f>'RD T1'!T14</f>
        <v>1.2583051674366028</v>
      </c>
      <c r="U15" s="11">
        <f t="shared" si="6"/>
        <v>1.0438268610865293</v>
      </c>
      <c r="W15" s="10" t="str">
        <f>name!D11</f>
        <v>32 Health and social care associate professionals</v>
      </c>
      <c r="X15" s="11">
        <v>10.09935473183025</v>
      </c>
      <c r="Y15" s="11">
        <v>11.793731526639766</v>
      </c>
      <c r="Z15" s="11">
        <v>11.696346794052676</v>
      </c>
      <c r="AA15" s="11">
        <v>11.985805132894033</v>
      </c>
      <c r="AB15" s="11">
        <v>12.775268428072062</v>
      </c>
      <c r="AC15" s="11"/>
      <c r="AD15" s="11">
        <f t="shared" si="4"/>
        <v>1.0789216340193857</v>
      </c>
      <c r="AE15" s="11">
        <f>'RD T1'!T43</f>
        <v>7.2842862149258067</v>
      </c>
      <c r="AF15" s="11">
        <f t="shared" si="7"/>
        <v>8.3632078489451924</v>
      </c>
    </row>
    <row r="16" spans="1:32" x14ac:dyDescent="0.2">
      <c r="A16" s="10" t="str">
        <f>name!D12</f>
        <v>33 Protective service occupations</v>
      </c>
      <c r="B16" s="11">
        <v>10.245227559390734</v>
      </c>
      <c r="C16" s="11">
        <v>9.7022571982924486</v>
      </c>
      <c r="D16" s="11">
        <v>10.190391215898869</v>
      </c>
      <c r="E16" s="11">
        <v>12.247353027579933</v>
      </c>
      <c r="F16" s="11">
        <v>13.966560653587337</v>
      </c>
      <c r="G16" s="11"/>
      <c r="H16" s="11">
        <f t="shared" si="2"/>
        <v>3.776169437688468</v>
      </c>
      <c r="I16" s="11">
        <f>'RD T1'!E15</f>
        <v>4.3755790589020194</v>
      </c>
      <c r="J16" s="11">
        <f t="shared" si="5"/>
        <v>8.1517484965904874</v>
      </c>
      <c r="L16" s="10" t="str">
        <f>name!D12</f>
        <v>33 Protective service occupations</v>
      </c>
      <c r="M16" s="11">
        <v>8.0582778342148007</v>
      </c>
      <c r="N16" s="11">
        <v>7.3538520086701284</v>
      </c>
      <c r="O16" s="11">
        <v>7.5785391566407831</v>
      </c>
      <c r="P16" s="11">
        <v>8.7354382889116557</v>
      </c>
      <c r="Q16" s="11">
        <v>9.3897920371263535</v>
      </c>
      <c r="R16" s="11"/>
      <c r="S16" s="11">
        <f t="shared" si="3"/>
        <v>1.8112528804855703</v>
      </c>
      <c r="T16" s="11">
        <f>'RD T1'!T15</f>
        <v>2.4956906313626632</v>
      </c>
      <c r="U16" s="11">
        <f t="shared" si="6"/>
        <v>4.3069435118482335</v>
      </c>
      <c r="W16" s="10" t="str">
        <f>name!D12</f>
        <v>33 Protective service occupations</v>
      </c>
      <c r="X16" s="11">
        <v>2.1869497251759333</v>
      </c>
      <c r="Y16" s="11">
        <v>2.3484051896223122</v>
      </c>
      <c r="Z16" s="11">
        <v>2.6118520592580938</v>
      </c>
      <c r="AA16" s="11">
        <v>3.5119147386682736</v>
      </c>
      <c r="AB16" s="11">
        <v>4.5767686164609982</v>
      </c>
      <c r="AC16" s="11"/>
      <c r="AD16" s="11">
        <f t="shared" si="4"/>
        <v>1.9649165572029044</v>
      </c>
      <c r="AE16" s="11">
        <f>'RD T1'!T44</f>
        <v>1.8798884275393561</v>
      </c>
      <c r="AF16" s="11">
        <f t="shared" si="7"/>
        <v>3.8448049847422605</v>
      </c>
    </row>
    <row r="17" spans="1:32" x14ac:dyDescent="0.2">
      <c r="A17" s="10" t="str">
        <f>name!D13</f>
        <v>34 Culture, media and sports occupations</v>
      </c>
      <c r="B17" s="11">
        <v>22.448448989730881</v>
      </c>
      <c r="C17" s="11">
        <v>19.858512300221925</v>
      </c>
      <c r="D17" s="11">
        <v>20.723051149864897</v>
      </c>
      <c r="E17" s="11">
        <v>20.672704740666106</v>
      </c>
      <c r="F17" s="11">
        <v>22.738822976872477</v>
      </c>
      <c r="G17" s="11"/>
      <c r="H17" s="11">
        <f t="shared" si="2"/>
        <v>2.0157718270075797</v>
      </c>
      <c r="I17" s="11">
        <f>'RD T1'!E16</f>
        <v>9.9085273589015515</v>
      </c>
      <c r="J17" s="11">
        <f t="shared" si="5"/>
        <v>11.924299185909131</v>
      </c>
      <c r="L17" s="10" t="str">
        <f>name!D13</f>
        <v>34 Culture, media and sports occupations</v>
      </c>
      <c r="M17" s="11">
        <v>12.293731325657351</v>
      </c>
      <c r="N17" s="11">
        <v>10.258494291789139</v>
      </c>
      <c r="O17" s="11">
        <v>10.244518759580663</v>
      </c>
      <c r="P17" s="11">
        <v>10.443457335561895</v>
      </c>
      <c r="Q17" s="11">
        <v>11.821344092933405</v>
      </c>
      <c r="R17" s="11"/>
      <c r="S17" s="11">
        <f t="shared" si="3"/>
        <v>1.5768253333527422</v>
      </c>
      <c r="T17" s="11">
        <f>'RD T1'!T16</f>
        <v>4.3504444915693963</v>
      </c>
      <c r="U17" s="11">
        <f t="shared" si="6"/>
        <v>5.9272698249221385</v>
      </c>
      <c r="W17" s="10" t="str">
        <f>name!D13</f>
        <v>34 Culture, media and sports occupations</v>
      </c>
      <c r="X17" s="11">
        <v>10.154717664073546</v>
      </c>
      <c r="Y17" s="11">
        <v>9.6000180084327855</v>
      </c>
      <c r="Z17" s="11">
        <v>10.478532390284252</v>
      </c>
      <c r="AA17" s="11">
        <v>10.229247405104227</v>
      </c>
      <c r="AB17" s="11">
        <v>10.91747888393906</v>
      </c>
      <c r="AC17" s="11"/>
      <c r="AD17" s="11">
        <f t="shared" si="4"/>
        <v>0.43894649365480731</v>
      </c>
      <c r="AE17" s="11">
        <f>'RD T1'!T45</f>
        <v>5.5580828673321543</v>
      </c>
      <c r="AF17" s="11">
        <f t="shared" si="7"/>
        <v>5.9970293609869616</v>
      </c>
    </row>
    <row r="18" spans="1:32" x14ac:dyDescent="0.2">
      <c r="A18" s="10" t="str">
        <f>name!D14</f>
        <v>35 Business and public service associate professionals</v>
      </c>
      <c r="B18" s="11">
        <v>57.166023212767385</v>
      </c>
      <c r="C18" s="11">
        <v>58.97909494753258</v>
      </c>
      <c r="D18" s="11">
        <v>60.097066683667329</v>
      </c>
      <c r="E18" s="11">
        <v>58.292490305743463</v>
      </c>
      <c r="F18" s="11">
        <v>60.637317723298622</v>
      </c>
      <c r="G18" s="11"/>
      <c r="H18" s="11">
        <f t="shared" si="2"/>
        <v>0.54025103963129339</v>
      </c>
      <c r="I18" s="11">
        <f>'RD T1'!E17</f>
        <v>27.259049939361688</v>
      </c>
      <c r="J18" s="11">
        <f t="shared" si="5"/>
        <v>27.799300978992981</v>
      </c>
      <c r="L18" s="10" t="str">
        <f>name!D14</f>
        <v>35 Business and public service associate professionals</v>
      </c>
      <c r="M18" s="11">
        <v>30.135913725207796</v>
      </c>
      <c r="N18" s="11">
        <v>30.251876431862041</v>
      </c>
      <c r="O18" s="11">
        <v>31.07790018991216</v>
      </c>
      <c r="P18" s="11">
        <v>29.228509198205717</v>
      </c>
      <c r="Q18" s="11">
        <v>29.328547744682947</v>
      </c>
      <c r="R18" s="11"/>
      <c r="S18" s="11">
        <f t="shared" si="3"/>
        <v>-1.7493524452292135</v>
      </c>
      <c r="T18" s="11">
        <f>'RD T1'!T17</f>
        <v>11.326654237678929</v>
      </c>
      <c r="U18" s="11">
        <f t="shared" si="6"/>
        <v>9.577301792449715</v>
      </c>
      <c r="W18" s="10" t="str">
        <f>name!D14</f>
        <v>35 Business and public service associate professionals</v>
      </c>
      <c r="X18" s="11">
        <v>27.030109487559699</v>
      </c>
      <c r="Y18" s="11">
        <v>28.727218515670533</v>
      </c>
      <c r="Z18" s="11">
        <v>29.019166493755165</v>
      </c>
      <c r="AA18" s="11">
        <v>29.063981107537813</v>
      </c>
      <c r="AB18" s="11">
        <v>31.308769978615686</v>
      </c>
      <c r="AC18" s="11"/>
      <c r="AD18" s="11">
        <f t="shared" si="4"/>
        <v>2.2896034848605211</v>
      </c>
      <c r="AE18" s="11">
        <f>'RD T1'!T46</f>
        <v>15.93239570168276</v>
      </c>
      <c r="AF18" s="11">
        <f t="shared" si="7"/>
        <v>18.221999186543279</v>
      </c>
    </row>
    <row r="19" spans="1:32" x14ac:dyDescent="0.2">
      <c r="A19" s="10" t="str">
        <f>name!D15</f>
        <v>41 Administrative occupations</v>
      </c>
      <c r="B19" s="11">
        <v>72.16613856968074</v>
      </c>
      <c r="C19" s="11">
        <v>68.464955203891563</v>
      </c>
      <c r="D19" s="11">
        <v>69.940840134492603</v>
      </c>
      <c r="E19" s="11">
        <v>63.62682297672081</v>
      </c>
      <c r="F19" s="11">
        <v>58.446301695484934</v>
      </c>
      <c r="G19" s="11"/>
      <c r="H19" s="11">
        <f t="shared" si="2"/>
        <v>-11.49453843900767</v>
      </c>
      <c r="I19" s="11">
        <f>'RD T1'!E18</f>
        <v>31.309331540444866</v>
      </c>
      <c r="J19" s="11">
        <f t="shared" si="5"/>
        <v>19.814793101437196</v>
      </c>
      <c r="L19" s="10" t="str">
        <f>name!D15</f>
        <v>41 Administrative occupations</v>
      </c>
      <c r="M19" s="11">
        <v>18.298943668710727</v>
      </c>
      <c r="N19" s="11">
        <v>16.543178299919877</v>
      </c>
      <c r="O19" s="11">
        <v>19.198886990863684</v>
      </c>
      <c r="P19" s="11">
        <v>17.967589493741034</v>
      </c>
      <c r="Q19" s="11">
        <v>18.995570472057207</v>
      </c>
      <c r="R19" s="11"/>
      <c r="S19" s="11">
        <f t="shared" si="3"/>
        <v>-0.20331651880647783</v>
      </c>
      <c r="T19" s="11">
        <f>'RD T1'!T18</f>
        <v>6.8031423314608812</v>
      </c>
      <c r="U19" s="11">
        <f t="shared" si="6"/>
        <v>6.5998258126544034</v>
      </c>
      <c r="W19" s="10" t="str">
        <f>name!D15</f>
        <v>41 Administrative occupations</v>
      </c>
      <c r="X19" s="11">
        <v>53.867194900969992</v>
      </c>
      <c r="Y19" s="11">
        <v>51.921776903971612</v>
      </c>
      <c r="Z19" s="11">
        <v>50.741953143628976</v>
      </c>
      <c r="AA19" s="11">
        <v>45.659233482979793</v>
      </c>
      <c r="AB19" s="11">
        <v>39.450731223427724</v>
      </c>
      <c r="AC19" s="11"/>
      <c r="AD19" s="11">
        <f t="shared" si="4"/>
        <v>-11.291221920201252</v>
      </c>
      <c r="AE19" s="11">
        <f>'RD T1'!T47</f>
        <v>24.506189208983987</v>
      </c>
      <c r="AF19" s="11">
        <f t="shared" si="7"/>
        <v>13.214967288782734</v>
      </c>
    </row>
    <row r="20" spans="1:32" x14ac:dyDescent="0.2">
      <c r="A20" s="10" t="str">
        <f>name!D16</f>
        <v>42 Secretarial and related occupations</v>
      </c>
      <c r="B20" s="11">
        <v>21.802106897221897</v>
      </c>
      <c r="C20" s="11">
        <v>19.035170606274182</v>
      </c>
      <c r="D20" s="11">
        <v>18.438489888023401</v>
      </c>
      <c r="E20" s="11">
        <v>18.691494382380792</v>
      </c>
      <c r="F20" s="11">
        <v>14.878254872716308</v>
      </c>
      <c r="G20" s="11"/>
      <c r="H20" s="11">
        <f t="shared" si="2"/>
        <v>-3.560235015307093</v>
      </c>
      <c r="I20" s="11">
        <f>'RD T1'!E19</f>
        <v>9.2383487991972295</v>
      </c>
      <c r="J20" s="11">
        <f t="shared" si="5"/>
        <v>5.6781137838901365</v>
      </c>
      <c r="L20" s="10" t="str">
        <f>name!D16</f>
        <v>42 Secretarial and related occupations</v>
      </c>
      <c r="M20" s="11">
        <v>1.0168323182343693</v>
      </c>
      <c r="N20" s="11">
        <v>0.79959009688480764</v>
      </c>
      <c r="O20" s="11">
        <v>0.71911521794111299</v>
      </c>
      <c r="P20" s="11">
        <v>0.97337500303025037</v>
      </c>
      <c r="Q20" s="11">
        <v>1.1229885767190426</v>
      </c>
      <c r="R20" s="11"/>
      <c r="S20" s="11">
        <f t="shared" si="3"/>
        <v>0.40387335877792963</v>
      </c>
      <c r="T20" s="11">
        <f>'RD T1'!T19</f>
        <v>0.32090145109778789</v>
      </c>
      <c r="U20" s="11">
        <f t="shared" si="6"/>
        <v>0.72477480987571752</v>
      </c>
      <c r="W20" s="10" t="str">
        <f>name!D16</f>
        <v>42 Secretarial and related occupations</v>
      </c>
      <c r="X20" s="11">
        <v>20.785274578987529</v>
      </c>
      <c r="Y20" s="11">
        <v>18.235580509389376</v>
      </c>
      <c r="Z20" s="11">
        <v>17.719374670082292</v>
      </c>
      <c r="AA20" s="11">
        <v>17.718119379350544</v>
      </c>
      <c r="AB20" s="11">
        <v>13.755266295997265</v>
      </c>
      <c r="AC20" s="11"/>
      <c r="AD20" s="11">
        <f t="shared" si="4"/>
        <v>-3.9641083740850274</v>
      </c>
      <c r="AE20" s="11">
        <f>'RD T1'!T48</f>
        <v>8.9174473480994383</v>
      </c>
      <c r="AF20" s="11">
        <f t="shared" si="7"/>
        <v>4.9533389740144109</v>
      </c>
    </row>
    <row r="21" spans="1:32" x14ac:dyDescent="0.2">
      <c r="A21" s="10" t="str">
        <f>name!D17</f>
        <v>51 Skilled agricultural and related trades</v>
      </c>
      <c r="B21" s="11">
        <v>8.4039470707917943</v>
      </c>
      <c r="C21" s="11">
        <v>8.8761071523968695</v>
      </c>
      <c r="D21" s="11">
        <v>7.0314570870948216</v>
      </c>
      <c r="E21" s="11">
        <v>7.5692138796838897</v>
      </c>
      <c r="F21" s="11">
        <v>8.8852578157912987</v>
      </c>
      <c r="G21" s="11"/>
      <c r="H21" s="11">
        <f t="shared" si="2"/>
        <v>1.8538007286964771</v>
      </c>
      <c r="I21" s="11">
        <f>'RD T1'!E20</f>
        <v>4.4527061351693149</v>
      </c>
      <c r="J21" s="11">
        <f t="shared" si="5"/>
        <v>6.306506863865792</v>
      </c>
      <c r="L21" s="10" t="str">
        <f>name!D17</f>
        <v>51 Skilled agricultural and related trades</v>
      </c>
      <c r="M21" s="11">
        <v>6.5270868214511761</v>
      </c>
      <c r="N21" s="11">
        <v>7.565207012353719</v>
      </c>
      <c r="O21" s="11">
        <v>5.2942190674376768</v>
      </c>
      <c r="P21" s="11">
        <v>5.4978175312106989</v>
      </c>
      <c r="Q21" s="11">
        <v>6.271319943572335</v>
      </c>
      <c r="R21" s="11"/>
      <c r="S21" s="11">
        <f t="shared" si="3"/>
        <v>0.97710087613465824</v>
      </c>
      <c r="T21" s="11">
        <f>'RD T1'!T20</f>
        <v>2.9398248500648148</v>
      </c>
      <c r="U21" s="11">
        <f t="shared" si="6"/>
        <v>3.916925726199473</v>
      </c>
      <c r="W21" s="10" t="str">
        <f>name!D17</f>
        <v>51 Skilled agricultural and related trades</v>
      </c>
      <c r="X21" s="11">
        <v>1.8768602493406097</v>
      </c>
      <c r="Y21" s="11">
        <v>1.3109001400431479</v>
      </c>
      <c r="Z21" s="11">
        <v>1.7372380196571466</v>
      </c>
      <c r="AA21" s="11">
        <v>2.071396348473205</v>
      </c>
      <c r="AB21" s="11">
        <v>2.6139378722189606</v>
      </c>
      <c r="AC21" s="11"/>
      <c r="AD21" s="11">
        <f t="shared" si="4"/>
        <v>0.87669985256181393</v>
      </c>
      <c r="AE21" s="11">
        <f>'RD T1'!T49</f>
        <v>1.512881285104499</v>
      </c>
      <c r="AF21" s="11">
        <f t="shared" si="7"/>
        <v>2.3895811376663127</v>
      </c>
    </row>
    <row r="22" spans="1:32" x14ac:dyDescent="0.2">
      <c r="A22" s="10" t="str">
        <f>name!D18</f>
        <v>52 Skilled metal, electrical and electronic trades</v>
      </c>
      <c r="B22" s="11">
        <v>28.870477861307073</v>
      </c>
      <c r="C22" s="11">
        <v>28.907720779088834</v>
      </c>
      <c r="D22" s="11">
        <v>25.128095818289641</v>
      </c>
      <c r="E22" s="11">
        <v>25.923578569977003</v>
      </c>
      <c r="F22" s="11">
        <v>25.16053680105826</v>
      </c>
      <c r="G22" s="11"/>
      <c r="H22" s="11">
        <f t="shared" si="2"/>
        <v>3.2440982768619619E-2</v>
      </c>
      <c r="I22" s="11">
        <f>'RD T1'!E21</f>
        <v>9.8622575561850958</v>
      </c>
      <c r="J22" s="11">
        <f t="shared" si="5"/>
        <v>9.8946985389537154</v>
      </c>
      <c r="L22" s="10" t="str">
        <f>name!D18</f>
        <v>52 Skilled metal, electrical and electronic trades</v>
      </c>
      <c r="M22" s="11">
        <v>28.174687346071202</v>
      </c>
      <c r="N22" s="11">
        <v>27.754568577603521</v>
      </c>
      <c r="O22" s="11">
        <v>24.261976877609595</v>
      </c>
      <c r="P22" s="11">
        <v>23.952911208037818</v>
      </c>
      <c r="Q22" s="11">
        <v>22.642415247289783</v>
      </c>
      <c r="R22" s="11"/>
      <c r="S22" s="11">
        <f t="shared" si="3"/>
        <v>-1.6195616303198115</v>
      </c>
      <c r="T22" s="11">
        <f>'RD T1'!T21</f>
        <v>8.7342244576344346</v>
      </c>
      <c r="U22" s="11">
        <f t="shared" si="6"/>
        <v>7.1146628273146231</v>
      </c>
      <c r="W22" s="10" t="str">
        <f>name!D18</f>
        <v>52 Skilled metal, electrical and electronic trades</v>
      </c>
      <c r="X22" s="11">
        <v>0.6957905152358993</v>
      </c>
      <c r="Y22" s="11">
        <v>1.1531522014853466</v>
      </c>
      <c r="Z22" s="11">
        <v>0.86611894068007089</v>
      </c>
      <c r="AA22" s="11">
        <v>1.9706673619391966</v>
      </c>
      <c r="AB22" s="11">
        <v>2.5181215537684758</v>
      </c>
      <c r="AC22" s="11"/>
      <c r="AD22" s="11">
        <f t="shared" si="4"/>
        <v>1.6520026130884049</v>
      </c>
      <c r="AE22" s="11">
        <f>'RD T1'!T50</f>
        <v>1.1280330985506601</v>
      </c>
      <c r="AF22" s="11">
        <f t="shared" si="7"/>
        <v>2.7800357116390648</v>
      </c>
    </row>
    <row r="23" spans="1:32" x14ac:dyDescent="0.2">
      <c r="A23" s="10" t="str">
        <f>name!D19</f>
        <v>53 Skilled construction and building trades</v>
      </c>
      <c r="B23" s="11">
        <v>24.522418259082531</v>
      </c>
      <c r="C23" s="11">
        <v>22.755820067139542</v>
      </c>
      <c r="D23" s="11">
        <v>20.419196268607529</v>
      </c>
      <c r="E23" s="11">
        <v>21.867085904972658</v>
      </c>
      <c r="F23" s="11">
        <v>20.361165478126061</v>
      </c>
      <c r="G23" s="11"/>
      <c r="H23" s="11">
        <f t="shared" si="2"/>
        <v>-5.803079048146742E-2</v>
      </c>
      <c r="I23" s="11">
        <f>'RD T1'!E22</f>
        <v>8.8942594825827452</v>
      </c>
      <c r="J23" s="11">
        <f t="shared" si="5"/>
        <v>8.8362286921012778</v>
      </c>
      <c r="L23" s="10" t="str">
        <f>name!D19</f>
        <v>53 Skilled construction and building trades</v>
      </c>
      <c r="M23" s="11">
        <v>24.137234773278998</v>
      </c>
      <c r="N23" s="11">
        <v>22.31220471322348</v>
      </c>
      <c r="O23" s="11">
        <v>20.00590119581107</v>
      </c>
      <c r="P23" s="11">
        <v>21.486223121647235</v>
      </c>
      <c r="Q23" s="11">
        <v>19.886417611282361</v>
      </c>
      <c r="R23" s="11"/>
      <c r="S23" s="11">
        <f t="shared" si="3"/>
        <v>-0.11948358452870877</v>
      </c>
      <c r="T23" s="11">
        <f>'RD T1'!T22</f>
        <v>8.6752793731445781</v>
      </c>
      <c r="U23" s="11">
        <f t="shared" si="6"/>
        <v>8.5557957886158693</v>
      </c>
      <c r="W23" s="10" t="str">
        <f>name!D19</f>
        <v>53 Skilled construction and building trades</v>
      </c>
      <c r="X23" s="11">
        <v>0.38518348580356071</v>
      </c>
      <c r="Y23" s="11">
        <v>0.44361535391605694</v>
      </c>
      <c r="Z23" s="11">
        <v>0.41329507279645616</v>
      </c>
      <c r="AA23" s="11">
        <v>0.38086278332543916</v>
      </c>
      <c r="AB23" s="11">
        <v>0.47474786684368797</v>
      </c>
      <c r="AC23" s="11"/>
      <c r="AD23" s="11">
        <f t="shared" si="4"/>
        <v>6.1452794047231807E-2</v>
      </c>
      <c r="AE23" s="11">
        <f>'RD T1'!T51</f>
        <v>0.21898010943816679</v>
      </c>
      <c r="AF23" s="11">
        <f t="shared" si="7"/>
        <v>0.28043290348539862</v>
      </c>
    </row>
    <row r="24" spans="1:32" x14ac:dyDescent="0.2">
      <c r="A24" s="10" t="str">
        <f>name!D20</f>
        <v>54 Textiles, printing and other skilled trades</v>
      </c>
      <c r="B24" s="11">
        <v>19.615673592560057</v>
      </c>
      <c r="C24" s="11">
        <v>17.302381047081514</v>
      </c>
      <c r="D24" s="11">
        <v>15.944815188072862</v>
      </c>
      <c r="E24" s="11">
        <v>16.547072698948412</v>
      </c>
      <c r="F24" s="11">
        <v>17.376454790945417</v>
      </c>
      <c r="G24" s="11"/>
      <c r="H24" s="11">
        <f t="shared" si="2"/>
        <v>1.4316396028725542</v>
      </c>
      <c r="I24" s="11">
        <f>'RD T1'!E23</f>
        <v>7.2732565964018576</v>
      </c>
      <c r="J24" s="11">
        <f t="shared" si="5"/>
        <v>8.7048961992744118</v>
      </c>
      <c r="L24" s="10" t="str">
        <f>name!D20</f>
        <v>54 Textiles, printing and other skilled trades</v>
      </c>
      <c r="M24" s="11">
        <v>12.274302864450659</v>
      </c>
      <c r="N24" s="11">
        <v>10.874315154262877</v>
      </c>
      <c r="O24" s="11">
        <v>9.0961331920357527</v>
      </c>
      <c r="P24" s="11">
        <v>9.3820565970281873</v>
      </c>
      <c r="Q24" s="11">
        <v>9.68997093403744</v>
      </c>
      <c r="R24" s="11"/>
      <c r="S24" s="11">
        <f t="shared" si="3"/>
        <v>0.59383774200168737</v>
      </c>
      <c r="T24" s="11">
        <f>'RD T1'!T23</f>
        <v>3.0584145773178628</v>
      </c>
      <c r="U24" s="11">
        <f t="shared" si="6"/>
        <v>3.6522523193195502</v>
      </c>
      <c r="W24" s="10" t="str">
        <f>name!D20</f>
        <v>54 Textiles, printing and other skilled trades</v>
      </c>
      <c r="X24" s="11">
        <v>7.3413707281093954</v>
      </c>
      <c r="Y24" s="11">
        <v>6.4280658928186174</v>
      </c>
      <c r="Z24" s="11">
        <v>6.848681996037099</v>
      </c>
      <c r="AA24" s="11">
        <v>7.1650161019202452</v>
      </c>
      <c r="AB24" s="11">
        <v>7.6864838569079899</v>
      </c>
      <c r="AC24" s="11"/>
      <c r="AD24" s="11">
        <f t="shared" si="4"/>
        <v>0.83780186087089081</v>
      </c>
      <c r="AE24" s="11">
        <f>'RD T1'!T52</f>
        <v>4.2148420190839939</v>
      </c>
      <c r="AF24" s="11">
        <f t="shared" si="7"/>
        <v>5.0526438799548847</v>
      </c>
    </row>
    <row r="25" spans="1:32" x14ac:dyDescent="0.2">
      <c r="A25" s="10" t="str">
        <f>name!D21</f>
        <v>61 Caring personal service occupations</v>
      </c>
      <c r="B25" s="11">
        <v>58.131005767511112</v>
      </c>
      <c r="C25" s="11">
        <v>59.688732187940488</v>
      </c>
      <c r="D25" s="11">
        <v>56.991340768895562</v>
      </c>
      <c r="E25" s="11">
        <v>61.449225038953898</v>
      </c>
      <c r="F25" s="11">
        <v>65.879337343067263</v>
      </c>
      <c r="G25" s="11"/>
      <c r="H25" s="11">
        <f t="shared" si="2"/>
        <v>8.8879965741717015</v>
      </c>
      <c r="I25" s="11">
        <f>'RD T1'!E24</f>
        <v>34.402938999342325</v>
      </c>
      <c r="J25" s="11">
        <f t="shared" si="5"/>
        <v>43.290935573514027</v>
      </c>
      <c r="L25" s="10" t="str">
        <f>name!D21</f>
        <v>61 Caring personal service occupations</v>
      </c>
      <c r="M25" s="11">
        <v>11.159679897500324</v>
      </c>
      <c r="N25" s="11">
        <v>10.964917009478485</v>
      </c>
      <c r="O25" s="11">
        <v>10.861358444176028</v>
      </c>
      <c r="P25" s="11">
        <v>13.341405463514961</v>
      </c>
      <c r="Q25" s="11">
        <v>15.534562716475095</v>
      </c>
      <c r="R25" s="11"/>
      <c r="S25" s="11">
        <f t="shared" si="3"/>
        <v>4.673204272299067</v>
      </c>
      <c r="T25" s="11">
        <f>'RD T1'!T24</f>
        <v>6.1153377246434797</v>
      </c>
      <c r="U25" s="11">
        <f t="shared" si="6"/>
        <v>10.788541996942547</v>
      </c>
      <c r="W25" s="10" t="str">
        <f>name!D21</f>
        <v>61 Caring personal service occupations</v>
      </c>
      <c r="X25" s="11">
        <v>46.971325870010809</v>
      </c>
      <c r="Y25" s="11">
        <v>48.72381517846199</v>
      </c>
      <c r="Z25" s="11">
        <v>46.129982324719528</v>
      </c>
      <c r="AA25" s="11">
        <v>48.107819575438938</v>
      </c>
      <c r="AB25" s="11">
        <v>50.344774626592219</v>
      </c>
      <c r="AC25" s="11"/>
      <c r="AD25" s="11">
        <f t="shared" si="4"/>
        <v>4.2147923018726914</v>
      </c>
      <c r="AE25" s="11">
        <f>'RD T1'!T53</f>
        <v>28.287601274698837</v>
      </c>
      <c r="AF25" s="11">
        <f t="shared" si="7"/>
        <v>32.502393576571528</v>
      </c>
    </row>
    <row r="26" spans="1:32" x14ac:dyDescent="0.2">
      <c r="A26" s="10" t="str">
        <f>name!D22</f>
        <v>62 Leisure, travel and related personal service occupations</v>
      </c>
      <c r="B26" s="11">
        <v>22.488059503441097</v>
      </c>
      <c r="C26" s="11">
        <v>22.764587776774363</v>
      </c>
      <c r="D26" s="11">
        <v>20.996416440378088</v>
      </c>
      <c r="E26" s="11">
        <v>21.256535200466839</v>
      </c>
      <c r="F26" s="11">
        <v>21.871543451721784</v>
      </c>
      <c r="G26" s="11"/>
      <c r="H26" s="11">
        <f t="shared" si="2"/>
        <v>0.87512701134369664</v>
      </c>
      <c r="I26" s="11">
        <f>'RD T1'!E25</f>
        <v>10.887181233124172</v>
      </c>
      <c r="J26" s="11">
        <f t="shared" si="5"/>
        <v>11.762308244467869</v>
      </c>
      <c r="L26" s="10" t="str">
        <f>name!D22</f>
        <v>62 Leisure, travel and related personal service occupations</v>
      </c>
      <c r="M26" s="11">
        <v>6.5422404659955298</v>
      </c>
      <c r="N26" s="11">
        <v>6.9236658168298266</v>
      </c>
      <c r="O26" s="11">
        <v>6.078502525692854</v>
      </c>
      <c r="P26" s="11">
        <v>6.4128439119646652</v>
      </c>
      <c r="Q26" s="11">
        <v>7.2339990347556036</v>
      </c>
      <c r="R26" s="11"/>
      <c r="S26" s="11">
        <f t="shared" si="3"/>
        <v>1.1554965090627496</v>
      </c>
      <c r="T26" s="11">
        <f>'RD T1'!T25</f>
        <v>2.9120910026371933</v>
      </c>
      <c r="U26" s="11">
        <f t="shared" si="6"/>
        <v>4.0675875116999425</v>
      </c>
      <c r="W26" s="10" t="str">
        <f>name!D22</f>
        <v>62 Leisure, travel and related personal service occupations</v>
      </c>
      <c r="X26" s="11">
        <v>15.945819037445562</v>
      </c>
      <c r="Y26" s="11">
        <v>15.840921959944501</v>
      </c>
      <c r="Z26" s="11">
        <v>14.917913914685251</v>
      </c>
      <c r="AA26" s="11">
        <v>14.843691288502178</v>
      </c>
      <c r="AB26" s="11">
        <v>14.637544416966168</v>
      </c>
      <c r="AC26" s="11"/>
      <c r="AD26" s="11">
        <f t="shared" si="4"/>
        <v>-0.28036949771908226</v>
      </c>
      <c r="AE26" s="11">
        <f>'RD T1'!T54</f>
        <v>7.9750902304869822</v>
      </c>
      <c r="AF26" s="11">
        <f t="shared" si="7"/>
        <v>7.6947207327678999</v>
      </c>
    </row>
    <row r="27" spans="1:32" x14ac:dyDescent="0.2">
      <c r="A27" s="10" t="str">
        <f>name!D23</f>
        <v>63 Community and civil enforcement occupations</v>
      </c>
      <c r="B27" s="11">
        <v>0.92324802540605289</v>
      </c>
      <c r="C27" s="11">
        <v>0.75004945933320477</v>
      </c>
      <c r="D27" s="11">
        <v>0.94047264745824644</v>
      </c>
      <c r="E27" s="11">
        <v>0.76011914420561344</v>
      </c>
      <c r="F27" s="11">
        <v>0.80008169119102535</v>
      </c>
      <c r="G27" s="11"/>
      <c r="H27" s="11">
        <f t="shared" si="2"/>
        <v>-0.14039095626722109</v>
      </c>
      <c r="I27" s="11">
        <f>'RD T1'!E26</f>
        <v>0.38081675215865496</v>
      </c>
      <c r="J27" s="11">
        <f t="shared" si="5"/>
        <v>0.24042579589143387</v>
      </c>
      <c r="L27" s="10" t="str">
        <f>name!D23</f>
        <v>63 Community and civil enforcement occupations</v>
      </c>
      <c r="M27" s="11">
        <v>0.70489847310324194</v>
      </c>
      <c r="N27" s="11">
        <v>0.49537728596617592</v>
      </c>
      <c r="O27" s="11">
        <v>0.71587013483442929</v>
      </c>
      <c r="P27" s="11">
        <v>0.46517134469765287</v>
      </c>
      <c r="Q27" s="11">
        <v>0.51067070535934178</v>
      </c>
      <c r="R27" s="11"/>
      <c r="S27" s="11">
        <f t="shared" si="3"/>
        <v>-0.20519942947508751</v>
      </c>
      <c r="T27" s="11">
        <f>'RD T1'!T26</f>
        <v>0.20416811339638191</v>
      </c>
      <c r="U27" s="11">
        <f t="shared" si="6"/>
        <v>-1.0313160787056019E-3</v>
      </c>
      <c r="W27" s="10" t="str">
        <f>name!D23</f>
        <v>63 Community and civil enforcement occupations</v>
      </c>
      <c r="X27" s="11">
        <v>0.21834955230281078</v>
      </c>
      <c r="Y27" s="11">
        <v>0.25467217336702896</v>
      </c>
      <c r="Z27" s="11">
        <v>0.22460251262381611</v>
      </c>
      <c r="AA27" s="11">
        <v>0.29494779950796041</v>
      </c>
      <c r="AB27" s="11">
        <v>0.28941098583168323</v>
      </c>
      <c r="AC27" s="11"/>
      <c r="AD27" s="11">
        <f t="shared" si="4"/>
        <v>6.4808473207867118E-2</v>
      </c>
      <c r="AE27" s="11">
        <f>'RD T1'!T55</f>
        <v>0.1766486387622731</v>
      </c>
      <c r="AF27" s="11">
        <f t="shared" si="7"/>
        <v>0.24145711197014022</v>
      </c>
    </row>
    <row r="28" spans="1:32" x14ac:dyDescent="0.2">
      <c r="A28" s="10" t="str">
        <f>name!D24</f>
        <v>71 Sales occupations</v>
      </c>
      <c r="B28" s="11">
        <v>54.477963592890447</v>
      </c>
      <c r="C28" s="11">
        <v>52.542405994336903</v>
      </c>
      <c r="D28" s="11">
        <v>52.38875275613151</v>
      </c>
      <c r="E28" s="11">
        <v>48.745388094071551</v>
      </c>
      <c r="F28" s="11">
        <v>46.442664895555289</v>
      </c>
      <c r="G28" s="11"/>
      <c r="H28" s="11">
        <f t="shared" si="2"/>
        <v>-5.9460878605762204</v>
      </c>
      <c r="I28" s="11">
        <f>'RD T1'!E27</f>
        <v>21.219212367787211</v>
      </c>
      <c r="J28" s="11">
        <f t="shared" si="5"/>
        <v>15.273124507210991</v>
      </c>
      <c r="L28" s="10" t="str">
        <f>name!D24</f>
        <v>71 Sales occupations</v>
      </c>
      <c r="M28" s="11">
        <v>23.436538539019487</v>
      </c>
      <c r="N28" s="11">
        <v>23.622904671779839</v>
      </c>
      <c r="O28" s="11">
        <v>23.469168887696629</v>
      </c>
      <c r="P28" s="11">
        <v>22.458689879449679</v>
      </c>
      <c r="Q28" s="11">
        <v>22.293960359269587</v>
      </c>
      <c r="R28" s="11"/>
      <c r="S28" s="11">
        <f t="shared" si="3"/>
        <v>-1.1752085284270422</v>
      </c>
      <c r="T28" s="11">
        <f>'RD T1'!T27</f>
        <v>7.4949192138252201</v>
      </c>
      <c r="U28" s="11">
        <f t="shared" si="6"/>
        <v>6.3197106853981779</v>
      </c>
      <c r="W28" s="10" t="str">
        <f>name!D24</f>
        <v>71 Sales occupations</v>
      </c>
      <c r="X28" s="11">
        <v>31.041425053870949</v>
      </c>
      <c r="Y28" s="11">
        <v>28.919501322557046</v>
      </c>
      <c r="Z28" s="11">
        <v>28.919583868434842</v>
      </c>
      <c r="AA28" s="11">
        <v>26.286698214621929</v>
      </c>
      <c r="AB28" s="11">
        <v>24.148704536285752</v>
      </c>
      <c r="AC28" s="11"/>
      <c r="AD28" s="11">
        <f t="shared" si="4"/>
        <v>-4.7708793321490894</v>
      </c>
      <c r="AE28" s="11">
        <f>'RD T1'!T56</f>
        <v>13.724293153961993</v>
      </c>
      <c r="AF28" s="11">
        <f t="shared" si="7"/>
        <v>8.9534138218129034</v>
      </c>
    </row>
    <row r="29" spans="1:32" x14ac:dyDescent="0.2">
      <c r="A29" s="10" t="str">
        <f>name!D25</f>
        <v>72 Customer service occupations</v>
      </c>
      <c r="B29" s="11">
        <v>13.172148960692217</v>
      </c>
      <c r="C29" s="11">
        <v>13.5222664882908</v>
      </c>
      <c r="D29" s="11">
        <v>13.765892537376093</v>
      </c>
      <c r="E29" s="11">
        <v>17.548762932493023</v>
      </c>
      <c r="F29" s="11">
        <v>19.873360696539212</v>
      </c>
      <c r="G29" s="11"/>
      <c r="H29" s="11">
        <f t="shared" si="2"/>
        <v>6.107468159163119</v>
      </c>
      <c r="I29" s="11">
        <f>'RD T1'!E28</f>
        <v>8.163264248496489</v>
      </c>
      <c r="J29" s="11">
        <f t="shared" si="5"/>
        <v>14.270732407659608</v>
      </c>
      <c r="L29" s="10" t="str">
        <f>name!D25</f>
        <v>72 Customer service occupations</v>
      </c>
      <c r="M29" s="11">
        <v>4.7544500675695556</v>
      </c>
      <c r="N29" s="11">
        <v>4.1743849175164458</v>
      </c>
      <c r="O29" s="11">
        <v>4.7853641982697228</v>
      </c>
      <c r="P29" s="11">
        <v>6.6148705921705826</v>
      </c>
      <c r="Q29" s="11">
        <v>7.8724559359145934</v>
      </c>
      <c r="R29" s="11"/>
      <c r="S29" s="11">
        <f t="shared" si="3"/>
        <v>3.0870917376448705</v>
      </c>
      <c r="T29" s="11">
        <f>'RD T1'!T28</f>
        <v>2.3246673211705819</v>
      </c>
      <c r="U29" s="11">
        <f t="shared" si="6"/>
        <v>5.4117590588154521</v>
      </c>
      <c r="W29" s="10" t="str">
        <f>name!D25</f>
        <v>72 Customer service occupations</v>
      </c>
      <c r="X29" s="11">
        <v>8.4176988931226777</v>
      </c>
      <c r="Y29" s="11">
        <v>9.3478815707743532</v>
      </c>
      <c r="Z29" s="11">
        <v>8.9805283391063746</v>
      </c>
      <c r="AA29" s="11">
        <v>10.933892340322432</v>
      </c>
      <c r="AB29" s="11">
        <v>12.000904760624659</v>
      </c>
      <c r="AC29" s="11"/>
      <c r="AD29" s="11">
        <f t="shared" si="4"/>
        <v>3.020376421518284</v>
      </c>
      <c r="AE29" s="11">
        <f>'RD T1'!T57</f>
        <v>5.8385969273259075</v>
      </c>
      <c r="AF29" s="11">
        <f t="shared" si="7"/>
        <v>8.8589733488441915</v>
      </c>
    </row>
    <row r="30" spans="1:32" x14ac:dyDescent="0.2">
      <c r="A30" s="10" t="str">
        <f>name!D26</f>
        <v>81 Process, plant and machine operatives</v>
      </c>
      <c r="B30" s="11">
        <v>12.743962550817093</v>
      </c>
      <c r="C30" s="11">
        <v>12.497065863849606</v>
      </c>
      <c r="D30" s="11">
        <v>10.939631034552663</v>
      </c>
      <c r="E30" s="11">
        <v>13.448269585660745</v>
      </c>
      <c r="F30" s="11">
        <v>13.418760554653188</v>
      </c>
      <c r="G30" s="11"/>
      <c r="H30" s="11">
        <f t="shared" si="2"/>
        <v>2.4791295201005248</v>
      </c>
      <c r="I30" s="11">
        <f>'RD T1'!E29</f>
        <v>5.0124392458139724</v>
      </c>
      <c r="J30" s="11">
        <f t="shared" si="5"/>
        <v>7.4915687659144972</v>
      </c>
      <c r="L30" s="10" t="str">
        <f>name!D26</f>
        <v>81 Process, plant and machine operatives</v>
      </c>
      <c r="M30" s="11">
        <v>10.570279497514932</v>
      </c>
      <c r="N30" s="11">
        <v>10.352048184946632</v>
      </c>
      <c r="O30" s="11">
        <v>9.0533218421979722</v>
      </c>
      <c r="P30" s="11">
        <v>11.195263702850259</v>
      </c>
      <c r="Q30" s="11">
        <v>11.171709418478757</v>
      </c>
      <c r="R30" s="11"/>
      <c r="S30" s="11">
        <f t="shared" si="3"/>
        <v>2.1183875762807851</v>
      </c>
      <c r="T30" s="11">
        <f>'RD T1'!T29</f>
        <v>3.9770360704706804</v>
      </c>
      <c r="U30" s="11">
        <f t="shared" si="6"/>
        <v>6.0954236467514651</v>
      </c>
      <c r="W30" s="10" t="str">
        <f>name!D26</f>
        <v>81 Process, plant and machine operatives</v>
      </c>
      <c r="X30" s="11">
        <v>2.1736830533021827</v>
      </c>
      <c r="Y30" s="11">
        <v>2.1450176789029536</v>
      </c>
      <c r="Z30" s="11">
        <v>1.8863091923547008</v>
      </c>
      <c r="AA30" s="11">
        <v>2.2530058828104882</v>
      </c>
      <c r="AB30" s="11">
        <v>2.2470511361744152</v>
      </c>
      <c r="AC30" s="11"/>
      <c r="AD30" s="11">
        <f t="shared" si="4"/>
        <v>0.36074194381971436</v>
      </c>
      <c r="AE30" s="11">
        <f>'RD T1'!T58</f>
        <v>1.0354031753432897</v>
      </c>
      <c r="AF30" s="11">
        <f t="shared" si="7"/>
        <v>1.3961451191630041</v>
      </c>
    </row>
    <row r="31" spans="1:32" x14ac:dyDescent="0.2">
      <c r="A31" s="10" t="str">
        <f>name!D27</f>
        <v>82 Transport and mobile machine drivers and operatives</v>
      </c>
      <c r="B31" s="11">
        <v>25.119721078559419</v>
      </c>
      <c r="C31" s="11">
        <v>27.244477746533164</v>
      </c>
      <c r="D31" s="11">
        <v>22.703704129983144</v>
      </c>
      <c r="E31" s="11">
        <v>24.559341234596747</v>
      </c>
      <c r="F31" s="11">
        <v>24.629983702384379</v>
      </c>
      <c r="G31" s="11"/>
      <c r="H31" s="11">
        <f t="shared" si="2"/>
        <v>1.9262795724012349</v>
      </c>
      <c r="I31" s="11">
        <f>'RD T1'!E30</f>
        <v>12.778320103053185</v>
      </c>
      <c r="J31" s="11">
        <f t="shared" si="5"/>
        <v>14.704599675454419</v>
      </c>
      <c r="L31" s="10" t="str">
        <f>name!D27</f>
        <v>82 Transport and mobile machine drivers and operatives</v>
      </c>
      <c r="M31" s="11">
        <v>22.673964175412642</v>
      </c>
      <c r="N31" s="11">
        <v>24.895497161057449</v>
      </c>
      <c r="O31" s="11">
        <v>20.692313596465656</v>
      </c>
      <c r="P31" s="11">
        <v>21.581138746016663</v>
      </c>
      <c r="Q31" s="11">
        <v>21.182261348268732</v>
      </c>
      <c r="R31" s="11"/>
      <c r="S31" s="11">
        <f t="shared" si="3"/>
        <v>0.4899477518030757</v>
      </c>
      <c r="T31" s="11">
        <f>'RD T1'!T30</f>
        <v>11.001099034097475</v>
      </c>
      <c r="U31" s="11">
        <f t="shared" si="6"/>
        <v>11.491046785900551</v>
      </c>
      <c r="W31" s="10" t="str">
        <f>name!D27</f>
        <v>82 Transport and mobile machine drivers and operatives</v>
      </c>
      <c r="X31" s="11">
        <v>2.4457569031467372</v>
      </c>
      <c r="Y31" s="11">
        <v>2.3489805854756942</v>
      </c>
      <c r="Z31" s="11">
        <v>2.0113905335174942</v>
      </c>
      <c r="AA31" s="11">
        <v>2.9782024885801155</v>
      </c>
      <c r="AB31" s="11">
        <v>3.4477223541156352</v>
      </c>
      <c r="AC31" s="11"/>
      <c r="AD31" s="11">
        <f t="shared" si="4"/>
        <v>1.436331820598141</v>
      </c>
      <c r="AE31" s="11">
        <f>'RD T1'!T59</f>
        <v>1.7772210689557117</v>
      </c>
      <c r="AF31" s="11">
        <f t="shared" si="7"/>
        <v>3.2135528895538528</v>
      </c>
    </row>
    <row r="32" spans="1:32" x14ac:dyDescent="0.2">
      <c r="A32" s="10" t="str">
        <f>name!D28</f>
        <v>91 Elementary trades and related occupations</v>
      </c>
      <c r="B32" s="11">
        <v>11.210781757562087</v>
      </c>
      <c r="C32" s="11">
        <v>9.7879247979048163</v>
      </c>
      <c r="D32" s="11">
        <v>8.7182083202628089</v>
      </c>
      <c r="E32" s="11">
        <v>7.4114416150968658</v>
      </c>
      <c r="F32" s="11">
        <v>7.0598733495814647</v>
      </c>
      <c r="G32" s="11"/>
      <c r="H32" s="11">
        <f t="shared" si="2"/>
        <v>-1.6583349706813442</v>
      </c>
      <c r="I32" s="11">
        <f>'RD T1'!E31</f>
        <v>2.7316114171838715</v>
      </c>
      <c r="J32" s="11">
        <f t="shared" si="5"/>
        <v>1.0732764465025273</v>
      </c>
      <c r="L32" s="10" t="str">
        <f>name!D28</f>
        <v>91 Elementary trades and related occupations</v>
      </c>
      <c r="M32" s="11">
        <v>9.0274734612371894</v>
      </c>
      <c r="N32" s="11">
        <v>8.0995240509574966</v>
      </c>
      <c r="O32" s="11">
        <v>7.2382321104310012</v>
      </c>
      <c r="P32" s="11">
        <v>6.0999860525690668</v>
      </c>
      <c r="Q32" s="11">
        <v>5.8118965088733869</v>
      </c>
      <c r="R32" s="11"/>
      <c r="S32" s="11">
        <f t="shared" si="3"/>
        <v>-1.4263356015576143</v>
      </c>
      <c r="T32" s="11">
        <f>'RD T1'!T31</f>
        <v>1.9917621620932551</v>
      </c>
      <c r="U32" s="11">
        <f t="shared" si="6"/>
        <v>0.56542656053564078</v>
      </c>
      <c r="W32" s="10" t="str">
        <f>name!D28</f>
        <v>91 Elementary trades and related occupations</v>
      </c>
      <c r="X32" s="11">
        <v>2.1833082963248804</v>
      </c>
      <c r="Y32" s="11">
        <v>1.6884007469473084</v>
      </c>
      <c r="Z32" s="11">
        <v>1.4799762098318061</v>
      </c>
      <c r="AA32" s="11">
        <v>1.3114555625277948</v>
      </c>
      <c r="AB32" s="11">
        <v>1.247976840708076</v>
      </c>
      <c r="AC32" s="11"/>
      <c r="AD32" s="11">
        <f t="shared" si="4"/>
        <v>-0.23199936912373009</v>
      </c>
      <c r="AE32" s="11">
        <f>'RD T1'!T60</f>
        <v>0.73984925509061672</v>
      </c>
      <c r="AF32" s="11">
        <f t="shared" si="7"/>
        <v>0.50784988596688663</v>
      </c>
    </row>
    <row r="33" spans="1:32" x14ac:dyDescent="0.2">
      <c r="A33" s="10" t="str">
        <f>name!D29</f>
        <v>92 Elementary administration and service occupations</v>
      </c>
      <c r="B33" s="11">
        <v>86.066867113344401</v>
      </c>
      <c r="C33" s="11">
        <v>83.354213239045237</v>
      </c>
      <c r="D33" s="11">
        <v>76.096111817061072</v>
      </c>
      <c r="E33" s="11">
        <v>78.650938916972294</v>
      </c>
      <c r="F33" s="11">
        <v>76.388310986548959</v>
      </c>
      <c r="G33" s="11"/>
      <c r="H33" s="11">
        <f t="shared" ref="H33" si="8">F33-D33</f>
        <v>0.29219916948788693</v>
      </c>
      <c r="I33" s="11">
        <f>'RD T1'!E32</f>
        <v>37.629939171269342</v>
      </c>
      <c r="J33" s="11">
        <f>SUM(H33:I33)</f>
        <v>37.922138340757229</v>
      </c>
      <c r="L33" s="10" t="str">
        <f>name!D29</f>
        <v>92 Elementary administration and service occupations</v>
      </c>
      <c r="M33" s="11">
        <v>40.520995390997307</v>
      </c>
      <c r="N33" s="11">
        <v>38.504727401800302</v>
      </c>
      <c r="O33" s="11">
        <v>35.621751203229472</v>
      </c>
      <c r="P33" s="11">
        <v>38.257323301132317</v>
      </c>
      <c r="Q33" s="11">
        <v>36.425642315923795</v>
      </c>
      <c r="R33" s="11"/>
      <c r="S33" s="11">
        <f t="shared" ref="S33" si="9">Q33-O33</f>
        <v>0.80389111269432334</v>
      </c>
      <c r="T33" s="11">
        <f>'RD T1'!T32</f>
        <v>14.639252250110847</v>
      </c>
      <c r="U33" s="11">
        <f t="shared" ref="U33" si="10">SUM(S33:T33)</f>
        <v>15.44314336280517</v>
      </c>
      <c r="W33" s="10" t="str">
        <f>name!D29</f>
        <v>92 Elementary administration and service occupations</v>
      </c>
      <c r="X33" s="11">
        <v>45.545871722346924</v>
      </c>
      <c r="Y33" s="11">
        <v>44.849485837245027</v>
      </c>
      <c r="Z33" s="11">
        <v>40.474360613831635</v>
      </c>
      <c r="AA33" s="11">
        <v>40.393615615840091</v>
      </c>
      <c r="AB33" s="11">
        <v>39.962668670625092</v>
      </c>
      <c r="AC33" s="11"/>
      <c r="AD33" s="11">
        <f t="shared" ref="AD33" si="11">AB33-Z33</f>
        <v>-0.51169194320654299</v>
      </c>
      <c r="AE33" s="11">
        <f>'RD T1'!T61</f>
        <v>22.990686921158492</v>
      </c>
      <c r="AF33" s="11">
        <f t="shared" ref="AF33" si="12">SUM(AD33:AE33)</f>
        <v>22.478994977951949</v>
      </c>
    </row>
    <row r="34" spans="1:32" x14ac:dyDescent="0.2">
      <c r="H34" s="11"/>
      <c r="L34" s="10"/>
      <c r="S34" s="11"/>
      <c r="W34" s="10"/>
      <c r="AD34" s="11"/>
    </row>
    <row r="35" spans="1:32" x14ac:dyDescent="0.2">
      <c r="A35" s="231" t="str">
        <f>name!D3</f>
        <v>All occupations</v>
      </c>
      <c r="B35" s="34">
        <f>SUM(B8:B33)</f>
        <v>865.00500000000022</v>
      </c>
      <c r="C35" s="34">
        <f>SUM(C8:C33)</f>
        <v>882.44900000000052</v>
      </c>
      <c r="D35" s="34">
        <f>SUM(D8:D33)</f>
        <v>864.63999999999987</v>
      </c>
      <c r="E35" s="34">
        <f>SUM(E8:E33)</f>
        <v>889.97999999999979</v>
      </c>
      <c r="F35" s="34">
        <f>SUM(F8:F33)</f>
        <v>925.47799999999995</v>
      </c>
      <c r="G35" s="11"/>
      <c r="H35" s="34">
        <f>F35-D35</f>
        <v>60.838000000000079</v>
      </c>
      <c r="I35" s="34">
        <f>SUM(I8:I33)</f>
        <v>429.90581892185969</v>
      </c>
      <c r="J35" s="34">
        <f>SUM(J8:J33)</f>
        <v>490.74381892185983</v>
      </c>
      <c r="L35" s="231" t="str">
        <f>name!D3</f>
        <v>All occupations</v>
      </c>
      <c r="M35" s="34">
        <f>SUM(M8:M33)</f>
        <v>451.48896050555686</v>
      </c>
      <c r="N35" s="34">
        <f>SUM(N8:N33)</f>
        <v>455.42579368363346</v>
      </c>
      <c r="O35" s="34">
        <f>SUM(O8:O33)</f>
        <v>441.09721785832886</v>
      </c>
      <c r="P35" s="34">
        <f>SUM(P8:P33)</f>
        <v>455.15699328692818</v>
      </c>
      <c r="Q35" s="34">
        <f>SUM(Q8:Q33)</f>
        <v>473.49867150195905</v>
      </c>
      <c r="R35" s="11"/>
      <c r="S35" s="34">
        <f>Q35-O35</f>
        <v>32.401453643630191</v>
      </c>
      <c r="T35" s="34">
        <f>SUM(T8:T33)</f>
        <v>183.95800871137752</v>
      </c>
      <c r="U35" s="34">
        <f>SUM(U8:U33)</f>
        <v>216.35946235500774</v>
      </c>
      <c r="W35" s="231" t="str">
        <f>name!D3</f>
        <v>All occupations</v>
      </c>
      <c r="X35" s="34">
        <f>SUM(X8:X33)</f>
        <v>413.51603949444313</v>
      </c>
      <c r="Y35" s="34">
        <f>SUM(Y8:Y33)</f>
        <v>427.02320631636672</v>
      </c>
      <c r="Z35" s="34">
        <f>SUM(Z8:Z33)</f>
        <v>423.54278214167107</v>
      </c>
      <c r="AA35" s="34">
        <f>SUM(AA8:AA33)</f>
        <v>434.82300671307161</v>
      </c>
      <c r="AB35" s="34">
        <f>SUM(AB8:AB33)</f>
        <v>451.97932849804113</v>
      </c>
      <c r="AC35" s="11"/>
      <c r="AD35" s="34">
        <f t="shared" ref="AD35" si="13">AB35-Z35</f>
        <v>28.436546356370059</v>
      </c>
      <c r="AE35" s="34">
        <f>SUM(AE8:AE33)</f>
        <v>245.94781021048212</v>
      </c>
      <c r="AF35" s="34">
        <f>SUM(AF8:AF33)</f>
        <v>274.38435656685215</v>
      </c>
    </row>
    <row r="36" spans="1:32" x14ac:dyDescent="0.2">
      <c r="B36" s="11"/>
      <c r="C36" s="11"/>
      <c r="D36" s="11"/>
      <c r="E36" s="11"/>
      <c r="F36" s="11"/>
      <c r="G36" s="11"/>
      <c r="M36" s="11"/>
      <c r="N36" s="11"/>
      <c r="O36" s="11"/>
      <c r="P36" s="11"/>
      <c r="Q36" s="11"/>
      <c r="R36" s="11"/>
      <c r="X36" s="11"/>
      <c r="Y36" s="11"/>
      <c r="Z36" s="11"/>
      <c r="AA36" s="11"/>
      <c r="AB36" s="11"/>
      <c r="AC36" s="11"/>
    </row>
    <row r="37" spans="1:32" x14ac:dyDescent="0.2">
      <c r="B37" s="11"/>
      <c r="C37" s="11"/>
      <c r="D37" s="11"/>
      <c r="E37" s="11"/>
      <c r="F37" s="11"/>
      <c r="G37" s="11"/>
      <c r="H37" s="11"/>
      <c r="I37" s="11"/>
      <c r="J37" s="11"/>
      <c r="M37" s="11"/>
      <c r="N37" s="11"/>
      <c r="O37" s="11"/>
      <c r="P37" s="11"/>
      <c r="Q37" s="11"/>
      <c r="R37" s="11"/>
      <c r="S37" s="11"/>
      <c r="T37" s="11"/>
      <c r="U37" s="11"/>
      <c r="X37" s="11"/>
      <c r="Y37" s="11"/>
      <c r="Z37" s="11"/>
      <c r="AA37" s="11"/>
      <c r="AB37" s="11"/>
      <c r="AC37" s="11"/>
      <c r="AD37" s="11"/>
      <c r="AE37" s="11"/>
      <c r="AF37" s="11"/>
    </row>
    <row r="38" spans="1:32" ht="15.75" x14ac:dyDescent="0.25">
      <c r="A38" s="19" t="str">
        <f>CONCATENATE(A$1," (Continued)")</f>
        <v>Occupation Table 2  Employment Change by Occupation (SOC 2020) and Replacement Demand, 2015-2035, Enterprise M3 (Continued)</v>
      </c>
      <c r="L38" s="19" t="str">
        <f>CONCATENATE(L$1," (Continued)")</f>
        <v>Occupation Table 2.1  Males: Employment Change by Occupation (SOC 2020) and Replacement Demand, 2015-2035, Enterprise M3 (Continued)</v>
      </c>
      <c r="W38" s="19" t="str">
        <f>CONCATENATE(W$1," (Continued)")</f>
        <v>Occupation Table 2.2  Females: Employment Change by Occupation (SOC 2020) and Replacement Demand, 2015-2035, Enterprise M3 (Continued)</v>
      </c>
    </row>
    <row r="40" spans="1:32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</row>
    <row r="41" spans="1:32" x14ac:dyDescent="0.2">
      <c r="A41" s="36"/>
      <c r="B41" s="36"/>
      <c r="C41" s="36"/>
      <c r="D41" s="36"/>
      <c r="E41" s="36"/>
      <c r="F41" s="36"/>
      <c r="H41" s="99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99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99" t="str">
        <f>$H$4</f>
        <v>2020-2035</v>
      </c>
      <c r="AE41" s="36"/>
      <c r="AF41" s="36"/>
    </row>
    <row r="42" spans="1:32" x14ac:dyDescent="0.2">
      <c r="H42" s="16" t="str">
        <f t="shared" ref="H42:J43" si="14">H5</f>
        <v>Net</v>
      </c>
      <c r="I42" s="16" t="str">
        <f t="shared" si="14"/>
        <v>Replacement</v>
      </c>
      <c r="J42" s="16" t="str">
        <f t="shared" si="14"/>
        <v>Total</v>
      </c>
      <c r="S42" s="16" t="str">
        <f t="shared" ref="S42:U42" si="15">S5</f>
        <v>Net</v>
      </c>
      <c r="T42" s="16" t="str">
        <f t="shared" si="15"/>
        <v>Replacement</v>
      </c>
      <c r="U42" s="16" t="str">
        <f t="shared" si="15"/>
        <v>Total</v>
      </c>
      <c r="AD42" s="16" t="str">
        <f t="shared" ref="AD42:AF42" si="16">AD5</f>
        <v>Net</v>
      </c>
      <c r="AE42" s="16" t="str">
        <f t="shared" si="16"/>
        <v>Replacement</v>
      </c>
      <c r="AF42" s="16" t="str">
        <f t="shared" si="16"/>
        <v>Total</v>
      </c>
    </row>
    <row r="43" spans="1:32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14"/>
        <v>Change</v>
      </c>
      <c r="I43" s="63" t="str">
        <f t="shared" si="14"/>
        <v>Demand</v>
      </c>
      <c r="J43" s="63" t="str">
        <f t="shared" si="1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ref="S43:U43" si="17">S6</f>
        <v>Change</v>
      </c>
      <c r="T43" s="63" t="str">
        <f t="shared" si="17"/>
        <v>Demand</v>
      </c>
      <c r="U43" s="63" t="str">
        <f t="shared" si="17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ref="AD43:AF43" si="18">AD6</f>
        <v>Change</v>
      </c>
      <c r="AE43" s="63" t="str">
        <f t="shared" si="18"/>
        <v>Demand</v>
      </c>
      <c r="AF43" s="63" t="str">
        <f t="shared" si="18"/>
        <v>Requirement</v>
      </c>
    </row>
    <row r="44" spans="1:32" x14ac:dyDescent="0.2">
      <c r="G44" s="11"/>
      <c r="R44" s="11"/>
      <c r="AC44" s="11"/>
    </row>
    <row r="45" spans="1:32" x14ac:dyDescent="0.2">
      <c r="A45" t="str">
        <f t="shared" ref="A45:A70" si="19">A8</f>
        <v>11 Corporate managers and directors</v>
      </c>
      <c r="B45" s="173">
        <f t="shared" ref="B45:F54" si="20">B8/B$35*100</f>
        <v>7.9390749424940994</v>
      </c>
      <c r="C45" s="173">
        <f t="shared" si="20"/>
        <v>8.8791712808210264</v>
      </c>
      <c r="D45" s="173">
        <f t="shared" si="20"/>
        <v>9.1228535920189273</v>
      </c>
      <c r="E45" s="173">
        <f t="shared" si="20"/>
        <v>8.3615454670557749</v>
      </c>
      <c r="F45" s="173">
        <f t="shared" si="20"/>
        <v>8.774486304865551</v>
      </c>
      <c r="H45" s="68">
        <f t="shared" ref="H45:H70" si="21">IF(D8&gt;0,(H8/D8)*100,0)</f>
        <v>2.9489144859235203</v>
      </c>
      <c r="I45" s="69">
        <f t="shared" ref="I45:I70" si="22">IF(D8&gt;0,I8/D8*100,0)</f>
        <v>49.915866187528493</v>
      </c>
      <c r="J45" s="69">
        <f t="shared" ref="J45:J70" si="23">IF(D8&gt;0,(J8/D8)*100,0)</f>
        <v>52.864780673452003</v>
      </c>
      <c r="L45" t="str">
        <f t="shared" ref="L45:L70" si="24">L8</f>
        <v>11 Corporate managers and directors</v>
      </c>
      <c r="M45" s="173">
        <f t="shared" ref="M45:Q45" si="25">M8/M$35*100</f>
        <v>10.423613071299771</v>
      </c>
      <c r="N45" s="173">
        <f t="shared" si="25"/>
        <v>11.275809748190834</v>
      </c>
      <c r="O45" s="173">
        <f t="shared" si="25"/>
        <v>11.638000127229098</v>
      </c>
      <c r="P45" s="173">
        <f t="shared" si="25"/>
        <v>10.319288963135074</v>
      </c>
      <c r="Q45" s="173">
        <f t="shared" si="25"/>
        <v>10.421912508533154</v>
      </c>
      <c r="S45" s="68">
        <f t="shared" ref="S45:S70" si="26">IF(O8&gt;0,(S8/O8)*100,0)</f>
        <v>-3.8712020570880918</v>
      </c>
      <c r="T45" s="69">
        <f t="shared" ref="T45:T70" si="27">IF(O8&gt;0,T8/O8*100,0)</f>
        <v>43.732768595093262</v>
      </c>
      <c r="U45" s="69">
        <f t="shared" ref="U45:U70" si="28">IF(O8&gt;0,(U8/O8)*100,0)</f>
        <v>39.861566538005164</v>
      </c>
      <c r="W45" t="str">
        <f t="shared" ref="W45:W70" si="29">W8</f>
        <v>11 Corporate managers and directors</v>
      </c>
      <c r="X45" s="173">
        <f t="shared" ref="X45:AB45" si="30">X8/X$35*100</f>
        <v>5.2263832208324192</v>
      </c>
      <c r="Y45" s="173">
        <f t="shared" si="30"/>
        <v>6.3231252392249253</v>
      </c>
      <c r="Z45" s="173">
        <f t="shared" si="30"/>
        <v>6.5034626214601783</v>
      </c>
      <c r="AA45" s="173">
        <f t="shared" si="30"/>
        <v>6.3122503986131591</v>
      </c>
      <c r="AB45" s="173">
        <f t="shared" si="30"/>
        <v>7.0486239265433088</v>
      </c>
      <c r="AD45" s="68">
        <f t="shared" ref="AD45:AD70" si="31">IF(Z8&gt;0,(AD8/Z8)*100,0)</f>
        <v>15.659411665755069</v>
      </c>
      <c r="AE45" s="69">
        <f t="shared" ref="AE45:AE70" si="32">IF(Z8&gt;0,AE8/Z8*100,0)</f>
        <v>61.439165535220496</v>
      </c>
      <c r="AF45" s="69">
        <f t="shared" ref="AF45:AF70" si="33">IF(Z8&gt;0,(AF8/Z8)*100,0)</f>
        <v>77.098577200975569</v>
      </c>
    </row>
    <row r="46" spans="1:32" x14ac:dyDescent="0.2">
      <c r="A46" t="str">
        <f t="shared" si="19"/>
        <v>12 Other managers and proprietors</v>
      </c>
      <c r="B46" s="173">
        <f t="shared" si="20"/>
        <v>3.6011364629058775</v>
      </c>
      <c r="C46" s="173">
        <f t="shared" si="20"/>
        <v>3.5764571924805617</v>
      </c>
      <c r="D46" s="173">
        <f t="shared" si="20"/>
        <v>3.591102017524022</v>
      </c>
      <c r="E46" s="173">
        <f t="shared" si="20"/>
        <v>4.413163271367174</v>
      </c>
      <c r="F46" s="173">
        <f t="shared" si="20"/>
        <v>4.9426900312646387</v>
      </c>
      <c r="H46" s="68">
        <f t="shared" si="21"/>
        <v>47.321593943903864</v>
      </c>
      <c r="I46" s="69">
        <f t="shared" si="22"/>
        <v>74.697195741708541</v>
      </c>
      <c r="J46" s="69">
        <f t="shared" si="23"/>
        <v>122.01878968561242</v>
      </c>
      <c r="L46" t="str">
        <f t="shared" si="24"/>
        <v>12 Other managers and proprietors</v>
      </c>
      <c r="M46" s="173">
        <f t="shared" ref="M46:Q46" si="34">M9/M$35*100</f>
        <v>3.9650389340463894</v>
      </c>
      <c r="N46" s="173">
        <f t="shared" si="34"/>
        <v>3.9580471634585788</v>
      </c>
      <c r="O46" s="173">
        <f t="shared" si="34"/>
        <v>3.8358797063993242</v>
      </c>
      <c r="P46" s="173">
        <f t="shared" si="34"/>
        <v>4.8014276880544857</v>
      </c>
      <c r="Q46" s="173">
        <f t="shared" si="34"/>
        <v>5.2822437138619005</v>
      </c>
      <c r="S46" s="68">
        <f t="shared" si="26"/>
        <v>47.821601136041124</v>
      </c>
      <c r="T46" s="69">
        <f t="shared" si="27"/>
        <v>67.35899359506864</v>
      </c>
      <c r="U46" s="69">
        <f t="shared" si="28"/>
        <v>115.18059473110978</v>
      </c>
      <c r="W46" t="str">
        <f t="shared" si="29"/>
        <v>12 Other managers and proprietors</v>
      </c>
      <c r="X46" s="173">
        <f t="shared" ref="X46:AB46" si="35">X9/X$35*100</f>
        <v>3.2038170539139017</v>
      </c>
      <c r="Y46" s="173">
        <f t="shared" si="35"/>
        <v>3.1694865341561416</v>
      </c>
      <c r="Z46" s="173">
        <f t="shared" si="35"/>
        <v>3.3361791098292444</v>
      </c>
      <c r="AA46" s="173">
        <f t="shared" si="35"/>
        <v>4.0067421258174631</v>
      </c>
      <c r="AB46" s="173">
        <f t="shared" si="35"/>
        <v>4.5869697416937187</v>
      </c>
      <c r="AD46" s="68">
        <f t="shared" si="31"/>
        <v>46.722866858445492</v>
      </c>
      <c r="AE46" s="69">
        <f t="shared" si="32"/>
        <v>83.48423011413206</v>
      </c>
      <c r="AF46" s="69">
        <f t="shared" si="33"/>
        <v>130.20709697257755</v>
      </c>
    </row>
    <row r="47" spans="1:32" x14ac:dyDescent="0.2">
      <c r="A47" t="str">
        <f t="shared" si="19"/>
        <v>21 Science, research, engineering and technology professionals</v>
      </c>
      <c r="B47" s="173">
        <f t="shared" si="20"/>
        <v>7.30360680474611</v>
      </c>
      <c r="C47" s="173">
        <f t="shared" si="20"/>
        <v>7.7015679592688109</v>
      </c>
      <c r="D47" s="173">
        <f t="shared" si="20"/>
        <v>8.0881269304695973</v>
      </c>
      <c r="E47" s="173">
        <f t="shared" si="20"/>
        <v>8.3657988506937695</v>
      </c>
      <c r="F47" s="173">
        <f t="shared" si="20"/>
        <v>8.8578867534739931</v>
      </c>
      <c r="H47" s="68">
        <f t="shared" si="21"/>
        <v>17.223029694326964</v>
      </c>
      <c r="I47" s="69">
        <f t="shared" si="22"/>
        <v>41.060536797819296</v>
      </c>
      <c r="J47" s="69">
        <f t="shared" si="23"/>
        <v>58.283566492146257</v>
      </c>
      <c r="L47" t="str">
        <f t="shared" si="24"/>
        <v>21 Science, research, engineering and technology professionals</v>
      </c>
      <c r="M47" s="173">
        <f t="shared" ref="M47:Q47" si="36">M10/M$35*100</f>
        <v>11.151223828635059</v>
      </c>
      <c r="N47" s="173">
        <f t="shared" si="36"/>
        <v>11.935839514036021</v>
      </c>
      <c r="O47" s="173">
        <f t="shared" si="36"/>
        <v>12.165920561554652</v>
      </c>
      <c r="P47" s="173">
        <f t="shared" si="36"/>
        <v>12.15163222114675</v>
      </c>
      <c r="Q47" s="173">
        <f t="shared" si="36"/>
        <v>12.56719095061127</v>
      </c>
      <c r="S47" s="68">
        <f t="shared" si="26"/>
        <v>10.886246761747808</v>
      </c>
      <c r="T47" s="69">
        <f t="shared" si="27"/>
        <v>34.552687966270199</v>
      </c>
      <c r="U47" s="69">
        <f t="shared" si="28"/>
        <v>45.438934728017998</v>
      </c>
      <c r="W47" t="str">
        <f t="shared" si="29"/>
        <v>21 Science, research, engineering and technology professionals</v>
      </c>
      <c r="X47" s="173">
        <f t="shared" ref="X47:AB47" si="37">X10/X$35*100</f>
        <v>3.1026654998745413</v>
      </c>
      <c r="Y47" s="173">
        <f t="shared" si="37"/>
        <v>3.1856623715213956</v>
      </c>
      <c r="Z47" s="173">
        <f t="shared" si="37"/>
        <v>3.8413223536644745</v>
      </c>
      <c r="AA47" s="173">
        <f t="shared" si="37"/>
        <v>4.4029254346655469</v>
      </c>
      <c r="AB47" s="173">
        <f t="shared" si="37"/>
        <v>4.9719776005540455</v>
      </c>
      <c r="AD47" s="68">
        <f t="shared" si="31"/>
        <v>38.124175114785231</v>
      </c>
      <c r="AE47" s="69">
        <f t="shared" si="32"/>
        <v>62.52592329595025</v>
      </c>
      <c r="AF47" s="69">
        <f t="shared" si="33"/>
        <v>100.6500984107355</v>
      </c>
    </row>
    <row r="48" spans="1:32" x14ac:dyDescent="0.2">
      <c r="A48" t="str">
        <f t="shared" si="19"/>
        <v>22 Health professionals</v>
      </c>
      <c r="B48" s="173">
        <f t="shared" si="20"/>
        <v>3.2678648545050453</v>
      </c>
      <c r="C48" s="173">
        <f t="shared" si="20"/>
        <v>3.8307326420827916</v>
      </c>
      <c r="D48" s="173">
        <f t="shared" si="20"/>
        <v>3.8752646608502626</v>
      </c>
      <c r="E48" s="173">
        <f t="shared" si="20"/>
        <v>3.9828230715254964</v>
      </c>
      <c r="F48" s="173">
        <f t="shared" si="20"/>
        <v>4.0136811939758026</v>
      </c>
      <c r="H48" s="68">
        <f t="shared" si="21"/>
        <v>10.859338290828955</v>
      </c>
      <c r="I48" s="69">
        <f t="shared" si="22"/>
        <v>57.087816893274145</v>
      </c>
      <c r="J48" s="69">
        <f t="shared" si="23"/>
        <v>67.94715518410311</v>
      </c>
      <c r="L48" t="str">
        <f t="shared" si="24"/>
        <v>22 Health professionals</v>
      </c>
      <c r="M48" s="173">
        <f t="shared" ref="M48:Q48" si="38">M11/M$35*100</f>
        <v>1.3550921971880436</v>
      </c>
      <c r="N48" s="173">
        <f t="shared" si="38"/>
        <v>1.5797535347897926</v>
      </c>
      <c r="O48" s="173">
        <f t="shared" si="38"/>
        <v>1.7495357878680644</v>
      </c>
      <c r="P48" s="173">
        <f t="shared" si="38"/>
        <v>1.7812619554389872</v>
      </c>
      <c r="Q48" s="173">
        <f t="shared" si="38"/>
        <v>1.8004377246246164</v>
      </c>
      <c r="S48" s="68">
        <f t="shared" si="26"/>
        <v>10.468821206587961</v>
      </c>
      <c r="T48" s="69">
        <f t="shared" si="27"/>
        <v>39.582314692769138</v>
      </c>
      <c r="U48" s="69">
        <f t="shared" si="28"/>
        <v>50.051135899357099</v>
      </c>
      <c r="W48" t="str">
        <f t="shared" si="29"/>
        <v>22 Health professionals</v>
      </c>
      <c r="X48" s="173">
        <f t="shared" ref="X48:AB48" si="39">X11/X$35*100</f>
        <v>5.3562862366389155</v>
      </c>
      <c r="Y48" s="173">
        <f t="shared" si="39"/>
        <v>6.2314310850257053</v>
      </c>
      <c r="Z48" s="173">
        <f t="shared" si="39"/>
        <v>6.0890979058704362</v>
      </c>
      <c r="AA48" s="173">
        <f t="shared" si="39"/>
        <v>6.2873376042548559</v>
      </c>
      <c r="AB48" s="173">
        <f t="shared" si="39"/>
        <v>6.332300158101094</v>
      </c>
      <c r="AD48" s="68">
        <f t="shared" si="31"/>
        <v>10.976193195412181</v>
      </c>
      <c r="AE48" s="69">
        <f t="shared" si="32"/>
        <v>62.326009719836236</v>
      </c>
      <c r="AF48" s="69">
        <f t="shared" si="33"/>
        <v>73.302202915248415</v>
      </c>
    </row>
    <row r="49" spans="1:32" x14ac:dyDescent="0.2">
      <c r="A49" t="str">
        <f t="shared" si="19"/>
        <v>23 Teaching and other educational professionals</v>
      </c>
      <c r="B49" s="173">
        <f t="shared" si="20"/>
        <v>4.4188182003230327</v>
      </c>
      <c r="C49" s="173">
        <f t="shared" si="20"/>
        <v>4.433845539983639</v>
      </c>
      <c r="D49" s="173">
        <f t="shared" si="20"/>
        <v>4.5589490444966767</v>
      </c>
      <c r="E49" s="173">
        <f t="shared" si="20"/>
        <v>4.5779096946774356</v>
      </c>
      <c r="F49" s="173">
        <f t="shared" si="20"/>
        <v>4.743913082487369</v>
      </c>
      <c r="H49" s="68">
        <f t="shared" si="21"/>
        <v>11.378858247994463</v>
      </c>
      <c r="I49" s="69">
        <f t="shared" si="22"/>
        <v>54.348490164595631</v>
      </c>
      <c r="J49" s="69">
        <f t="shared" si="23"/>
        <v>65.727348412590089</v>
      </c>
      <c r="L49" t="str">
        <f t="shared" si="24"/>
        <v>23 Teaching and other educational professionals</v>
      </c>
      <c r="M49" s="173">
        <f t="shared" ref="M49:Q49" si="40">M12/M$35*100</f>
        <v>2.6615981772243851</v>
      </c>
      <c r="N49" s="173">
        <f t="shared" si="40"/>
        <v>2.5590536271822466</v>
      </c>
      <c r="O49" s="173">
        <f t="shared" si="40"/>
        <v>2.8086338949960097</v>
      </c>
      <c r="P49" s="173">
        <f t="shared" si="40"/>
        <v>2.9279849116050034</v>
      </c>
      <c r="Q49" s="173">
        <f t="shared" si="40"/>
        <v>3.0244735261300506</v>
      </c>
      <c r="S49" s="68">
        <f t="shared" si="26"/>
        <v>15.595013757398696</v>
      </c>
      <c r="T49" s="69">
        <f t="shared" si="27"/>
        <v>46.828814046040428</v>
      </c>
      <c r="U49" s="69">
        <f t="shared" si="28"/>
        <v>62.423827803439124</v>
      </c>
      <c r="W49" t="str">
        <f t="shared" si="29"/>
        <v>23 Teaching and other educational professionals</v>
      </c>
      <c r="X49" s="173">
        <f t="shared" ref="X49:AB49" si="41">X12/X$35*100</f>
        <v>6.3374026464749083</v>
      </c>
      <c r="Y49" s="173">
        <f t="shared" si="41"/>
        <v>6.4333354558704672</v>
      </c>
      <c r="Z49" s="173">
        <f t="shared" si="41"/>
        <v>6.3818089192797505</v>
      </c>
      <c r="AA49" s="173">
        <f t="shared" si="41"/>
        <v>6.3049912699823683</v>
      </c>
      <c r="AB49" s="173">
        <f t="shared" si="41"/>
        <v>6.5452174659612634</v>
      </c>
      <c r="AD49" s="68">
        <f t="shared" si="31"/>
        <v>9.4464228214859585</v>
      </c>
      <c r="AE49" s="69">
        <f t="shared" si="32"/>
        <v>57.795063350748151</v>
      </c>
      <c r="AF49" s="69">
        <f t="shared" si="33"/>
        <v>67.241486172234104</v>
      </c>
    </row>
    <row r="50" spans="1:32" x14ac:dyDescent="0.2">
      <c r="A50" t="str">
        <f t="shared" si="19"/>
        <v>24 Business, media and public service professionals</v>
      </c>
      <c r="B50" s="173">
        <f t="shared" si="20"/>
        <v>6.6748705801302517</v>
      </c>
      <c r="C50" s="173">
        <f t="shared" si="20"/>
        <v>7.2629750139806033</v>
      </c>
      <c r="D50" s="173">
        <f t="shared" si="20"/>
        <v>7.786153033803628</v>
      </c>
      <c r="E50" s="173">
        <f t="shared" si="20"/>
        <v>8.4627981403822243</v>
      </c>
      <c r="F50" s="173">
        <f t="shared" si="20"/>
        <v>9.0226449503092621</v>
      </c>
      <c r="H50" s="68">
        <f t="shared" si="21"/>
        <v>24.034273957156486</v>
      </c>
      <c r="I50" s="69">
        <f t="shared" si="22"/>
        <v>54.48475139639627</v>
      </c>
      <c r="J50" s="69">
        <f t="shared" si="23"/>
        <v>78.519025353552763</v>
      </c>
      <c r="L50" t="str">
        <f t="shared" si="24"/>
        <v>24 Business, media and public service professionals</v>
      </c>
      <c r="M50" s="173">
        <f t="shared" ref="M50:Q50" si="42">M13/M$35*100</f>
        <v>7.6211902697625495</v>
      </c>
      <c r="N50" s="173">
        <f t="shared" si="42"/>
        <v>7.9418665496608085</v>
      </c>
      <c r="O50" s="173">
        <f t="shared" si="42"/>
        <v>8.4948759518591537</v>
      </c>
      <c r="P50" s="173">
        <f t="shared" si="42"/>
        <v>9.3103719174442876</v>
      </c>
      <c r="Q50" s="173">
        <f t="shared" si="42"/>
        <v>9.7569114596673678</v>
      </c>
      <c r="S50" s="68">
        <f t="shared" si="26"/>
        <v>23.293382906166421</v>
      </c>
      <c r="T50" s="69">
        <f t="shared" si="27"/>
        <v>48.501730567612157</v>
      </c>
      <c r="U50" s="69">
        <f t="shared" si="28"/>
        <v>71.795113473778571</v>
      </c>
      <c r="W50" t="str">
        <f t="shared" si="29"/>
        <v>24 Business, media and public service professionals</v>
      </c>
      <c r="X50" s="173">
        <f t="shared" ref="X50:AB50" si="43">X13/X$35*100</f>
        <v>5.6416509412974474</v>
      </c>
      <c r="Y50" s="173">
        <f t="shared" si="43"/>
        <v>6.5389283769620334</v>
      </c>
      <c r="Z50" s="173">
        <f t="shared" si="43"/>
        <v>7.0480559145327621</v>
      </c>
      <c r="AA50" s="173">
        <f t="shared" si="43"/>
        <v>7.5755885723498979</v>
      </c>
      <c r="AB50" s="173">
        <f t="shared" si="43"/>
        <v>8.2534190260512101</v>
      </c>
      <c r="AD50" s="68">
        <f t="shared" si="31"/>
        <v>24.96426567980949</v>
      </c>
      <c r="AE50" s="69">
        <f t="shared" si="32"/>
        <v>61.994843251051016</v>
      </c>
      <c r="AF50" s="69">
        <f t="shared" si="33"/>
        <v>86.959108930860509</v>
      </c>
    </row>
    <row r="51" spans="1:32" x14ac:dyDescent="0.2">
      <c r="A51" t="str">
        <f t="shared" si="19"/>
        <v>31 Science, engineering and technology associate professionals</v>
      </c>
      <c r="B51" s="173">
        <f t="shared" si="20"/>
        <v>1.7913386037141112</v>
      </c>
      <c r="C51" s="173">
        <f t="shared" si="20"/>
        <v>1.9343396105211568</v>
      </c>
      <c r="D51" s="173">
        <f t="shared" si="20"/>
        <v>2.1248535006861933</v>
      </c>
      <c r="E51" s="173">
        <f t="shared" si="20"/>
        <v>1.8417094110589907</v>
      </c>
      <c r="F51" s="173">
        <f t="shared" si="20"/>
        <v>1.9035239155821948</v>
      </c>
      <c r="H51" s="68">
        <f t="shared" si="21"/>
        <v>-4.1129138700013943</v>
      </c>
      <c r="I51" s="69">
        <f t="shared" si="22"/>
        <v>38.481675835949154</v>
      </c>
      <c r="J51" s="69">
        <f t="shared" si="23"/>
        <v>34.368761965947755</v>
      </c>
      <c r="L51" t="str">
        <f t="shared" si="24"/>
        <v>31 Science, engineering and technology associate professionals</v>
      </c>
      <c r="M51" s="173">
        <f t="shared" ref="M51:Q51" si="44">M14/M$35*100</f>
        <v>2.3743291303958407</v>
      </c>
      <c r="N51" s="173">
        <f t="shared" si="44"/>
        <v>2.694380122453798</v>
      </c>
      <c r="O51" s="173">
        <f t="shared" si="44"/>
        <v>2.8571143702187891</v>
      </c>
      <c r="P51" s="173">
        <f t="shared" si="44"/>
        <v>2.2929325081182719</v>
      </c>
      <c r="Q51" s="173">
        <f t="shared" si="44"/>
        <v>2.2411792863050692</v>
      </c>
      <c r="S51" s="68">
        <f t="shared" si="26"/>
        <v>-15.79586464610431</v>
      </c>
      <c r="T51" s="69">
        <f t="shared" si="27"/>
        <v>31.066769594359915</v>
      </c>
      <c r="U51" s="69">
        <f t="shared" si="28"/>
        <v>15.270904948255607</v>
      </c>
      <c r="W51" t="str">
        <f t="shared" si="29"/>
        <v>31 Science, engineering and technology associate professionals</v>
      </c>
      <c r="X51" s="173">
        <f t="shared" ref="X51:AB51" si="45">X14/X$35*100</f>
        <v>1.1548124191483984</v>
      </c>
      <c r="Y51" s="173">
        <f t="shared" si="45"/>
        <v>1.1237465367522452</v>
      </c>
      <c r="Z51" s="173">
        <f t="shared" si="45"/>
        <v>1.3622428603535046</v>
      </c>
      <c r="AA51" s="173">
        <f t="shared" si="45"/>
        <v>1.3693853964866851</v>
      </c>
      <c r="AB51" s="173">
        <f t="shared" si="45"/>
        <v>1.549792319064109</v>
      </c>
      <c r="AD51" s="68">
        <f t="shared" si="31"/>
        <v>21.406028169264719</v>
      </c>
      <c r="AE51" s="69">
        <f t="shared" si="32"/>
        <v>54.677974718998016</v>
      </c>
      <c r="AF51" s="69">
        <f t="shared" si="33"/>
        <v>76.084002888262717</v>
      </c>
    </row>
    <row r="52" spans="1:32" x14ac:dyDescent="0.2">
      <c r="A52" t="str">
        <f t="shared" si="19"/>
        <v>32 Health and social care associate professionals</v>
      </c>
      <c r="B52" s="173">
        <f t="shared" si="20"/>
        <v>1.4690648515835485</v>
      </c>
      <c r="C52" s="173">
        <f t="shared" si="20"/>
        <v>1.6370328873607582</v>
      </c>
      <c r="D52" s="173">
        <f t="shared" si="20"/>
        <v>1.700456531990141</v>
      </c>
      <c r="E52" s="173">
        <f t="shared" si="20"/>
        <v>1.6482400200250147</v>
      </c>
      <c r="F52" s="173">
        <f t="shared" si="20"/>
        <v>1.6820789565898786</v>
      </c>
      <c r="H52" s="68">
        <f t="shared" si="21"/>
        <v>5.8794360200878977</v>
      </c>
      <c r="I52" s="69">
        <f t="shared" si="22"/>
        <v>58.101691424665546</v>
      </c>
      <c r="J52" s="69">
        <f t="shared" si="23"/>
        <v>63.981127444753447</v>
      </c>
      <c r="L52" t="str">
        <f t="shared" si="24"/>
        <v>32 Health and social care associate professionals</v>
      </c>
      <c r="M52" s="173">
        <f t="shared" ref="M52:Q52" si="46">M15/M$35*100</f>
        <v>0.57767297005215001</v>
      </c>
      <c r="N52" s="173">
        <f t="shared" si="46"/>
        <v>0.5823668431456448</v>
      </c>
      <c r="O52" s="173">
        <f t="shared" si="46"/>
        <v>0.6815913686203533</v>
      </c>
      <c r="P52" s="173">
        <f t="shared" si="46"/>
        <v>0.58951118776574174</v>
      </c>
      <c r="Q52" s="173">
        <f t="shared" si="46"/>
        <v>0.58965366237257966</v>
      </c>
      <c r="S52" s="68">
        <f t="shared" si="26"/>
        <v>-7.1338663854270941</v>
      </c>
      <c r="T52" s="69">
        <f t="shared" si="27"/>
        <v>41.853095025533875</v>
      </c>
      <c r="U52" s="69">
        <f t="shared" si="28"/>
        <v>34.719228640106785</v>
      </c>
      <c r="W52" t="str">
        <f t="shared" si="29"/>
        <v>32 Health and social care associate professionals</v>
      </c>
      <c r="X52" s="173">
        <f t="shared" ref="X52:AB52" si="47">X15/X$35*100</f>
        <v>2.4423126958213106</v>
      </c>
      <c r="Y52" s="173">
        <f t="shared" si="47"/>
        <v>2.7618479165046121</v>
      </c>
      <c r="Z52" s="173">
        <f t="shared" si="47"/>
        <v>2.7615502582547515</v>
      </c>
      <c r="AA52" s="173">
        <f t="shared" si="47"/>
        <v>2.7564790611006362</v>
      </c>
      <c r="AB52" s="173">
        <f t="shared" si="47"/>
        <v>2.8265160865929801</v>
      </c>
      <c r="AD52" s="68">
        <f t="shared" si="31"/>
        <v>9.2244326627523776</v>
      </c>
      <c r="AE52" s="69">
        <f t="shared" si="32"/>
        <v>62.278302304012556</v>
      </c>
      <c r="AF52" s="69">
        <f t="shared" si="33"/>
        <v>71.502734966764933</v>
      </c>
    </row>
    <row r="53" spans="1:32" x14ac:dyDescent="0.2">
      <c r="A53" t="str">
        <f t="shared" si="19"/>
        <v>33 Protective service occupations</v>
      </c>
      <c r="B53" s="173">
        <f t="shared" si="20"/>
        <v>1.1844125247126585</v>
      </c>
      <c r="C53" s="173">
        <f t="shared" si="20"/>
        <v>1.0994694535652987</v>
      </c>
      <c r="D53" s="173">
        <f t="shared" si="20"/>
        <v>1.1785704126455947</v>
      </c>
      <c r="E53" s="173">
        <f t="shared" si="20"/>
        <v>1.376138006200132</v>
      </c>
      <c r="F53" s="173">
        <f t="shared" si="20"/>
        <v>1.5091186018022402</v>
      </c>
      <c r="H53" s="68">
        <f t="shared" si="21"/>
        <v>37.056177311396596</v>
      </c>
      <c r="I53" s="69">
        <f t="shared" si="22"/>
        <v>42.938283390683942</v>
      </c>
      <c r="J53" s="69">
        <f t="shared" si="23"/>
        <v>79.994460702080545</v>
      </c>
      <c r="L53" t="str">
        <f t="shared" si="24"/>
        <v>33 Protective service occupations</v>
      </c>
      <c r="M53" s="173">
        <f t="shared" ref="M53:Q53" si="48">M16/M$35*100</f>
        <v>1.7848227839705109</v>
      </c>
      <c r="N53" s="173">
        <f t="shared" si="48"/>
        <v>1.6147201389692396</v>
      </c>
      <c r="O53" s="173">
        <f t="shared" si="48"/>
        <v>1.7181108494488058</v>
      </c>
      <c r="P53" s="173">
        <f t="shared" si="48"/>
        <v>1.9192143409306881</v>
      </c>
      <c r="Q53" s="173">
        <f t="shared" si="48"/>
        <v>1.9830661841862218</v>
      </c>
      <c r="S53" s="68">
        <f t="shared" si="26"/>
        <v>23.899762778139621</v>
      </c>
      <c r="T53" s="69">
        <f t="shared" si="27"/>
        <v>32.931025093085189</v>
      </c>
      <c r="U53" s="69">
        <f t="shared" si="28"/>
        <v>56.830787871224821</v>
      </c>
      <c r="W53" t="str">
        <f t="shared" si="29"/>
        <v>33 Protective service occupations</v>
      </c>
      <c r="X53" s="173">
        <f t="shared" ref="X53:AB53" si="49">X16/X$35*100</f>
        <v>0.52886696435032043</v>
      </c>
      <c r="Y53" s="173">
        <f t="shared" si="49"/>
        <v>0.54994790795572357</v>
      </c>
      <c r="Z53" s="173">
        <f t="shared" si="49"/>
        <v>0.61666782421626865</v>
      </c>
      <c r="AA53" s="173">
        <f t="shared" si="49"/>
        <v>0.80766534531271816</v>
      </c>
      <c r="AB53" s="173">
        <f t="shared" si="49"/>
        <v>1.0126057383354057</v>
      </c>
      <c r="AD53" s="68">
        <f t="shared" si="31"/>
        <v>75.230775427649846</v>
      </c>
      <c r="AE53" s="69">
        <f t="shared" si="32"/>
        <v>71.975302769382182</v>
      </c>
      <c r="AF53" s="69">
        <f t="shared" si="33"/>
        <v>147.20607819703201</v>
      </c>
    </row>
    <row r="54" spans="1:32" x14ac:dyDescent="0.2">
      <c r="A54" t="str">
        <f t="shared" si="19"/>
        <v>34 Culture, media and sports occupations</v>
      </c>
      <c r="B54" s="173">
        <f t="shared" si="20"/>
        <v>2.5951814139491538</v>
      </c>
      <c r="C54" s="173">
        <f t="shared" si="20"/>
        <v>2.2503864019588571</v>
      </c>
      <c r="D54" s="173">
        <f t="shared" si="20"/>
        <v>2.3967259379469952</v>
      </c>
      <c r="E54" s="173">
        <f t="shared" si="20"/>
        <v>2.3228280119402807</v>
      </c>
      <c r="F54" s="173">
        <f t="shared" si="20"/>
        <v>2.4569814708585702</v>
      </c>
      <c r="H54" s="68">
        <f t="shared" si="21"/>
        <v>9.7271961181291644</v>
      </c>
      <c r="I54" s="69">
        <f t="shared" si="22"/>
        <v>47.814037070338209</v>
      </c>
      <c r="J54" s="69">
        <f t="shared" si="23"/>
        <v>57.54123318846738</v>
      </c>
      <c r="L54" t="str">
        <f t="shared" si="24"/>
        <v>34 Culture, media and sports occupations</v>
      </c>
      <c r="M54" s="173">
        <f t="shared" ref="M54:Q54" si="50">M17/M$35*100</f>
        <v>2.7229306585683486</v>
      </c>
      <c r="N54" s="173">
        <f t="shared" si="50"/>
        <v>2.2525062115641425</v>
      </c>
      <c r="O54" s="173">
        <f t="shared" si="50"/>
        <v>2.3225081330871111</v>
      </c>
      <c r="P54" s="173">
        <f t="shared" si="50"/>
        <v>2.2944736628441529</v>
      </c>
      <c r="Q54" s="173">
        <f t="shared" si="50"/>
        <v>2.4965949863038834</v>
      </c>
      <c r="S54" s="68">
        <f t="shared" si="26"/>
        <v>15.391892682885636</v>
      </c>
      <c r="T54" s="69">
        <f t="shared" si="27"/>
        <v>42.466069843455216</v>
      </c>
      <c r="U54" s="69">
        <f t="shared" si="28"/>
        <v>57.857962526340856</v>
      </c>
      <c r="W54" t="str">
        <f t="shared" si="29"/>
        <v>34 Culture, media and sports occupations</v>
      </c>
      <c r="X54" s="173">
        <f t="shared" ref="X54:AB54" si="51">X17/X$35*100</f>
        <v>2.4557010355604367</v>
      </c>
      <c r="Y54" s="173">
        <f t="shared" si="51"/>
        <v>2.2481255974928125</v>
      </c>
      <c r="Z54" s="173">
        <f t="shared" si="51"/>
        <v>2.4740198232865369</v>
      </c>
      <c r="AA54" s="173">
        <f t="shared" si="51"/>
        <v>2.3525083188282725</v>
      </c>
      <c r="AB54" s="173">
        <f t="shared" si="51"/>
        <v>2.4154819027274113</v>
      </c>
      <c r="AD54" s="68">
        <f t="shared" si="31"/>
        <v>4.1890073657814968</v>
      </c>
      <c r="AE54" s="69">
        <f t="shared" si="32"/>
        <v>53.042569897342084</v>
      </c>
      <c r="AF54" s="69">
        <f t="shared" si="33"/>
        <v>57.231577263123576</v>
      </c>
    </row>
    <row r="55" spans="1:32" x14ac:dyDescent="0.2">
      <c r="A55" t="str">
        <f t="shared" si="19"/>
        <v>35 Business and public service associate professionals</v>
      </c>
      <c r="B55" s="173">
        <f t="shared" ref="B55:F64" si="52">B18/B$35*100</f>
        <v>6.6087506098539732</v>
      </c>
      <c r="C55" s="173">
        <f t="shared" si="52"/>
        <v>6.6835698094204368</v>
      </c>
      <c r="D55" s="173">
        <f t="shared" si="52"/>
        <v>6.9505304732220736</v>
      </c>
      <c r="E55" s="173">
        <f t="shared" si="52"/>
        <v>6.5498651998633086</v>
      </c>
      <c r="F55" s="173">
        <f t="shared" si="52"/>
        <v>6.5519999095925163</v>
      </c>
      <c r="H55" s="68">
        <f t="shared" si="21"/>
        <v>0.89896407502717302</v>
      </c>
      <c r="I55" s="69">
        <f t="shared" si="22"/>
        <v>45.358370122863121</v>
      </c>
      <c r="J55" s="69">
        <f t="shared" si="23"/>
        <v>46.257334197890295</v>
      </c>
      <c r="L55" t="str">
        <f t="shared" si="24"/>
        <v>35 Business and public service associate professionals</v>
      </c>
      <c r="M55" s="173">
        <f t="shared" ref="M55:Q55" si="53">M18/M$35*100</f>
        <v>6.6747841833082617</v>
      </c>
      <c r="N55" s="173">
        <f t="shared" si="53"/>
        <v>6.6425478862703242</v>
      </c>
      <c r="O55" s="173">
        <f t="shared" si="53"/>
        <v>7.0455897094081719</v>
      </c>
      <c r="P55" s="173">
        <f t="shared" si="53"/>
        <v>6.4216324541409922</v>
      </c>
      <c r="Q55" s="173">
        <f t="shared" si="53"/>
        <v>6.1940084544802367</v>
      </c>
      <c r="S55" s="68">
        <f t="shared" si="26"/>
        <v>-5.6289274196107071</v>
      </c>
      <c r="T55" s="69">
        <f t="shared" si="27"/>
        <v>36.446008798739705</v>
      </c>
      <c r="U55" s="69">
        <f t="shared" si="28"/>
        <v>30.817081379128997</v>
      </c>
      <c r="W55" t="str">
        <f t="shared" si="29"/>
        <v>35 Business and public service associate professionals</v>
      </c>
      <c r="X55" s="173">
        <f t="shared" ref="X55:AB55" si="54">X18/X$35*100</f>
        <v>6.5366532143725786</v>
      </c>
      <c r="Y55" s="173">
        <f t="shared" si="54"/>
        <v>6.7273202230577436</v>
      </c>
      <c r="Z55" s="173">
        <f t="shared" si="54"/>
        <v>6.8515313487383489</v>
      </c>
      <c r="AA55" s="173">
        <f t="shared" si="54"/>
        <v>6.6840945991425844</v>
      </c>
      <c r="AB55" s="173">
        <f t="shared" si="54"/>
        <v>6.9270358187966066</v>
      </c>
      <c r="AD55" s="68">
        <f t="shared" si="31"/>
        <v>7.8899698423565559</v>
      </c>
      <c r="AE55" s="69">
        <f t="shared" si="32"/>
        <v>54.90300937868551</v>
      </c>
      <c r="AF55" s="69">
        <f t="shared" si="33"/>
        <v>62.792979221042053</v>
      </c>
    </row>
    <row r="56" spans="1:32" x14ac:dyDescent="0.2">
      <c r="A56" t="str">
        <f t="shared" si="19"/>
        <v>41 Administrative occupations</v>
      </c>
      <c r="B56" s="173">
        <f t="shared" si="52"/>
        <v>8.3428579684141386</v>
      </c>
      <c r="C56" s="173">
        <f t="shared" si="52"/>
        <v>7.7585169458961962</v>
      </c>
      <c r="D56" s="173">
        <f t="shared" si="52"/>
        <v>8.0890127838745158</v>
      </c>
      <c r="E56" s="173">
        <f t="shared" si="52"/>
        <v>7.1492418904605533</v>
      </c>
      <c r="F56" s="173">
        <f t="shared" si="52"/>
        <v>6.3152556511861917</v>
      </c>
      <c r="H56" s="68">
        <f t="shared" si="21"/>
        <v>-16.434658801501769</v>
      </c>
      <c r="I56" s="69">
        <f t="shared" si="22"/>
        <v>44.765449600317417</v>
      </c>
      <c r="J56" s="69">
        <f t="shared" si="23"/>
        <v>28.330790798815652</v>
      </c>
      <c r="L56" t="str">
        <f t="shared" si="24"/>
        <v>41 Administrative occupations</v>
      </c>
      <c r="M56" s="173">
        <f t="shared" ref="M56:Q56" si="55">M19/M$35*100</f>
        <v>4.0530212849989509</v>
      </c>
      <c r="N56" s="173">
        <f t="shared" si="55"/>
        <v>3.6324640653558982</v>
      </c>
      <c r="O56" s="173">
        <f t="shared" si="55"/>
        <v>4.3525296042628776</v>
      </c>
      <c r="P56" s="173">
        <f t="shared" si="55"/>
        <v>3.9475587014466398</v>
      </c>
      <c r="Q56" s="173">
        <f t="shared" si="55"/>
        <v>4.0117473638948988</v>
      </c>
      <c r="S56" s="68">
        <f t="shared" si="26"/>
        <v>-1.0590015916195119</v>
      </c>
      <c r="T56" s="69">
        <f t="shared" si="27"/>
        <v>35.435087120927079</v>
      </c>
      <c r="U56" s="69">
        <f t="shared" si="28"/>
        <v>34.376085529307566</v>
      </c>
      <c r="W56" t="str">
        <f t="shared" si="29"/>
        <v>41 Administrative occupations</v>
      </c>
      <c r="X56" s="173">
        <f t="shared" ref="X56:AB56" si="56">X19/X$35*100</f>
        <v>13.026627689418529</v>
      </c>
      <c r="Y56" s="173">
        <f t="shared" si="56"/>
        <v>12.159005912550935</v>
      </c>
      <c r="Z56" s="173">
        <f t="shared" si="56"/>
        <v>11.980360729333896</v>
      </c>
      <c r="AA56" s="173">
        <f t="shared" si="56"/>
        <v>10.500648028752796</v>
      </c>
      <c r="AB56" s="173">
        <f t="shared" si="56"/>
        <v>8.7284370624924943</v>
      </c>
      <c r="AD56" s="68">
        <f t="shared" si="31"/>
        <v>-22.252241430755699</v>
      </c>
      <c r="AE56" s="69">
        <f t="shared" si="32"/>
        <v>48.295715262708441</v>
      </c>
      <c r="AF56" s="69">
        <f t="shared" si="33"/>
        <v>26.043473831952742</v>
      </c>
    </row>
    <row r="57" spans="1:32" x14ac:dyDescent="0.2">
      <c r="A57" t="str">
        <f t="shared" si="19"/>
        <v>42 Secretarial and related occupations</v>
      </c>
      <c r="B57" s="173">
        <f t="shared" si="52"/>
        <v>2.5204602166717986</v>
      </c>
      <c r="C57" s="173">
        <f t="shared" si="52"/>
        <v>2.1570845007784212</v>
      </c>
      <c r="D57" s="173">
        <f t="shared" si="52"/>
        <v>2.1325048445622925</v>
      </c>
      <c r="E57" s="173">
        <f t="shared" si="52"/>
        <v>2.1002151039777073</v>
      </c>
      <c r="F57" s="173">
        <f t="shared" si="52"/>
        <v>1.6076292329711035</v>
      </c>
      <c r="H57" s="68">
        <f t="shared" si="21"/>
        <v>-19.308712573146352</v>
      </c>
      <c r="I57" s="69">
        <f t="shared" si="22"/>
        <v>50.103608567195835</v>
      </c>
      <c r="J57" s="69">
        <f t="shared" si="23"/>
        <v>30.794895994049476</v>
      </c>
      <c r="L57" t="str">
        <f t="shared" si="24"/>
        <v>42 Secretarial and related occupations</v>
      </c>
      <c r="M57" s="173">
        <f t="shared" ref="M57:Q57" si="57">M20/M$35*100</f>
        <v>0.225217537344826</v>
      </c>
      <c r="N57" s="173">
        <f t="shared" si="57"/>
        <v>0.17556978721329333</v>
      </c>
      <c r="O57" s="173">
        <f t="shared" si="57"/>
        <v>0.16302873580401445</v>
      </c>
      <c r="P57" s="173">
        <f t="shared" si="57"/>
        <v>0.21385478359917032</v>
      </c>
      <c r="Q57" s="173">
        <f t="shared" si="57"/>
        <v>0.237168263462466</v>
      </c>
      <c r="S57" s="68">
        <f t="shared" si="26"/>
        <v>56.16253817215172</v>
      </c>
      <c r="T57" s="69">
        <f t="shared" si="27"/>
        <v>44.62448340567115</v>
      </c>
      <c r="U57" s="69">
        <f t="shared" si="28"/>
        <v>100.78702157782287</v>
      </c>
      <c r="W57" t="str">
        <f t="shared" si="29"/>
        <v>42 Secretarial and related occupations</v>
      </c>
      <c r="X57" s="173">
        <f t="shared" ref="X57:AB57" si="58">X20/X$35*100</f>
        <v>5.0264736053283956</v>
      </c>
      <c r="Y57" s="173">
        <f t="shared" si="58"/>
        <v>4.2703956692881153</v>
      </c>
      <c r="Z57" s="173">
        <f t="shared" si="58"/>
        <v>4.1836091694168758</v>
      </c>
      <c r="AA57" s="173">
        <f t="shared" si="58"/>
        <v>4.0747888464517867</v>
      </c>
      <c r="AB57" s="173">
        <f t="shared" si="58"/>
        <v>3.0433396902701224</v>
      </c>
      <c r="AD57" s="68">
        <f t="shared" si="31"/>
        <v>-22.371604234872343</v>
      </c>
      <c r="AE57" s="69">
        <f t="shared" si="32"/>
        <v>50.325970944989471</v>
      </c>
      <c r="AF57" s="69">
        <f t="shared" si="33"/>
        <v>27.954366710117128</v>
      </c>
    </row>
    <row r="58" spans="1:32" x14ac:dyDescent="0.2">
      <c r="A58" t="str">
        <f t="shared" si="19"/>
        <v>51 Skilled agricultural and related trades</v>
      </c>
      <c r="B58" s="173">
        <f t="shared" si="52"/>
        <v>0.97154895876807557</v>
      </c>
      <c r="C58" s="173">
        <f t="shared" si="52"/>
        <v>1.0058493071437402</v>
      </c>
      <c r="D58" s="173">
        <f t="shared" si="52"/>
        <v>0.81322366384793932</v>
      </c>
      <c r="E58" s="173">
        <f t="shared" si="52"/>
        <v>0.85049258182025333</v>
      </c>
      <c r="F58" s="173">
        <f t="shared" si="52"/>
        <v>0.96007228867583017</v>
      </c>
      <c r="H58" s="68">
        <f t="shared" si="21"/>
        <v>26.364389425043189</v>
      </c>
      <c r="I58" s="69">
        <f t="shared" si="22"/>
        <v>63.325511057183078</v>
      </c>
      <c r="J58" s="69">
        <f t="shared" si="23"/>
        <v>89.689900482226264</v>
      </c>
      <c r="L58" t="str">
        <f t="shared" si="24"/>
        <v>51 Skilled agricultural and related trades</v>
      </c>
      <c r="M58" s="173">
        <f t="shared" ref="M58:Q58" si="59">M21/M$35*100</f>
        <v>1.4456802696000453</v>
      </c>
      <c r="N58" s="173">
        <f t="shared" si="59"/>
        <v>1.6611283588406003</v>
      </c>
      <c r="O58" s="173">
        <f t="shared" si="59"/>
        <v>1.2002385989063455</v>
      </c>
      <c r="P58" s="173">
        <f t="shared" si="59"/>
        <v>1.2078947730777605</v>
      </c>
      <c r="Q58" s="173">
        <f t="shared" si="59"/>
        <v>1.3244641053964157</v>
      </c>
      <c r="S58" s="68">
        <f t="shared" si="26"/>
        <v>18.455996317650687</v>
      </c>
      <c r="T58" s="69">
        <f t="shared" si="27"/>
        <v>55.528961167216039</v>
      </c>
      <c r="U58" s="69">
        <f t="shared" si="28"/>
        <v>73.984957484866726</v>
      </c>
      <c r="W58" t="str">
        <f t="shared" si="29"/>
        <v>51 Skilled agricultural and related trades</v>
      </c>
      <c r="X58" s="173">
        <f t="shared" ref="X58:AB58" si="60">X21/X$35*100</f>
        <v>0.45387846421513012</v>
      </c>
      <c r="Y58" s="173">
        <f t="shared" si="60"/>
        <v>0.30698569086007643</v>
      </c>
      <c r="Z58" s="173">
        <f t="shared" si="60"/>
        <v>0.41016825050652306</v>
      </c>
      <c r="AA58" s="173">
        <f t="shared" si="60"/>
        <v>0.47637689737978045</v>
      </c>
      <c r="AB58" s="173">
        <f t="shared" si="60"/>
        <v>0.57833128804922529</v>
      </c>
      <c r="AD58" s="68">
        <f t="shared" si="31"/>
        <v>50.465154609892515</v>
      </c>
      <c r="AE58" s="69">
        <f t="shared" si="32"/>
        <v>87.085434925208133</v>
      </c>
      <c r="AF58" s="69">
        <f t="shared" si="33"/>
        <v>137.55058953510064</v>
      </c>
    </row>
    <row r="59" spans="1:32" x14ac:dyDescent="0.2">
      <c r="A59" t="str">
        <f t="shared" si="19"/>
        <v>52 Skilled metal, electrical and electronic trades</v>
      </c>
      <c r="B59" s="173">
        <f t="shared" si="52"/>
        <v>3.33760820588402</v>
      </c>
      <c r="C59" s="173">
        <f t="shared" si="52"/>
        <v>3.2758517239057232</v>
      </c>
      <c r="D59" s="173">
        <f t="shared" si="52"/>
        <v>2.9061916888288355</v>
      </c>
      <c r="E59" s="173">
        <f t="shared" si="52"/>
        <v>2.9128270938646947</v>
      </c>
      <c r="F59" s="173">
        <f t="shared" si="52"/>
        <v>2.7186531501622149</v>
      </c>
      <c r="H59" s="68">
        <f t="shared" si="21"/>
        <v>0.12910243180865</v>
      </c>
      <c r="I59" s="69">
        <f t="shared" si="22"/>
        <v>39.247930394338873</v>
      </c>
      <c r="J59" s="69">
        <f t="shared" si="23"/>
        <v>39.37703282614752</v>
      </c>
      <c r="L59" t="str">
        <f t="shared" si="24"/>
        <v>52 Skilled metal, electrical and electronic trades</v>
      </c>
      <c r="M59" s="173">
        <f t="shared" ref="M59:Q59" si="61">M22/M$35*100</f>
        <v>6.240393411728709</v>
      </c>
      <c r="N59" s="173">
        <f t="shared" si="61"/>
        <v>6.0942021647732005</v>
      </c>
      <c r="O59" s="173">
        <f t="shared" si="61"/>
        <v>5.5003695093361555</v>
      </c>
      <c r="P59" s="173">
        <f t="shared" si="61"/>
        <v>5.2625602948690826</v>
      </c>
      <c r="Q59" s="173">
        <f t="shared" si="61"/>
        <v>4.7819384953007411</v>
      </c>
      <c r="S59" s="68">
        <f t="shared" si="26"/>
        <v>-6.6753077809353618</v>
      </c>
      <c r="T59" s="69">
        <f t="shared" si="27"/>
        <v>35.999640514433509</v>
      </c>
      <c r="U59" s="69">
        <f t="shared" si="28"/>
        <v>29.324332733498153</v>
      </c>
      <c r="W59" t="str">
        <f t="shared" si="29"/>
        <v>52 Skilled metal, electrical and electronic trades</v>
      </c>
      <c r="X59" s="173">
        <f t="shared" ref="X59:AB59" si="62">X22/X$35*100</f>
        <v>0.16826203793365782</v>
      </c>
      <c r="Y59" s="173">
        <f t="shared" si="62"/>
        <v>0.27004438738418729</v>
      </c>
      <c r="Z59" s="173">
        <f t="shared" si="62"/>
        <v>0.20449384978312823</v>
      </c>
      <c r="AA59" s="173">
        <f t="shared" si="62"/>
        <v>0.45321138291092966</v>
      </c>
      <c r="AB59" s="173">
        <f t="shared" si="62"/>
        <v>0.55713201799214351</v>
      </c>
      <c r="AD59" s="68">
        <f t="shared" si="31"/>
        <v>190.73622980595059</v>
      </c>
      <c r="AE59" s="69">
        <f t="shared" si="32"/>
        <v>130.23997577803067</v>
      </c>
      <c r="AF59" s="69">
        <f t="shared" si="33"/>
        <v>320.97620558398125</v>
      </c>
    </row>
    <row r="60" spans="1:32" x14ac:dyDescent="0.2">
      <c r="A60" t="str">
        <f t="shared" si="19"/>
        <v>53 Skilled construction and building trades</v>
      </c>
      <c r="B60" s="173">
        <f t="shared" si="52"/>
        <v>2.8349452614820176</v>
      </c>
      <c r="C60" s="173">
        <f t="shared" si="52"/>
        <v>2.5787122051404139</v>
      </c>
      <c r="D60" s="173">
        <f t="shared" si="52"/>
        <v>2.3615835802886207</v>
      </c>
      <c r="E60" s="173">
        <f t="shared" si="52"/>
        <v>2.4570311585622893</v>
      </c>
      <c r="F60" s="173">
        <f t="shared" si="52"/>
        <v>2.2000701775867237</v>
      </c>
      <c r="H60" s="68">
        <f t="shared" si="21"/>
        <v>-0.2841972314585367</v>
      </c>
      <c r="I60" s="69">
        <f t="shared" si="22"/>
        <v>43.55832308765639</v>
      </c>
      <c r="J60" s="69">
        <f t="shared" si="23"/>
        <v>43.274125856197855</v>
      </c>
      <c r="L60" t="str">
        <f t="shared" si="24"/>
        <v>53 Skilled construction and building trades</v>
      </c>
      <c r="M60" s="173">
        <f t="shared" ref="M60:Q60" si="63">M23/M$35*100</f>
        <v>5.3461406334833121</v>
      </c>
      <c r="N60" s="173">
        <f t="shared" si="63"/>
        <v>4.899196537103232</v>
      </c>
      <c r="O60" s="173">
        <f t="shared" si="63"/>
        <v>4.5354856901946148</v>
      </c>
      <c r="P60" s="173">
        <f t="shared" si="63"/>
        <v>4.7206180369731134</v>
      </c>
      <c r="Q60" s="173">
        <f t="shared" si="63"/>
        <v>4.1998887870586321</v>
      </c>
      <c r="S60" s="68">
        <f t="shared" si="26"/>
        <v>-0.59724170063244542</v>
      </c>
      <c r="T60" s="69">
        <f t="shared" si="27"/>
        <v>43.363602010396058</v>
      </c>
      <c r="U60" s="69">
        <f t="shared" si="28"/>
        <v>42.766360309763613</v>
      </c>
      <c r="W60" t="str">
        <f t="shared" si="29"/>
        <v>53 Skilled construction and building trades</v>
      </c>
      <c r="X60" s="173">
        <f t="shared" ref="X60:AB60" si="64">X23/X$35*100</f>
        <v>9.3148378542819946E-2</v>
      </c>
      <c r="Y60" s="173">
        <f t="shared" si="64"/>
        <v>0.10388553768372899</v>
      </c>
      <c r="Z60" s="173">
        <f t="shared" si="64"/>
        <v>9.7580478341905225E-2</v>
      </c>
      <c r="AA60" s="173">
        <f t="shared" si="64"/>
        <v>8.7590301673425616E-2</v>
      </c>
      <c r="AB60" s="173">
        <f t="shared" si="64"/>
        <v>0.10503751762747829</v>
      </c>
      <c r="AD60" s="68">
        <f t="shared" si="31"/>
        <v>14.868987823016393</v>
      </c>
      <c r="AE60" s="69">
        <f t="shared" si="32"/>
        <v>52.983963238780831</v>
      </c>
      <c r="AF60" s="69">
        <f t="shared" si="33"/>
        <v>67.852951061797228</v>
      </c>
    </row>
    <row r="61" spans="1:32" x14ac:dyDescent="0.2">
      <c r="A61" t="str">
        <f t="shared" si="19"/>
        <v>54 Textiles, printing and other skilled trades</v>
      </c>
      <c r="B61" s="173">
        <f t="shared" si="52"/>
        <v>2.2676948217131754</v>
      </c>
      <c r="C61" s="173">
        <f t="shared" si="52"/>
        <v>1.9607230612852986</v>
      </c>
      <c r="D61" s="173">
        <f t="shared" si="52"/>
        <v>1.84409872178859</v>
      </c>
      <c r="E61" s="173">
        <f t="shared" si="52"/>
        <v>1.8592634327679742</v>
      </c>
      <c r="F61" s="173">
        <f t="shared" si="52"/>
        <v>1.8775654084641036</v>
      </c>
      <c r="H61" s="68">
        <f t="shared" si="21"/>
        <v>8.9787155635611136</v>
      </c>
      <c r="I61" s="69">
        <f t="shared" si="22"/>
        <v>45.615182807778439</v>
      </c>
      <c r="J61" s="69">
        <f t="shared" si="23"/>
        <v>54.593898371339556</v>
      </c>
      <c r="L61" t="str">
        <f t="shared" si="24"/>
        <v>54 Textiles, printing and other skilled trades</v>
      </c>
      <c r="M61" s="173">
        <f t="shared" ref="M61:Q61" si="65">M24/M$35*100</f>
        <v>2.7186274611690289</v>
      </c>
      <c r="N61" s="173">
        <f t="shared" si="65"/>
        <v>2.3877249170074104</v>
      </c>
      <c r="O61" s="173">
        <f t="shared" si="65"/>
        <v>2.0621606357438504</v>
      </c>
      <c r="P61" s="173">
        <f t="shared" si="65"/>
        <v>2.0612792367036743</v>
      </c>
      <c r="Q61" s="173">
        <f t="shared" si="65"/>
        <v>2.0464621164195491</v>
      </c>
      <c r="S61" s="68">
        <f t="shared" si="26"/>
        <v>6.5284635730887315</v>
      </c>
      <c r="T61" s="69">
        <f t="shared" si="27"/>
        <v>33.623238718576602</v>
      </c>
      <c r="U61" s="69">
        <f t="shared" si="28"/>
        <v>40.15170229166533</v>
      </c>
      <c r="W61" t="str">
        <f t="shared" si="29"/>
        <v>54 Textiles, printing and other skilled trades</v>
      </c>
      <c r="X61" s="173">
        <f t="shared" ref="X61:AB61" si="66">X24/X$35*100</f>
        <v>1.7753533181167087</v>
      </c>
      <c r="Y61" s="173">
        <f t="shared" si="66"/>
        <v>1.5053200382876348</v>
      </c>
      <c r="Z61" s="173">
        <f t="shared" si="66"/>
        <v>1.6169988687816379</v>
      </c>
      <c r="AA61" s="173">
        <f t="shared" si="66"/>
        <v>1.6478005973240173</v>
      </c>
      <c r="AB61" s="173">
        <f t="shared" si="66"/>
        <v>1.7006273013526332</v>
      </c>
      <c r="AD61" s="68">
        <f t="shared" si="31"/>
        <v>12.233037851015334</v>
      </c>
      <c r="AE61" s="69">
        <f t="shared" si="32"/>
        <v>61.542381753494432</v>
      </c>
      <c r="AF61" s="69">
        <f t="shared" si="33"/>
        <v>73.775419604509764</v>
      </c>
    </row>
    <row r="62" spans="1:32" x14ac:dyDescent="0.2">
      <c r="A62" t="str">
        <f t="shared" si="19"/>
        <v>61 Caring personal service occupations</v>
      </c>
      <c r="B62" s="173">
        <f t="shared" si="52"/>
        <v>6.7203086418588454</v>
      </c>
      <c r="C62" s="173">
        <f t="shared" si="52"/>
        <v>6.7639866086244584</v>
      </c>
      <c r="D62" s="173">
        <f t="shared" si="52"/>
        <v>6.5913375241598322</v>
      </c>
      <c r="E62" s="173">
        <f t="shared" si="52"/>
        <v>6.9045624664547418</v>
      </c>
      <c r="F62" s="173">
        <f t="shared" si="52"/>
        <v>7.118412036057828</v>
      </c>
      <c r="H62" s="68">
        <f t="shared" si="21"/>
        <v>15.595345633669574</v>
      </c>
      <c r="I62" s="69">
        <f t="shared" si="22"/>
        <v>60.365203792711227</v>
      </c>
      <c r="J62" s="69">
        <f t="shared" si="23"/>
        <v>75.960549426380808</v>
      </c>
      <c r="L62" t="str">
        <f t="shared" si="24"/>
        <v>61 Caring personal service occupations</v>
      </c>
      <c r="M62" s="173">
        <f t="shared" ref="M62:Q62" si="67">M25/M$35*100</f>
        <v>2.4717503358230997</v>
      </c>
      <c r="N62" s="173">
        <f t="shared" si="67"/>
        <v>2.4076187957626716</v>
      </c>
      <c r="O62" s="173">
        <f t="shared" si="67"/>
        <v>2.4623502494328742</v>
      </c>
      <c r="P62" s="173">
        <f t="shared" si="67"/>
        <v>2.931165654990743</v>
      </c>
      <c r="Q62" s="173">
        <f t="shared" si="67"/>
        <v>3.2808038652355167</v>
      </c>
      <c r="S62" s="68">
        <f t="shared" si="26"/>
        <v>43.025964904094359</v>
      </c>
      <c r="T62" s="69">
        <f t="shared" si="27"/>
        <v>56.303617600638034</v>
      </c>
      <c r="U62" s="69">
        <f t="shared" si="28"/>
        <v>99.3295825047324</v>
      </c>
      <c r="W62" t="str">
        <f t="shared" si="29"/>
        <v>61 Caring personal service occupations</v>
      </c>
      <c r="X62" s="173">
        <f t="shared" ref="X62:AB62" si="68">X25/X$35*100</f>
        <v>11.359009417733121</v>
      </c>
      <c r="Y62" s="173">
        <f t="shared" si="68"/>
        <v>11.410109440835448</v>
      </c>
      <c r="Z62" s="173">
        <f t="shared" si="68"/>
        <v>10.891457550394398</v>
      </c>
      <c r="AA62" s="173">
        <f t="shared" si="68"/>
        <v>11.063770507245501</v>
      </c>
      <c r="AB62" s="173">
        <f t="shared" si="68"/>
        <v>11.138733887209272</v>
      </c>
      <c r="AD62" s="68">
        <f t="shared" si="31"/>
        <v>9.1367741530959226</v>
      </c>
      <c r="AE62" s="69">
        <f t="shared" si="32"/>
        <v>61.32150902546617</v>
      </c>
      <c r="AF62" s="69">
        <f t="shared" si="33"/>
        <v>70.458283178562098</v>
      </c>
    </row>
    <row r="63" spans="1:32" x14ac:dyDescent="0.2">
      <c r="A63" t="str">
        <f t="shared" si="19"/>
        <v>62 Leisure, travel and related personal service occupations</v>
      </c>
      <c r="B63" s="173">
        <f t="shared" si="52"/>
        <v>2.5997606376195619</v>
      </c>
      <c r="C63" s="173">
        <f t="shared" si="52"/>
        <v>2.5797057707328523</v>
      </c>
      <c r="D63" s="173">
        <f t="shared" si="52"/>
        <v>2.4283420198438761</v>
      </c>
      <c r="E63" s="173">
        <f t="shared" si="52"/>
        <v>2.388428414174121</v>
      </c>
      <c r="F63" s="173">
        <f t="shared" si="52"/>
        <v>2.3632699482561215</v>
      </c>
      <c r="H63" s="68">
        <f t="shared" si="21"/>
        <v>4.1679827309042361</v>
      </c>
      <c r="I63" s="69">
        <f t="shared" si="22"/>
        <v>51.852568575402692</v>
      </c>
      <c r="J63" s="69">
        <f t="shared" si="23"/>
        <v>56.020551306306935</v>
      </c>
      <c r="L63" t="str">
        <f t="shared" si="24"/>
        <v>62 Leisure, travel and related personal service occupations</v>
      </c>
      <c r="M63" s="173">
        <f t="shared" ref="M63:Q63" si="69">M26/M$35*100</f>
        <v>1.4490366406013173</v>
      </c>
      <c r="N63" s="173">
        <f t="shared" si="69"/>
        <v>1.5202621179685372</v>
      </c>
      <c r="O63" s="173">
        <f t="shared" si="69"/>
        <v>1.3780414565310501</v>
      </c>
      <c r="P63" s="173">
        <f t="shared" si="69"/>
        <v>1.4089301068745852</v>
      </c>
      <c r="Q63" s="173">
        <f t="shared" si="69"/>
        <v>1.5277759939239184</v>
      </c>
      <c r="S63" s="68">
        <f t="shared" si="26"/>
        <v>19.009558755279798</v>
      </c>
      <c r="T63" s="69">
        <f t="shared" si="27"/>
        <v>47.908033110593479</v>
      </c>
      <c r="U63" s="69">
        <f t="shared" si="28"/>
        <v>66.917591865873277</v>
      </c>
      <c r="W63" t="str">
        <f t="shared" si="29"/>
        <v>62 Leisure, travel and related personal service occupations</v>
      </c>
      <c r="X63" s="173">
        <f t="shared" ref="X63:AB63" si="70">X26/X$35*100</f>
        <v>3.8561549043999879</v>
      </c>
      <c r="Y63" s="173">
        <f t="shared" si="70"/>
        <v>3.7096161814232897</v>
      </c>
      <c r="Z63" s="173">
        <f t="shared" si="70"/>
        <v>3.5221740385355806</v>
      </c>
      <c r="AA63" s="173">
        <f t="shared" si="70"/>
        <v>3.4137318079623018</v>
      </c>
      <c r="AB63" s="173">
        <f t="shared" si="70"/>
        <v>3.2385428921291051</v>
      </c>
      <c r="AD63" s="68">
        <f t="shared" si="31"/>
        <v>-1.8794149056128115</v>
      </c>
      <c r="AE63" s="69">
        <f t="shared" si="32"/>
        <v>53.459822037424907</v>
      </c>
      <c r="AF63" s="69">
        <f t="shared" si="33"/>
        <v>51.580407131812102</v>
      </c>
    </row>
    <row r="64" spans="1:32" x14ac:dyDescent="0.2">
      <c r="A64" t="str">
        <f t="shared" si="19"/>
        <v>63 Community and civil enforcement occupations</v>
      </c>
      <c r="B64" s="173">
        <f t="shared" si="52"/>
        <v>0.1067332588142326</v>
      </c>
      <c r="C64" s="173">
        <f t="shared" si="52"/>
        <v>8.4996352121562188E-2</v>
      </c>
      <c r="D64" s="173">
        <f t="shared" si="52"/>
        <v>0.10877043017420505</v>
      </c>
      <c r="E64" s="173">
        <f t="shared" si="52"/>
        <v>8.5408564709950063E-2</v>
      </c>
      <c r="F64" s="173">
        <f t="shared" si="52"/>
        <v>8.6450644012178071E-2</v>
      </c>
      <c r="H64" s="68">
        <f t="shared" si="21"/>
        <v>-14.927702219373046</v>
      </c>
      <c r="I64" s="69">
        <f t="shared" si="22"/>
        <v>40.492060368567159</v>
      </c>
      <c r="J64" s="69">
        <f t="shared" si="23"/>
        <v>25.564358149194117</v>
      </c>
      <c r="L64" t="str">
        <f t="shared" si="24"/>
        <v>63 Community and civil enforcement occupations</v>
      </c>
      <c r="M64" s="173">
        <f t="shared" ref="M64:Q64" si="71">M27/M$35*100</f>
        <v>0.15612751025272659</v>
      </c>
      <c r="N64" s="173">
        <f t="shared" si="71"/>
        <v>0.1087723385097277</v>
      </c>
      <c r="O64" s="173">
        <f t="shared" si="71"/>
        <v>0.16229305147518563</v>
      </c>
      <c r="P64" s="173">
        <f t="shared" si="71"/>
        <v>0.10220019719754403</v>
      </c>
      <c r="Q64" s="173">
        <f t="shared" si="71"/>
        <v>0.10785050436138953</v>
      </c>
      <c r="S64" s="68">
        <f t="shared" si="26"/>
        <v>-28.664337215652562</v>
      </c>
      <c r="T64" s="69">
        <f t="shared" si="27"/>
        <v>28.520272527307363</v>
      </c>
      <c r="U64" s="69">
        <f t="shared" si="28"/>
        <v>-0.14406468834520256</v>
      </c>
      <c r="W64" t="str">
        <f t="shared" si="29"/>
        <v>63 Community and civil enforcement occupations</v>
      </c>
      <c r="X64" s="173">
        <f t="shared" ref="X64:AB64" si="72">X27/X$35*100</f>
        <v>5.2803163952179648E-2</v>
      </c>
      <c r="Y64" s="173">
        <f t="shared" si="72"/>
        <v>5.9638953949109536E-2</v>
      </c>
      <c r="Z64" s="173">
        <f t="shared" si="72"/>
        <v>5.3029474729353009E-2</v>
      </c>
      <c r="AA64" s="173">
        <f t="shared" si="72"/>
        <v>6.7831691275385714E-2</v>
      </c>
      <c r="AB64" s="173">
        <f t="shared" si="72"/>
        <v>6.4031907563873808E-2</v>
      </c>
      <c r="AD64" s="68">
        <f t="shared" si="31"/>
        <v>28.854740960273229</v>
      </c>
      <c r="AE64" s="69">
        <f t="shared" si="32"/>
        <v>78.649449063884546</v>
      </c>
      <c r="AF64" s="69">
        <f t="shared" si="33"/>
        <v>107.50419002415777</v>
      </c>
    </row>
    <row r="65" spans="1:32" x14ac:dyDescent="0.2">
      <c r="A65" t="str">
        <f t="shared" si="19"/>
        <v>71 Sales occupations</v>
      </c>
      <c r="B65" s="173">
        <f t="shared" ref="B65:F70" si="73">B28/B$35*100</f>
        <v>6.2979940685765321</v>
      </c>
      <c r="C65" s="173">
        <f t="shared" si="73"/>
        <v>5.9541578033786511</v>
      </c>
      <c r="D65" s="173">
        <f t="shared" si="73"/>
        <v>6.0590248838975205</v>
      </c>
      <c r="E65" s="173">
        <f t="shared" si="73"/>
        <v>5.4771329798502846</v>
      </c>
      <c r="F65" s="173">
        <f t="shared" si="73"/>
        <v>5.0182354302917291</v>
      </c>
      <c r="H65" s="68">
        <f t="shared" si="21"/>
        <v>-11.349932089918477</v>
      </c>
      <c r="I65" s="69">
        <f t="shared" si="22"/>
        <v>40.503373818732001</v>
      </c>
      <c r="J65" s="69">
        <f t="shared" si="23"/>
        <v>29.153441728813529</v>
      </c>
      <c r="L65" t="str">
        <f t="shared" si="24"/>
        <v>71 Sales occupations</v>
      </c>
      <c r="M65" s="173">
        <f t="shared" ref="M65:Q65" si="74">M28/M$35*100</f>
        <v>5.1909438744141863</v>
      </c>
      <c r="N65" s="173">
        <f t="shared" si="74"/>
        <v>5.1869931390380906</v>
      </c>
      <c r="O65" s="173">
        <f t="shared" si="74"/>
        <v>5.3206340773689558</v>
      </c>
      <c r="P65" s="173">
        <f t="shared" si="74"/>
        <v>4.9342732750877145</v>
      </c>
      <c r="Q65" s="173">
        <f t="shared" si="74"/>
        <v>4.7083469713974369</v>
      </c>
      <c r="S65" s="68">
        <f t="shared" si="26"/>
        <v>-5.0074569493729637</v>
      </c>
      <c r="T65" s="69">
        <f t="shared" si="27"/>
        <v>31.935170988327254</v>
      </c>
      <c r="U65" s="69">
        <f t="shared" si="28"/>
        <v>26.927714038954292</v>
      </c>
      <c r="W65" t="str">
        <f t="shared" si="29"/>
        <v>71 Sales occupations</v>
      </c>
      <c r="X65" s="173">
        <f t="shared" ref="X65:AB65" si="75">X28/X$35*100</f>
        <v>7.5067039943170295</v>
      </c>
      <c r="Y65" s="173">
        <f t="shared" si="75"/>
        <v>6.7723488781852259</v>
      </c>
      <c r="Z65" s="173">
        <f t="shared" si="75"/>
        <v>6.8280195266700385</v>
      </c>
      <c r="AA65" s="173">
        <f t="shared" si="75"/>
        <v>6.0453788803240203</v>
      </c>
      <c r="AB65" s="173">
        <f t="shared" si="75"/>
        <v>5.3428780950079258</v>
      </c>
      <c r="AD65" s="68">
        <f t="shared" si="31"/>
        <v>-16.497053878276617</v>
      </c>
      <c r="AE65" s="69">
        <f t="shared" si="32"/>
        <v>47.45674493934122</v>
      </c>
      <c r="AF65" s="69">
        <f t="shared" si="33"/>
        <v>30.959691061064603</v>
      </c>
    </row>
    <row r="66" spans="1:32" x14ac:dyDescent="0.2">
      <c r="A66" t="str">
        <f t="shared" si="19"/>
        <v>72 Customer service occupations</v>
      </c>
      <c r="B66" s="173">
        <f t="shared" si="73"/>
        <v>1.5227829851494747</v>
      </c>
      <c r="C66" s="173">
        <f t="shared" si="73"/>
        <v>1.5323567127721593</v>
      </c>
      <c r="D66" s="173">
        <f t="shared" si="73"/>
        <v>1.5920952694041559</v>
      </c>
      <c r="E66" s="173">
        <f t="shared" si="73"/>
        <v>1.9718154264694743</v>
      </c>
      <c r="F66" s="173">
        <f t="shared" si="73"/>
        <v>2.1473617629526811</v>
      </c>
      <c r="H66" s="68">
        <f t="shared" si="21"/>
        <v>44.366670323632057</v>
      </c>
      <c r="I66" s="69">
        <f t="shared" si="22"/>
        <v>59.300653599701015</v>
      </c>
      <c r="J66" s="69">
        <f t="shared" si="23"/>
        <v>103.66732392333307</v>
      </c>
      <c r="L66" t="str">
        <f t="shared" si="24"/>
        <v>72 Customer service occupations</v>
      </c>
      <c r="M66" s="173">
        <f t="shared" ref="M66:Q66" si="76">M29/M$35*100</f>
        <v>1.0530600930409768</v>
      </c>
      <c r="N66" s="173">
        <f t="shared" si="76"/>
        <v>0.91658948074781821</v>
      </c>
      <c r="O66" s="173">
        <f t="shared" si="76"/>
        <v>1.0848774384713262</v>
      </c>
      <c r="P66" s="173">
        <f t="shared" si="76"/>
        <v>1.4533162600449399</v>
      </c>
      <c r="Q66" s="173">
        <f t="shared" si="76"/>
        <v>1.6626141549548197</v>
      </c>
      <c r="S66" s="68">
        <f t="shared" si="26"/>
        <v>64.511113673669641</v>
      </c>
      <c r="T66" s="69">
        <f t="shared" si="27"/>
        <v>48.578691711931313</v>
      </c>
      <c r="U66" s="69">
        <f t="shared" si="28"/>
        <v>113.08980538560094</v>
      </c>
      <c r="W66" t="str">
        <f t="shared" si="29"/>
        <v>72 Customer service occupations</v>
      </c>
      <c r="X66" s="173">
        <f t="shared" ref="X66:AB66" si="77">X29/X$35*100</f>
        <v>2.0356402386262928</v>
      </c>
      <c r="Y66" s="173">
        <f t="shared" si="77"/>
        <v>2.1890804603834182</v>
      </c>
      <c r="Z66" s="173">
        <f t="shared" si="77"/>
        <v>2.1203355877523777</v>
      </c>
      <c r="AA66" s="173">
        <f t="shared" si="77"/>
        <v>2.5145615966768342</v>
      </c>
      <c r="AB66" s="173">
        <f t="shared" si="77"/>
        <v>2.6551888557612808</v>
      </c>
      <c r="AD66" s="68">
        <f t="shared" si="31"/>
        <v>33.63250253735999</v>
      </c>
      <c r="AE66" s="69">
        <f t="shared" si="32"/>
        <v>65.013958053016836</v>
      </c>
      <c r="AF66" s="69">
        <f t="shared" si="33"/>
        <v>98.646460590376819</v>
      </c>
    </row>
    <row r="67" spans="1:32" x14ac:dyDescent="0.2">
      <c r="A67" t="str">
        <f t="shared" si="19"/>
        <v>81 Process, plant and machine operatives</v>
      </c>
      <c r="B67" s="173">
        <f t="shared" si="73"/>
        <v>1.4732819522219049</v>
      </c>
      <c r="C67" s="173">
        <f t="shared" si="73"/>
        <v>1.4161799564450295</v>
      </c>
      <c r="D67" s="173">
        <f t="shared" si="73"/>
        <v>1.2652237965572568</v>
      </c>
      <c r="E67" s="173">
        <f t="shared" si="73"/>
        <v>1.5110754832311679</v>
      </c>
      <c r="F67" s="173">
        <f t="shared" si="73"/>
        <v>1.4499275568574497</v>
      </c>
      <c r="H67" s="68">
        <f t="shared" si="21"/>
        <v>22.661911651958196</v>
      </c>
      <c r="I67" s="69">
        <f t="shared" si="22"/>
        <v>45.819088687564111</v>
      </c>
      <c r="J67" s="69">
        <f t="shared" si="23"/>
        <v>68.481000339522311</v>
      </c>
      <c r="L67" t="str">
        <f t="shared" si="24"/>
        <v>81 Process, plant and machine operatives</v>
      </c>
      <c r="M67" s="173">
        <f t="shared" ref="M67:Q67" si="78">M30/M$35*100</f>
        <v>2.3412044196338293</v>
      </c>
      <c r="N67" s="173">
        <f t="shared" si="78"/>
        <v>2.2730482832814243</v>
      </c>
      <c r="O67" s="173">
        <f t="shared" si="78"/>
        <v>2.0524549862623953</v>
      </c>
      <c r="P67" s="173">
        <f t="shared" si="78"/>
        <v>2.4596488394044806</v>
      </c>
      <c r="Q67" s="173">
        <f t="shared" si="78"/>
        <v>2.3593961484710388</v>
      </c>
      <c r="S67" s="68">
        <f t="shared" si="26"/>
        <v>23.399008819137279</v>
      </c>
      <c r="T67" s="69">
        <f t="shared" si="27"/>
        <v>43.929025608407315</v>
      </c>
      <c r="U67" s="69">
        <f t="shared" si="28"/>
        <v>67.328034427544594</v>
      </c>
      <c r="W67" t="str">
        <f t="shared" si="29"/>
        <v>81 Process, plant and machine operatives</v>
      </c>
      <c r="X67" s="173">
        <f t="shared" ref="X67:AB67" si="79">X30/X$35*100</f>
        <v>0.52565870382190893</v>
      </c>
      <c r="Y67" s="173">
        <f t="shared" si="79"/>
        <v>0.50231876094194849</v>
      </c>
      <c r="Z67" s="173">
        <f t="shared" si="79"/>
        <v>0.44536449961830499</v>
      </c>
      <c r="AA67" s="173">
        <f t="shared" si="79"/>
        <v>0.51814320954208115</v>
      </c>
      <c r="AB67" s="173">
        <f t="shared" si="79"/>
        <v>0.49715794384701684</v>
      </c>
      <c r="AD67" s="68">
        <f t="shared" si="31"/>
        <v>19.124221271985437</v>
      </c>
      <c r="AE67" s="69">
        <f t="shared" si="32"/>
        <v>54.890427271405294</v>
      </c>
      <c r="AF67" s="69">
        <f t="shared" si="33"/>
        <v>74.014648543390734</v>
      </c>
    </row>
    <row r="68" spans="1:32" x14ac:dyDescent="0.2">
      <c r="A68" t="str">
        <f t="shared" si="19"/>
        <v>82 Transport and mobile machine drivers and operatives</v>
      </c>
      <c r="B68" s="173">
        <f t="shared" si="73"/>
        <v>2.9039972114102706</v>
      </c>
      <c r="C68" s="173">
        <f t="shared" si="73"/>
        <v>3.0873713661110327</v>
      </c>
      <c r="D68" s="173">
        <f t="shared" si="73"/>
        <v>2.6257984976386877</v>
      </c>
      <c r="E68" s="173">
        <f t="shared" si="73"/>
        <v>2.7595385553154848</v>
      </c>
      <c r="F68" s="173">
        <f t="shared" si="73"/>
        <v>2.6613256827698097</v>
      </c>
      <c r="H68" s="68">
        <f t="shared" si="21"/>
        <v>8.4844286261524022</v>
      </c>
      <c r="I68" s="69">
        <f t="shared" si="22"/>
        <v>56.282974927328176</v>
      </c>
      <c r="J68" s="69">
        <f t="shared" si="23"/>
        <v>64.767403553480577</v>
      </c>
      <c r="L68" t="str">
        <f t="shared" si="24"/>
        <v>82 Transport and mobile machine drivers and operatives</v>
      </c>
      <c r="M68" s="173">
        <f t="shared" ref="M68:Q68" si="80">M31/M$35*100</f>
        <v>5.0220417682025644</v>
      </c>
      <c r="N68" s="173">
        <f t="shared" si="80"/>
        <v>5.4664223033338732</v>
      </c>
      <c r="O68" s="173">
        <f t="shared" si="80"/>
        <v>4.6911004555715863</v>
      </c>
      <c r="P68" s="173">
        <f t="shared" si="80"/>
        <v>4.7414714185028561</v>
      </c>
      <c r="Q68" s="173">
        <f t="shared" si="80"/>
        <v>4.4735629946072812</v>
      </c>
      <c r="S68" s="68">
        <f t="shared" si="26"/>
        <v>2.3677765635968373</v>
      </c>
      <c r="T68" s="69">
        <f t="shared" si="27"/>
        <v>53.165147448647375</v>
      </c>
      <c r="U68" s="69">
        <f t="shared" si="28"/>
        <v>55.532924012244209</v>
      </c>
      <c r="W68" t="str">
        <f t="shared" si="29"/>
        <v>82 Transport and mobile machine drivers and operatives</v>
      </c>
      <c r="X68" s="173">
        <f t="shared" ref="X68:AB68" si="81">X31/X$35*100</f>
        <v>0.59145393879687791</v>
      </c>
      <c r="Y68" s="173">
        <f t="shared" si="81"/>
        <v>0.55008265375990262</v>
      </c>
      <c r="Z68" s="173">
        <f t="shared" si="81"/>
        <v>0.4748966617602996</v>
      </c>
      <c r="AA68" s="173">
        <f t="shared" si="81"/>
        <v>0.68492293245774682</v>
      </c>
      <c r="AB68" s="173">
        <f t="shared" si="81"/>
        <v>0.76280531801590523</v>
      </c>
      <c r="AD68" s="68">
        <f t="shared" si="31"/>
        <v>71.409892642096821</v>
      </c>
      <c r="AE68" s="69">
        <f t="shared" si="32"/>
        <v>88.357832024183296</v>
      </c>
      <c r="AF68" s="69">
        <f t="shared" si="33"/>
        <v>159.76772466628012</v>
      </c>
    </row>
    <row r="69" spans="1:32" x14ac:dyDescent="0.2">
      <c r="A69" t="str">
        <f t="shared" si="19"/>
        <v>91 Elementary trades and related occupations</v>
      </c>
      <c r="B69" s="173">
        <f t="shared" si="73"/>
        <v>1.2960366422809213</v>
      </c>
      <c r="C69" s="173">
        <f t="shared" si="73"/>
        <v>1.1091773913172105</v>
      </c>
      <c r="D69" s="173">
        <f t="shared" si="73"/>
        <v>1.0083049963294333</v>
      </c>
      <c r="E69" s="173">
        <f t="shared" si="73"/>
        <v>0.83276496270667522</v>
      </c>
      <c r="F69" s="173">
        <f t="shared" si="73"/>
        <v>0.76283535098419031</v>
      </c>
      <c r="H69" s="68">
        <f t="shared" si="21"/>
        <v>-19.02151118397861</v>
      </c>
      <c r="I69" s="69">
        <f t="shared" si="22"/>
        <v>31.33225677614374</v>
      </c>
      <c r="J69" s="69">
        <f t="shared" si="23"/>
        <v>12.310745592165128</v>
      </c>
      <c r="L69" t="str">
        <f t="shared" si="24"/>
        <v>91 Elementary trades and related occupations</v>
      </c>
      <c r="M69" s="173">
        <f t="shared" ref="M69:Q70" si="82">M32/M$35*100</f>
        <v>1.9994893011622332</v>
      </c>
      <c r="N69" s="173">
        <f t="shared" si="82"/>
        <v>1.7784508833910977</v>
      </c>
      <c r="O69" s="173">
        <f t="shared" si="82"/>
        <v>1.6409607264301014</v>
      </c>
      <c r="P69" s="173">
        <f t="shared" si="82"/>
        <v>1.3401938545462868</v>
      </c>
      <c r="Q69" s="173">
        <f t="shared" si="82"/>
        <v>1.2274367086264024</v>
      </c>
      <c r="S69" s="68">
        <f t="shared" si="26"/>
        <v>-19.705579757550534</v>
      </c>
      <c r="T69" s="69">
        <f t="shared" si="27"/>
        <v>27.517246362173587</v>
      </c>
      <c r="U69" s="69">
        <f t="shared" si="28"/>
        <v>7.811666604623051</v>
      </c>
      <c r="W69" t="str">
        <f t="shared" si="29"/>
        <v>91 Elementary trades and related occupations</v>
      </c>
      <c r="X69" s="173">
        <f t="shared" ref="X69:AB70" si="83">X32/X$35*100</f>
        <v>0.52798636275249489</v>
      </c>
      <c r="Y69" s="173">
        <f t="shared" si="83"/>
        <v>0.3953885226781868</v>
      </c>
      <c r="Z69" s="173">
        <f t="shared" si="83"/>
        <v>0.34942779625430331</v>
      </c>
      <c r="AA69" s="173">
        <f t="shared" si="83"/>
        <v>0.30160675545698307</v>
      </c>
      <c r="AB69" s="173">
        <f t="shared" si="83"/>
        <v>0.27611369857448792</v>
      </c>
      <c r="AD69" s="68">
        <f t="shared" si="31"/>
        <v>-15.675885029942203</v>
      </c>
      <c r="AE69" s="69">
        <f t="shared" si="32"/>
        <v>49.990618104239523</v>
      </c>
      <c r="AF69" s="69">
        <f t="shared" si="33"/>
        <v>34.314733074297315</v>
      </c>
    </row>
    <row r="70" spans="1:32" x14ac:dyDescent="0.2">
      <c r="A70" t="str">
        <f t="shared" si="19"/>
        <v>92 Elementary administration and service occupations</v>
      </c>
      <c r="B70" s="173">
        <f t="shared" si="73"/>
        <v>9.9498693202171538</v>
      </c>
      <c r="C70" s="173">
        <f t="shared" si="73"/>
        <v>9.4457825029033042</v>
      </c>
      <c r="D70" s="173">
        <f t="shared" si="73"/>
        <v>8.8009011631501064</v>
      </c>
      <c r="E70" s="173">
        <f t="shared" si="73"/>
        <v>8.8373827408449976</v>
      </c>
      <c r="F70" s="173">
        <f t="shared" si="73"/>
        <v>8.2539305079698249</v>
      </c>
      <c r="H70" s="68">
        <f t="shared" si="21"/>
        <v>0.38398699028190642</v>
      </c>
      <c r="I70" s="69">
        <f t="shared" si="22"/>
        <v>49.450541259892006</v>
      </c>
      <c r="J70" s="69">
        <f t="shared" si="23"/>
        <v>49.834528250173918</v>
      </c>
      <c r="L70" t="str">
        <f t="shared" si="24"/>
        <v>92 Elementary administration and service occupations</v>
      </c>
      <c r="M70" s="173">
        <f t="shared" si="82"/>
        <v>8.9749692540928869</v>
      </c>
      <c r="N70" s="173">
        <f t="shared" si="82"/>
        <v>8.4546654879517078</v>
      </c>
      <c r="O70" s="173">
        <f t="shared" si="82"/>
        <v>8.0757143235191364</v>
      </c>
      <c r="P70" s="173">
        <f t="shared" si="82"/>
        <v>8.405302756056992</v>
      </c>
      <c r="Q70" s="173">
        <f t="shared" si="82"/>
        <v>7.6928710698131466</v>
      </c>
      <c r="S70" s="68">
        <f t="shared" si="26"/>
        <v>2.2567422587058057</v>
      </c>
      <c r="T70" s="69">
        <f t="shared" si="27"/>
        <v>41.096385650977346</v>
      </c>
      <c r="U70" s="69">
        <f t="shared" si="28"/>
        <v>43.353127909683153</v>
      </c>
      <c r="W70" t="str">
        <f t="shared" si="29"/>
        <v>92 Elementary administration and service occupations</v>
      </c>
      <c r="X70" s="173">
        <f t="shared" si="83"/>
        <v>11.014293853759686</v>
      </c>
      <c r="Y70" s="173">
        <f t="shared" si="83"/>
        <v>10.502821667264985</v>
      </c>
      <c r="Z70" s="173">
        <f t="shared" si="83"/>
        <v>9.5561445786351147</v>
      </c>
      <c r="AA70" s="173">
        <f t="shared" si="83"/>
        <v>9.2896684380122476</v>
      </c>
      <c r="AB70" s="173">
        <f t="shared" si="83"/>
        <v>8.8417027396858678</v>
      </c>
      <c r="AD70" s="68">
        <f t="shared" si="31"/>
        <v>-1.2642372490788114</v>
      </c>
      <c r="AE70" s="69">
        <f t="shared" si="32"/>
        <v>56.803088603459486</v>
      </c>
      <c r="AF70" s="69">
        <f t="shared" si="33"/>
        <v>55.538851354380668</v>
      </c>
    </row>
    <row r="71" spans="1:32" x14ac:dyDescent="0.2">
      <c r="H71" s="68"/>
      <c r="I71" s="69"/>
      <c r="J71" s="69"/>
      <c r="S71" s="68"/>
      <c r="T71" s="69"/>
      <c r="U71" s="69"/>
      <c r="AD71" s="68"/>
      <c r="AE71" s="69"/>
      <c r="AF71" s="69"/>
    </row>
    <row r="72" spans="1:32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>IF(D35&gt;0,(H35/D35)*100,0)</f>
        <v>7.036223168023696</v>
      </c>
      <c r="I72" s="67">
        <f>IF(D35&gt;0,I35/D35*100,0)</f>
        <v>49.720787717646623</v>
      </c>
      <c r="J72" s="67">
        <f>IF(D35&gt;0,(J35/D35)*100,0)</f>
        <v>56.757010885670326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84">IF(O35&gt;0,(S35/O35)*100,0)</f>
        <v>7.345649061435898</v>
      </c>
      <c r="T72" s="67">
        <f t="shared" ref="T72" si="85">IF(O35&gt;0,T35/O35*100,0)</f>
        <v>41.70464044288326</v>
      </c>
      <c r="U72" s="67">
        <f t="shared" ref="U72" si="86">IF(O35&gt;0,(U35/O35)*100,0)</f>
        <v>49.050289504319167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87">IF(Z35&gt;0,(AD35/Z35)*100,0)</f>
        <v>6.7139726033291964</v>
      </c>
      <c r="AE72" s="67">
        <f t="shared" ref="AE72" si="88">IF(Z35&gt;0,AE35/Z35*100,0)</f>
        <v>58.069177561433428</v>
      </c>
      <c r="AF72" s="67">
        <f t="shared" ref="AF72" si="89">IF(Z35&gt;0,(AF35/Z35)*100,0)</f>
        <v>64.783150164762617</v>
      </c>
    </row>
    <row r="73" spans="1:32" x14ac:dyDescent="0.2">
      <c r="B73" s="18"/>
      <c r="C73" s="18"/>
      <c r="D73" s="18"/>
      <c r="E73" s="18"/>
      <c r="F73" s="18"/>
      <c r="M73" s="18"/>
      <c r="N73" s="18"/>
      <c r="O73" s="18"/>
      <c r="P73" s="18"/>
      <c r="Q73" s="18"/>
      <c r="X73" s="18"/>
      <c r="Y73" s="18"/>
      <c r="Z73" s="18"/>
      <c r="AA73" s="18"/>
      <c r="AB73" s="18"/>
    </row>
    <row r="74" spans="1:32" x14ac:dyDescent="0.2">
      <c r="B74" s="18"/>
      <c r="C74" s="18"/>
      <c r="D74" s="18"/>
      <c r="E74" s="18"/>
      <c r="F74" s="18"/>
      <c r="M74" s="18"/>
      <c r="N74" s="18"/>
      <c r="O74" s="18"/>
      <c r="P74" s="18"/>
      <c r="Q74" s="18"/>
      <c r="X74" s="18"/>
      <c r="Y74" s="18"/>
      <c r="Z74" s="18"/>
      <c r="AA74" s="18"/>
      <c r="AB74" s="18"/>
    </row>
    <row r="75" spans="1:32" ht="15.75" x14ac:dyDescent="0.25">
      <c r="A75" s="19" t="str">
        <f>CONCATENATE(A$1," (Continued)")</f>
        <v>Occupation Table 2  Employment Change by Occupation (SOC 2020) and Replacement Demand, 2015-2035, Enterprise M3 (Continued)</v>
      </c>
      <c r="B75" s="18"/>
      <c r="C75" s="18"/>
      <c r="D75" s="18"/>
      <c r="E75" s="18"/>
      <c r="F75" s="18"/>
      <c r="L75" s="19" t="str">
        <f>CONCATENATE(L$1," (Continued)")</f>
        <v>Occupation Table 2.1  Males: Employment Change by Occupation (SOC 2020) and Replacement Demand, 2015-2035, Enterprise M3 (Continued)</v>
      </c>
      <c r="M75" s="18"/>
      <c r="N75" s="18"/>
      <c r="O75" s="18"/>
      <c r="P75" s="18"/>
      <c r="Q75" s="18"/>
      <c r="W75" s="19" t="str">
        <f>CONCATENATE(W$1," (Continued)")</f>
        <v>Occupation Table 2.2  Females: Employment Change by Occupation (SOC 2020) and Replacement Demand, 2015-2035, Enterprise M3 (Continued)</v>
      </c>
      <c r="X75" s="18"/>
      <c r="Y75" s="18"/>
      <c r="Z75" s="18"/>
      <c r="AA75" s="18"/>
      <c r="AB75" s="18"/>
    </row>
    <row r="77" spans="1:32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</row>
    <row r="78" spans="1:32" x14ac:dyDescent="0.2">
      <c r="A78" s="36"/>
      <c r="B78" s="36"/>
      <c r="C78" s="36"/>
      <c r="D78" s="36"/>
      <c r="E78" s="36"/>
      <c r="F78" s="36"/>
      <c r="H78" s="99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99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99" t="str">
        <f>$H$4</f>
        <v>2020-2035</v>
      </c>
      <c r="AE78" s="36"/>
      <c r="AF78" s="36"/>
    </row>
    <row r="79" spans="1:32" x14ac:dyDescent="0.2">
      <c r="H79" s="16" t="str">
        <f t="shared" ref="H79:J80" si="90">H42</f>
        <v>Net</v>
      </c>
      <c r="I79" s="16" t="str">
        <f t="shared" si="90"/>
        <v>Replacement</v>
      </c>
      <c r="J79" s="16" t="str">
        <f t="shared" si="90"/>
        <v>Total</v>
      </c>
      <c r="S79" s="16" t="str">
        <f t="shared" ref="S79:U79" si="91">S42</f>
        <v>Net</v>
      </c>
      <c r="T79" s="16" t="str">
        <f t="shared" si="91"/>
        <v>Replacement</v>
      </c>
      <c r="U79" s="16" t="str">
        <f t="shared" si="91"/>
        <v>Total</v>
      </c>
      <c r="AD79" s="16" t="str">
        <f t="shared" ref="AD79:AF79" si="92">AD42</f>
        <v>Net</v>
      </c>
      <c r="AE79" s="16" t="str">
        <f t="shared" si="92"/>
        <v>Replacement</v>
      </c>
      <c r="AF79" s="16" t="str">
        <f t="shared" si="92"/>
        <v>Total</v>
      </c>
    </row>
    <row r="80" spans="1:32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CONCATENATE(D$6,"-",F$6)</f>
        <v>2020-2035</v>
      </c>
      <c r="H80" s="63" t="str">
        <f t="shared" si="90"/>
        <v>Change</v>
      </c>
      <c r="I80" s="63" t="str">
        <f t="shared" si="90"/>
        <v>Demand</v>
      </c>
      <c r="J80" s="63" t="str">
        <f t="shared" si="9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CONCATENATE(O$6,"-",Q$6)</f>
        <v>2020-2035</v>
      </c>
      <c r="S80" s="63" t="str">
        <f t="shared" ref="S80:U80" si="93">S43</f>
        <v>Change</v>
      </c>
      <c r="T80" s="63" t="str">
        <f t="shared" si="93"/>
        <v>Demand</v>
      </c>
      <c r="U80" s="63" t="str">
        <f t="shared" si="93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CONCATENATE(Z$6,"-",AB$6)</f>
        <v>2020-2035</v>
      </c>
      <c r="AD80" s="63" t="str">
        <f t="shared" ref="AD80:AF80" si="94">AD43</f>
        <v>Change</v>
      </c>
      <c r="AE80" s="63" t="str">
        <f t="shared" si="94"/>
        <v>Demand</v>
      </c>
      <c r="AF80" s="63" t="str">
        <f t="shared" si="94"/>
        <v>Requirement</v>
      </c>
    </row>
    <row r="82" spans="1:32" x14ac:dyDescent="0.2">
      <c r="A82" t="str">
        <f t="shared" ref="A82:A107" si="95">A8</f>
        <v>11 Corporate managers and directors</v>
      </c>
      <c r="B82" s="18">
        <f>IF(AND(C$6-B$6 &lt;&gt; 0,B8&lt;&gt;0,C8&lt;&gt;0),(EXP(LN(C8/B8)/(C$6-B$6))-1)*100,0)</f>
        <v>3.3518803379938955</v>
      </c>
      <c r="C82" s="18">
        <f t="shared" ref="B82:E107" si="96">IF(AND(D$6-C$6 &lt;&gt; 0,C8&lt;&gt;0,D8&lt;&gt;0),(EXP(LN(D8/C8)/(D$6-C$6))-1)*100,0)</f>
        <v>0.67090647692236161</v>
      </c>
      <c r="D82" s="18">
        <f t="shared" si="96"/>
        <v>-1.1583116984548059</v>
      </c>
      <c r="E82" s="18">
        <f t="shared" si="96"/>
        <v>0.87698641579319059</v>
      </c>
      <c r="F82" s="18">
        <f t="shared" ref="F82:F107" si="97">IF(AND(F$6-D$6 &lt;&gt; 0,D8&lt;&gt;0,F8&lt;&gt;0),(EXP(LN(F8/D8)/(F$6-D$6))-1)*100,0)</f>
        <v>0.19393917482022349</v>
      </c>
      <c r="H82" s="18">
        <f t="shared" ref="H82:H107" si="98">IF($F$6-$D$6 &lt;&gt; 0,(EXP(LN(1+(H45/100))/($F$6-$D$6))-1)*100,0)</f>
        <v>0.19393917482022349</v>
      </c>
      <c r="I82" s="18">
        <f t="shared" ref="I82:I107" si="99">IF(D8&gt;0,((1+(I8/D8))^(1/($F$6-$D$6))-1)*100,0)</f>
        <v>2.7361231648685091</v>
      </c>
      <c r="J82" s="18">
        <f t="shared" ref="J82:J107" si="100">IF($F$6-$D$6 &lt;&gt; 0,(EXP(LN(1+(J45/100))/($F$6-$D$6))-1)*100,0)</f>
        <v>2.8696263827645563</v>
      </c>
      <c r="L82" t="str">
        <f t="shared" ref="L82:L107" si="101">L8</f>
        <v>11 Corporate managers and directors</v>
      </c>
      <c r="M82" s="18">
        <f t="shared" ref="M82:P107" si="102">IF(AND(N$6-M$6 &lt;&gt; 0,M8&lt;&gt;0,N8&lt;&gt;0),(EXP(LN(N8/M8)/(N$6-M$6))-1)*100,0)</f>
        <v>2.2056692778951392</v>
      </c>
      <c r="N82" s="18">
        <f t="shared" si="102"/>
        <v>-3.5151370642416691E-2</v>
      </c>
      <c r="O82" s="18">
        <f t="shared" si="102"/>
        <v>-1.761965775351515</v>
      </c>
      <c r="P82" s="18">
        <f t="shared" si="102"/>
        <v>0.49524641212210785</v>
      </c>
      <c r="Q82" s="18">
        <f t="shared" ref="Q82:Q107" si="103">IF(AND(Q$6-O$6 &lt;&gt; 0,O8&lt;&gt;0,Q8&lt;&gt;0),(EXP(LN(Q8/O8)/(Q$6-O$6))-1)*100,0)</f>
        <v>-0.26286223382741003</v>
      </c>
      <c r="S82" s="18">
        <f t="shared" ref="S82:S107" si="104">IF($F$6-$D$6 &lt;&gt; 0,(EXP(LN(1+(S45/100))/($F$6-$D$6))-1)*100,0)</f>
        <v>-0.26286223382741003</v>
      </c>
      <c r="T82" s="18">
        <f t="shared" ref="T82:T107" si="105">IF(O8&gt;0,((1+(T8/O8))^(1/($F$6-$D$6))-1)*100,0)</f>
        <v>2.4480554178000435</v>
      </c>
      <c r="U82" s="18">
        <f t="shared" ref="U82:U107" si="106">IF($F$6-$D$6 &lt;&gt; 0,(EXP(LN(1+(U45/100))/($F$6-$D$6))-1)*100,0)</f>
        <v>2.2617512653969607</v>
      </c>
      <c r="W82" t="str">
        <f t="shared" ref="W82:W107" si="107">W8</f>
        <v>11 Corporate managers and directors</v>
      </c>
      <c r="X82" s="18">
        <f t="shared" ref="X82:AA107" si="108">IF(AND(Y$6-X$6 &lt;&gt; 0,X8&lt;&gt;0,Y8&lt;&gt;0),(EXP(LN(Y8/X8)/(Y$6-X$6))-1)*100,0)</f>
        <v>5.7237143403286561</v>
      </c>
      <c r="Y82" s="18">
        <f t="shared" si="108"/>
        <v>2.0137406565340354</v>
      </c>
      <c r="Z82" s="18">
        <f t="shared" si="108"/>
        <v>-7.1133793390854017E-2</v>
      </c>
      <c r="AA82" s="18">
        <f t="shared" si="108"/>
        <v>1.5015368262712991</v>
      </c>
      <c r="AB82" s="18">
        <f t="shared" ref="AB82:AB107" si="109">IF(AND(AB$6-Z$6 &lt;&gt; 0,Z8&lt;&gt;0,AB8&lt;&gt;0),(EXP(LN(AB8/Z8)/(AB$6-Z$6))-1)*100,0)</f>
        <v>0.97458228783315892</v>
      </c>
      <c r="AD82" s="18">
        <f t="shared" ref="AD82:AD107" si="110">IF($F$6-$D$6 &lt;&gt; 0,(EXP(LN(1+(AD45/100))/($F$6-$D$6))-1)*100,0)</f>
        <v>0.97458228783315892</v>
      </c>
      <c r="AE82" s="18">
        <f t="shared" ref="AE82:AE107" si="111">IF(Z8&gt;0,((1+(AE8/Z8))^(1/($F$6-$D$6))-1)*100,0)</f>
        <v>3.2445796131217675</v>
      </c>
      <c r="AF82" s="18">
        <f t="shared" ref="AF82:AF107" si="112">IF($F$6-$D$6 &lt;&gt; 0,(EXP(LN(1+(AF45/100))/($F$6-$D$6))-1)*100,0)</f>
        <v>3.8837626903734046</v>
      </c>
    </row>
    <row r="83" spans="1:32" x14ac:dyDescent="0.2">
      <c r="A83" t="str">
        <f t="shared" si="95"/>
        <v>12 Other managers and proprietors</v>
      </c>
      <c r="B83" s="18">
        <f t="shared" si="96"/>
        <v>0.32775918733383147</v>
      </c>
      <c r="C83" s="18">
        <f t="shared" si="96"/>
        <v>-1.6169189004260565</v>
      </c>
      <c r="D83" s="18">
        <f t="shared" si="96"/>
        <v>4.8125857494619728</v>
      </c>
      <c r="E83" s="18">
        <f t="shared" si="96"/>
        <v>1.5359702745163961</v>
      </c>
      <c r="F83" s="18">
        <f t="shared" si="97"/>
        <v>2.6166329715860082</v>
      </c>
      <c r="H83" s="18">
        <f t="shared" si="98"/>
        <v>2.6166329715860082</v>
      </c>
      <c r="I83" s="18">
        <f t="shared" si="99"/>
        <v>3.7892552356339371</v>
      </c>
      <c r="J83" s="18">
        <f t="shared" si="100"/>
        <v>5.4611854390207437</v>
      </c>
      <c r="L83" t="str">
        <f t="shared" si="101"/>
        <v>12 Other managers and proprietors</v>
      </c>
      <c r="M83" s="18">
        <f t="shared" si="102"/>
        <v>0.17307356015416886</v>
      </c>
      <c r="N83" s="18">
        <f t="shared" si="102"/>
        <v>-6.1356430962055448</v>
      </c>
      <c r="O83" s="18">
        <f t="shared" si="102"/>
        <v>5.2510562573010677</v>
      </c>
      <c r="P83" s="18">
        <f t="shared" si="102"/>
        <v>1.358589601712934</v>
      </c>
      <c r="Q83" s="18">
        <f t="shared" si="103"/>
        <v>2.6398148935871113</v>
      </c>
      <c r="S83" s="18">
        <f t="shared" si="104"/>
        <v>2.6398148935871113</v>
      </c>
      <c r="T83" s="18">
        <f t="shared" si="105"/>
        <v>3.4927523605782662</v>
      </c>
      <c r="U83" s="18">
        <f t="shared" si="106"/>
        <v>5.2414622307926262</v>
      </c>
      <c r="W83" t="str">
        <f t="shared" si="107"/>
        <v>12 Other managers and proprietors</v>
      </c>
      <c r="X83" s="18">
        <f t="shared" si="108"/>
        <v>0.53564763107583069</v>
      </c>
      <c r="Y83" s="18">
        <f t="shared" si="108"/>
        <v>4.4013839070897731</v>
      </c>
      <c r="Z83" s="18">
        <f t="shared" si="108"/>
        <v>4.2777021737570919</v>
      </c>
      <c r="AA83" s="18">
        <f t="shared" si="108"/>
        <v>1.7546006311113249</v>
      </c>
      <c r="AB83" s="18">
        <f t="shared" si="109"/>
        <v>2.5887772734141112</v>
      </c>
      <c r="AD83" s="18">
        <f t="shared" si="110"/>
        <v>2.5887772734141112</v>
      </c>
      <c r="AE83" s="18">
        <f t="shared" si="111"/>
        <v>4.1293720985159155</v>
      </c>
      <c r="AF83" s="18">
        <f t="shared" si="112"/>
        <v>5.7161277813001288</v>
      </c>
    </row>
    <row r="84" spans="1:32" x14ac:dyDescent="0.2">
      <c r="A84" t="str">
        <f t="shared" si="95"/>
        <v>21 Science, research, engineering and technology professionals</v>
      </c>
      <c r="B84" s="18">
        <f t="shared" si="96"/>
        <v>1.8422982158332823</v>
      </c>
      <c r="C84" s="18">
        <f t="shared" si="96"/>
        <v>2.8997960298013936</v>
      </c>
      <c r="D84" s="18">
        <f t="shared" si="96"/>
        <v>1.2606886970293552</v>
      </c>
      <c r="E84" s="18">
        <f t="shared" si="96"/>
        <v>0.96732626543567513</v>
      </c>
      <c r="F84" s="18">
        <f t="shared" si="97"/>
        <v>1.0650191874393977</v>
      </c>
      <c r="H84" s="18">
        <f t="shared" si="98"/>
        <v>1.0650191874393977</v>
      </c>
      <c r="I84" s="18">
        <f t="shared" si="99"/>
        <v>2.3199616777882515</v>
      </c>
      <c r="J84" s="18">
        <f t="shared" si="100"/>
        <v>3.1087974691252462</v>
      </c>
      <c r="L84" t="str">
        <f t="shared" si="101"/>
        <v>21 Science, research, engineering and technology professionals</v>
      </c>
      <c r="M84" s="18">
        <f t="shared" si="102"/>
        <v>1.9354469422521614</v>
      </c>
      <c r="N84" s="18">
        <f t="shared" si="102"/>
        <v>-1.2791922208111206</v>
      </c>
      <c r="O84" s="18">
        <f t="shared" si="102"/>
        <v>0.60586706353327191</v>
      </c>
      <c r="P84" s="18">
        <f t="shared" si="102"/>
        <v>0.73400805391572455</v>
      </c>
      <c r="Q84" s="18">
        <f t="shared" si="103"/>
        <v>0.6912762660147953</v>
      </c>
      <c r="S84" s="18">
        <f t="shared" si="104"/>
        <v>0.6912762660147953</v>
      </c>
      <c r="T84" s="18">
        <f t="shared" si="105"/>
        <v>1.9982745757621156</v>
      </c>
      <c r="U84" s="18">
        <f t="shared" si="106"/>
        <v>2.5286830415604422</v>
      </c>
      <c r="W84" t="str">
        <f t="shared" si="107"/>
        <v>21 Science, research, engineering and technology professionals</v>
      </c>
      <c r="X84" s="18">
        <f t="shared" si="108"/>
        <v>1.47427956767201</v>
      </c>
      <c r="Y84" s="18">
        <f t="shared" si="108"/>
        <v>19.598798227040824</v>
      </c>
      <c r="Z84" s="18">
        <f t="shared" si="108"/>
        <v>3.3082872307933497</v>
      </c>
      <c r="AA84" s="18">
        <f t="shared" si="108"/>
        <v>1.6153667766815705</v>
      </c>
      <c r="AB84" s="18">
        <f t="shared" si="109"/>
        <v>2.1765684821586806</v>
      </c>
      <c r="AD84" s="18">
        <f t="shared" si="110"/>
        <v>2.1765684821586806</v>
      </c>
      <c r="AE84" s="18">
        <f t="shared" si="111"/>
        <v>3.2907686910120582</v>
      </c>
      <c r="AF84" s="18">
        <f t="shared" si="112"/>
        <v>4.7520727364950499</v>
      </c>
    </row>
    <row r="85" spans="1:32" x14ac:dyDescent="0.2">
      <c r="A85" t="str">
        <f t="shared" si="95"/>
        <v>22 Health professionals</v>
      </c>
      <c r="B85" s="18">
        <f t="shared" si="96"/>
        <v>4.5736310556607096</v>
      </c>
      <c r="C85" s="18">
        <f t="shared" si="96"/>
        <v>-0.87910077758973637</v>
      </c>
      <c r="D85" s="18">
        <f t="shared" si="96"/>
        <v>1.1316083410251698</v>
      </c>
      <c r="E85" s="18">
        <f t="shared" si="96"/>
        <v>0.46939132205487955</v>
      </c>
      <c r="F85" s="18">
        <f t="shared" si="97"/>
        <v>0.68964711587993222</v>
      </c>
      <c r="H85" s="18">
        <f t="shared" si="98"/>
        <v>0.68964711587993222</v>
      </c>
      <c r="I85" s="18">
        <f t="shared" si="99"/>
        <v>3.0566846308233808</v>
      </c>
      <c r="J85" s="18">
        <f t="shared" si="100"/>
        <v>3.5169601452583965</v>
      </c>
      <c r="L85" t="str">
        <f t="shared" si="101"/>
        <v>22 Health professionals</v>
      </c>
      <c r="M85" s="18">
        <f t="shared" si="102"/>
        <v>4.1352454098971148</v>
      </c>
      <c r="N85" s="18">
        <f t="shared" si="102"/>
        <v>7.2630617842260214</v>
      </c>
      <c r="O85" s="18">
        <f t="shared" si="102"/>
        <v>0.99186040914511775</v>
      </c>
      <c r="P85" s="18">
        <f t="shared" si="102"/>
        <v>0.50340731963351981</v>
      </c>
      <c r="Q85" s="18">
        <f t="shared" si="103"/>
        <v>0.66596195782715473</v>
      </c>
      <c r="S85" s="18">
        <f t="shared" si="104"/>
        <v>0.66596195782715473</v>
      </c>
      <c r="T85" s="18">
        <f t="shared" si="105"/>
        <v>2.2481266384061449</v>
      </c>
      <c r="U85" s="18">
        <f t="shared" si="106"/>
        <v>2.742300513007967</v>
      </c>
      <c r="W85" t="str">
        <f t="shared" si="107"/>
        <v>22 Health professionals</v>
      </c>
      <c r="X85" s="18">
        <f t="shared" si="108"/>
        <v>4.6937567862999297</v>
      </c>
      <c r="Y85" s="18">
        <f t="shared" si="108"/>
        <v>-3.0805438281431341</v>
      </c>
      <c r="Z85" s="18">
        <f t="shared" si="108"/>
        <v>1.1732755275833728</v>
      </c>
      <c r="AA85" s="18">
        <f t="shared" si="108"/>
        <v>0.45928364622709328</v>
      </c>
      <c r="AB85" s="18">
        <f t="shared" si="109"/>
        <v>0.69671931831847278</v>
      </c>
      <c r="AD85" s="18">
        <f t="shared" si="110"/>
        <v>0.69671931831847278</v>
      </c>
      <c r="AE85" s="18">
        <f t="shared" si="111"/>
        <v>3.2822936986387941</v>
      </c>
      <c r="AF85" s="18">
        <f t="shared" si="112"/>
        <v>3.7337963826994391</v>
      </c>
    </row>
    <row r="86" spans="1:32" x14ac:dyDescent="0.2">
      <c r="A86" t="str">
        <f t="shared" si="95"/>
        <v>23 Teaching and other educational professionals</v>
      </c>
      <c r="B86" s="18">
        <f t="shared" si="96"/>
        <v>0.58572620399577335</v>
      </c>
      <c r="C86" s="18">
        <f t="shared" si="96"/>
        <v>0.74648114288355938</v>
      </c>
      <c r="D86" s="18">
        <f t="shared" si="96"/>
        <v>0.66291011397709987</v>
      </c>
      <c r="E86" s="18">
        <f t="shared" si="96"/>
        <v>0.75011149408308331</v>
      </c>
      <c r="F86" s="18">
        <f t="shared" si="97"/>
        <v>0.7210359772727104</v>
      </c>
      <c r="H86" s="18">
        <f t="shared" si="98"/>
        <v>0.7210359772727104</v>
      </c>
      <c r="I86" s="18">
        <f t="shared" si="99"/>
        <v>2.9358904390894169</v>
      </c>
      <c r="J86" s="18">
        <f t="shared" si="100"/>
        <v>3.4251784233602756</v>
      </c>
      <c r="L86" t="str">
        <f t="shared" si="101"/>
        <v>23 Teaching and other educational professionals</v>
      </c>
      <c r="M86" s="18">
        <f t="shared" si="102"/>
        <v>-0.76226436210317106</v>
      </c>
      <c r="N86" s="18">
        <f t="shared" si="102"/>
        <v>6.2997982756083148</v>
      </c>
      <c r="O86" s="18">
        <f t="shared" si="102"/>
        <v>1.4705748186726986</v>
      </c>
      <c r="P86" s="18">
        <f t="shared" si="102"/>
        <v>0.72188612310786215</v>
      </c>
      <c r="Q86" s="18">
        <f t="shared" si="103"/>
        <v>0.9708332099733985</v>
      </c>
      <c r="S86" s="18">
        <f t="shared" si="104"/>
        <v>0.9708332099733985</v>
      </c>
      <c r="T86" s="18">
        <f t="shared" si="105"/>
        <v>2.5937141687470966</v>
      </c>
      <c r="U86" s="18">
        <f t="shared" si="106"/>
        <v>3.2864417445307215</v>
      </c>
      <c r="W86" t="str">
        <f t="shared" si="107"/>
        <v>23 Teaching and other educational professionals</v>
      </c>
      <c r="X86" s="18">
        <f t="shared" si="108"/>
        <v>1.186134075952805</v>
      </c>
      <c r="Y86" s="18">
        <f t="shared" si="108"/>
        <v>-1.609445760151107</v>
      </c>
      <c r="Z86" s="18">
        <f t="shared" si="108"/>
        <v>0.28389292963317825</v>
      </c>
      <c r="AA86" s="18">
        <f t="shared" si="108"/>
        <v>0.76380641719318021</v>
      </c>
      <c r="AB86" s="18">
        <f t="shared" si="109"/>
        <v>0.60358061263381391</v>
      </c>
      <c r="AD86" s="18">
        <f t="shared" si="110"/>
        <v>0.60358061263381391</v>
      </c>
      <c r="AE86" s="18">
        <f t="shared" si="111"/>
        <v>3.0875521976664322</v>
      </c>
      <c r="AF86" s="18">
        <f t="shared" si="112"/>
        <v>3.4879064291352346</v>
      </c>
    </row>
    <row r="87" spans="1:32" x14ac:dyDescent="0.2">
      <c r="A87" t="str">
        <f t="shared" si="95"/>
        <v>24 Business, media and public service professionals</v>
      </c>
      <c r="B87" s="18">
        <f t="shared" si="96"/>
        <v>2.644497868424911</v>
      </c>
      <c r="C87" s="18">
        <f t="shared" si="96"/>
        <v>5.03985001439331</v>
      </c>
      <c r="D87" s="18">
        <f t="shared" si="96"/>
        <v>2.269749959926104</v>
      </c>
      <c r="E87" s="18">
        <f t="shared" si="96"/>
        <v>1.0370305198336149</v>
      </c>
      <c r="F87" s="18">
        <f t="shared" si="97"/>
        <v>1.446277124175066</v>
      </c>
      <c r="H87" s="18">
        <f t="shared" si="98"/>
        <v>1.446277124175066</v>
      </c>
      <c r="I87" s="18">
        <f t="shared" si="99"/>
        <v>2.9419461709330186</v>
      </c>
      <c r="J87" s="18">
        <f t="shared" si="100"/>
        <v>3.9391036272629742</v>
      </c>
      <c r="L87" t="str">
        <f t="shared" si="101"/>
        <v>24 Business, media and public service professionals</v>
      </c>
      <c r="M87" s="18">
        <f t="shared" si="102"/>
        <v>1.255253957660285</v>
      </c>
      <c r="N87" s="18">
        <f t="shared" si="102"/>
        <v>3.5979474351010898</v>
      </c>
      <c r="O87" s="18">
        <f t="shared" si="102"/>
        <v>2.4913887832004322</v>
      </c>
      <c r="P87" s="18">
        <f t="shared" si="102"/>
        <v>0.86727492672853401</v>
      </c>
      <c r="Q87" s="18">
        <f t="shared" si="103"/>
        <v>1.4057662992217335</v>
      </c>
      <c r="S87" s="18">
        <f t="shared" si="104"/>
        <v>1.4057662992217335</v>
      </c>
      <c r="T87" s="18">
        <f t="shared" si="105"/>
        <v>2.6712306510565664</v>
      </c>
      <c r="U87" s="18">
        <f t="shared" si="106"/>
        <v>3.6734108671451215</v>
      </c>
      <c r="W87" t="str">
        <f t="shared" si="107"/>
        <v>24 Business, media and public service professionals</v>
      </c>
      <c r="X87" s="18">
        <f t="shared" si="108"/>
        <v>4.5959506403357775</v>
      </c>
      <c r="Y87" s="18">
        <f t="shared" si="108"/>
        <v>6.9075971118438106</v>
      </c>
      <c r="Z87" s="18">
        <f t="shared" si="108"/>
        <v>1.988793406456435</v>
      </c>
      <c r="AA87" s="18">
        <f t="shared" si="108"/>
        <v>1.2517078226254252</v>
      </c>
      <c r="AB87" s="18">
        <f t="shared" si="109"/>
        <v>1.4968092181785408</v>
      </c>
      <c r="AD87" s="18">
        <f t="shared" si="110"/>
        <v>1.4968092181785408</v>
      </c>
      <c r="AE87" s="18">
        <f t="shared" si="111"/>
        <v>3.268233007074417</v>
      </c>
      <c r="AF87" s="18">
        <f t="shared" si="112"/>
        <v>4.2596930441237246</v>
      </c>
    </row>
    <row r="88" spans="1:32" x14ac:dyDescent="0.2">
      <c r="A88" t="str">
        <f t="shared" si="95"/>
        <v>31 Science, engineering and technology associate professionals</v>
      </c>
      <c r="B88" s="18">
        <f t="shared" si="96"/>
        <v>2.4487135619122524</v>
      </c>
      <c r="C88" s="18">
        <f t="shared" si="96"/>
        <v>7.632140000886678</v>
      </c>
      <c r="D88" s="18">
        <f t="shared" si="96"/>
        <v>-2.2566076807682744</v>
      </c>
      <c r="E88" s="18">
        <f t="shared" si="96"/>
        <v>0.72384783360326388</v>
      </c>
      <c r="F88" s="18">
        <f t="shared" si="97"/>
        <v>-0.27960087272583811</v>
      </c>
      <c r="H88" s="18">
        <f t="shared" si="98"/>
        <v>-0.27960087272583811</v>
      </c>
      <c r="I88" s="18">
        <f t="shared" si="99"/>
        <v>2.1941778300067272</v>
      </c>
      <c r="J88" s="18">
        <f t="shared" si="100"/>
        <v>1.9889735786361662</v>
      </c>
      <c r="L88" t="str">
        <f t="shared" si="101"/>
        <v>31 Science, engineering and technology associate professionals</v>
      </c>
      <c r="M88" s="18">
        <f t="shared" si="102"/>
        <v>3.4360930779057552</v>
      </c>
      <c r="N88" s="18">
        <f t="shared" si="102"/>
        <v>2.7035497388107732</v>
      </c>
      <c r="O88" s="18">
        <f t="shared" si="102"/>
        <v>-3.7018132873004927</v>
      </c>
      <c r="P88" s="18">
        <f t="shared" si="102"/>
        <v>0.16691246566722384</v>
      </c>
      <c r="Q88" s="18">
        <f t="shared" si="103"/>
        <v>-1.1396307956998863</v>
      </c>
      <c r="S88" s="18">
        <f t="shared" si="104"/>
        <v>-1.1396307956998863</v>
      </c>
      <c r="T88" s="18">
        <f t="shared" si="105"/>
        <v>1.8199406839817911</v>
      </c>
      <c r="U88" s="18">
        <f t="shared" si="106"/>
        <v>0.95193479740893761</v>
      </c>
      <c r="W88" t="str">
        <f t="shared" si="107"/>
        <v>31 Science, engineering and technology associate professionals</v>
      </c>
      <c r="X88" s="18">
        <f t="shared" si="108"/>
        <v>0.12188315746404221</v>
      </c>
      <c r="Y88" s="18">
        <f t="shared" si="108"/>
        <v>20.235297422306719</v>
      </c>
      <c r="Z88" s="18">
        <f t="shared" si="108"/>
        <v>0.63227160842236341</v>
      </c>
      <c r="AA88" s="18">
        <f t="shared" si="108"/>
        <v>1.6378306631049888</v>
      </c>
      <c r="AB88" s="18">
        <f t="shared" si="109"/>
        <v>1.3015328010546279</v>
      </c>
      <c r="AD88" s="18">
        <f t="shared" si="110"/>
        <v>1.3015328010546279</v>
      </c>
      <c r="AE88" s="18">
        <f t="shared" si="111"/>
        <v>2.9505248748862956</v>
      </c>
      <c r="AF88" s="18">
        <f t="shared" si="112"/>
        <v>3.8439804698286562</v>
      </c>
    </row>
    <row r="89" spans="1:32" x14ac:dyDescent="0.2">
      <c r="A89" t="str">
        <f t="shared" si="95"/>
        <v>32 Health and social care associate professionals</v>
      </c>
      <c r="B89" s="18">
        <f t="shared" si="96"/>
        <v>3.2575600179258091</v>
      </c>
      <c r="C89" s="18">
        <f t="shared" si="96"/>
        <v>1.7779825798861504</v>
      </c>
      <c r="D89" s="18">
        <f t="shared" si="96"/>
        <v>-4.604827264402811E-2</v>
      </c>
      <c r="E89" s="18">
        <f t="shared" si="96"/>
        <v>0.59610777972736173</v>
      </c>
      <c r="F89" s="18">
        <f t="shared" si="97"/>
        <v>0.38159867251259527</v>
      </c>
      <c r="H89" s="18">
        <f t="shared" si="98"/>
        <v>0.38159867251259527</v>
      </c>
      <c r="I89" s="18">
        <f t="shared" si="99"/>
        <v>3.1008947819492594</v>
      </c>
      <c r="J89" s="18">
        <f t="shared" si="100"/>
        <v>3.3521680064556358</v>
      </c>
      <c r="L89" t="str">
        <f t="shared" si="101"/>
        <v>32 Health and social care associate professionals</v>
      </c>
      <c r="M89" s="18">
        <f t="shared" si="102"/>
        <v>0.42024357855754424</v>
      </c>
      <c r="N89" s="18">
        <f t="shared" si="102"/>
        <v>13.355901763704626</v>
      </c>
      <c r="O89" s="18">
        <f t="shared" si="102"/>
        <v>-2.2495030064140109</v>
      </c>
      <c r="P89" s="18">
        <f t="shared" si="102"/>
        <v>0.39827462090884502</v>
      </c>
      <c r="Q89" s="18">
        <f>IF(AND(Q$6-O$6 &lt;&gt; 0,O15&lt;&gt;0,Q15&lt;&gt;0),(EXP(LN(Q15/O15)/(Q$6-O$6))-1)*100,0)</f>
        <v>-0.49219243246965139</v>
      </c>
      <c r="S89" s="18">
        <f t="shared" si="104"/>
        <v>-0.49219243246965139</v>
      </c>
      <c r="T89" s="18">
        <f t="shared" si="105"/>
        <v>2.3581876604490626</v>
      </c>
      <c r="U89" s="18">
        <f t="shared" si="106"/>
        <v>2.0066861790146051</v>
      </c>
      <c r="W89" t="str">
        <f t="shared" si="107"/>
        <v>32 Health and social care associate professionals</v>
      </c>
      <c r="X89" s="18">
        <f t="shared" si="108"/>
        <v>3.9535685772381424</v>
      </c>
      <c r="Y89" s="18">
        <f t="shared" si="108"/>
        <v>-0.82573299525359189</v>
      </c>
      <c r="Z89" s="18">
        <f t="shared" si="108"/>
        <v>0.4901270279771941</v>
      </c>
      <c r="AA89" s="18">
        <f t="shared" si="108"/>
        <v>0.63991983222067006</v>
      </c>
      <c r="AB89" s="18">
        <f t="shared" si="109"/>
        <v>0.58996410450979919</v>
      </c>
      <c r="AD89" s="18">
        <f t="shared" si="110"/>
        <v>0.58996410450979919</v>
      </c>
      <c r="AE89" s="18">
        <f t="shared" si="111"/>
        <v>3.2802697850481177</v>
      </c>
      <c r="AF89" s="18">
        <f t="shared" si="112"/>
        <v>3.6616387131948258</v>
      </c>
    </row>
    <row r="90" spans="1:32" x14ac:dyDescent="0.2">
      <c r="A90" t="str">
        <f t="shared" si="95"/>
        <v>33 Protective service occupations</v>
      </c>
      <c r="B90" s="18">
        <f t="shared" si="96"/>
        <v>-1.3521115763078351</v>
      </c>
      <c r="C90" s="18">
        <f t="shared" si="96"/>
        <v>5.0311387095812066</v>
      </c>
      <c r="D90" s="18">
        <f t="shared" si="96"/>
        <v>3.7457407351483285</v>
      </c>
      <c r="E90" s="18">
        <f t="shared" si="96"/>
        <v>1.3222262485831804</v>
      </c>
      <c r="F90" s="18">
        <f t="shared" si="97"/>
        <v>2.1237077952086736</v>
      </c>
      <c r="H90" s="18">
        <f t="shared" si="98"/>
        <v>2.1237077952086736</v>
      </c>
      <c r="I90" s="18">
        <f t="shared" si="99"/>
        <v>2.410205468413551</v>
      </c>
      <c r="J90" s="18">
        <f t="shared" si="100"/>
        <v>3.9961534110183994</v>
      </c>
      <c r="L90" t="str">
        <f t="shared" si="101"/>
        <v>33 Protective service occupations</v>
      </c>
      <c r="M90" s="18">
        <f t="shared" si="102"/>
        <v>-2.2609390359298098</v>
      </c>
      <c r="N90" s="18">
        <f t="shared" si="102"/>
        <v>3.0553667344100921</v>
      </c>
      <c r="O90" s="18">
        <f t="shared" si="102"/>
        <v>2.882104705926003</v>
      </c>
      <c r="P90" s="18">
        <f t="shared" si="102"/>
        <v>0.72496551484766414</v>
      </c>
      <c r="Q90" s="18">
        <f t="shared" si="103"/>
        <v>1.4389390615572317</v>
      </c>
      <c r="S90" s="18">
        <f t="shared" si="104"/>
        <v>1.4389390615572317</v>
      </c>
      <c r="T90" s="18">
        <f t="shared" si="105"/>
        <v>1.9158560975664152</v>
      </c>
      <c r="U90" s="18">
        <f t="shared" si="106"/>
        <v>3.0454345302959318</v>
      </c>
      <c r="W90" t="str">
        <f t="shared" si="107"/>
        <v>33 Protective service occupations</v>
      </c>
      <c r="X90" s="18">
        <f t="shared" si="108"/>
        <v>1.7966668463686331</v>
      </c>
      <c r="Y90" s="18">
        <f t="shared" si="108"/>
        <v>11.218118185054383</v>
      </c>
      <c r="Z90" s="18">
        <f t="shared" si="108"/>
        <v>6.1009024742979756</v>
      </c>
      <c r="AA90" s="18">
        <f t="shared" si="108"/>
        <v>2.683697659366957</v>
      </c>
      <c r="AB90" s="18">
        <f t="shared" si="109"/>
        <v>3.8103588210316897</v>
      </c>
      <c r="AD90" s="18">
        <f t="shared" si="110"/>
        <v>3.8103588210316897</v>
      </c>
      <c r="AE90" s="18">
        <f t="shared" si="111"/>
        <v>3.6806565918104051</v>
      </c>
      <c r="AF90" s="18">
        <f t="shared" si="112"/>
        <v>6.2194242351754303</v>
      </c>
    </row>
    <row r="91" spans="1:32" x14ac:dyDescent="0.2">
      <c r="A91" t="str">
        <f t="shared" si="95"/>
        <v>34 Culture, media and sports occupations</v>
      </c>
      <c r="B91" s="18">
        <f t="shared" si="96"/>
        <v>-3.0182330273154978</v>
      </c>
      <c r="C91" s="18">
        <f t="shared" si="96"/>
        <v>4.3534925304213878</v>
      </c>
      <c r="D91" s="18">
        <f t="shared" si="96"/>
        <v>-4.8637053182265522E-2</v>
      </c>
      <c r="E91" s="18">
        <f t="shared" si="96"/>
        <v>0.95714671209736757</v>
      </c>
      <c r="F91" s="18">
        <f t="shared" si="97"/>
        <v>0.62076590898481054</v>
      </c>
      <c r="H91" s="18">
        <f t="shared" si="98"/>
        <v>0.62076590898481054</v>
      </c>
      <c r="I91" s="18">
        <f t="shared" si="99"/>
        <v>2.6394647450126874</v>
      </c>
      <c r="J91" s="18">
        <f t="shared" si="100"/>
        <v>3.0764887364678417</v>
      </c>
      <c r="L91" t="str">
        <f t="shared" si="101"/>
        <v>34 Culture, media and sports occupations</v>
      </c>
      <c r="M91" s="18">
        <f t="shared" si="102"/>
        <v>-4.4237523733386741</v>
      </c>
      <c r="N91" s="18">
        <f t="shared" si="102"/>
        <v>-0.13623375722559006</v>
      </c>
      <c r="O91" s="18">
        <f t="shared" si="102"/>
        <v>0.3853984101076513</v>
      </c>
      <c r="P91" s="18">
        <f t="shared" si="102"/>
        <v>1.2470215617368385</v>
      </c>
      <c r="Q91" s="18">
        <f t="shared" si="103"/>
        <v>0.95899524770099998</v>
      </c>
      <c r="S91" s="18">
        <f t="shared" si="104"/>
        <v>0.95899524770099998</v>
      </c>
      <c r="T91" s="18">
        <f t="shared" si="105"/>
        <v>2.3876156720201935</v>
      </c>
      <c r="U91" s="18">
        <f t="shared" si="106"/>
        <v>3.0902911579551606</v>
      </c>
      <c r="W91" t="str">
        <f t="shared" si="107"/>
        <v>34 Culture, media and sports occupations</v>
      </c>
      <c r="X91" s="18">
        <f t="shared" si="108"/>
        <v>-1.394520648859876</v>
      </c>
      <c r="Y91" s="18">
        <f t="shared" si="108"/>
        <v>9.1511743111290844</v>
      </c>
      <c r="Z91" s="18">
        <f>IF(AND(AA$6-Z$6 &lt;&gt; 0,Z17&lt;&gt;0,AA17&lt;&gt;0),(EXP(LN(AA17/Z17)/(AA$6-Z$6))-1)*100,0)</f>
        <v>-0.48039479877011182</v>
      </c>
      <c r="AA91" s="18">
        <f t="shared" si="108"/>
        <v>0.65326515337156277</v>
      </c>
      <c r="AB91" s="18">
        <f t="shared" si="109"/>
        <v>0.27395084297638927</v>
      </c>
      <c r="AD91" s="18">
        <f t="shared" si="110"/>
        <v>0.27395084297638927</v>
      </c>
      <c r="AE91" s="18">
        <f t="shared" si="111"/>
        <v>2.8775982176815207</v>
      </c>
      <c r="AF91" s="18">
        <f t="shared" si="112"/>
        <v>3.0629694990855993</v>
      </c>
    </row>
    <row r="92" spans="1:32" x14ac:dyDescent="0.2">
      <c r="A92" t="str">
        <f t="shared" si="95"/>
        <v>35 Business and public service associate professionals</v>
      </c>
      <c r="B92" s="18">
        <f t="shared" si="96"/>
        <v>0.7836378965435653</v>
      </c>
      <c r="C92" s="18">
        <f t="shared" si="96"/>
        <v>1.8955389822941315</v>
      </c>
      <c r="D92" s="18">
        <f t="shared" si="96"/>
        <v>-0.60789995083455617</v>
      </c>
      <c r="E92" s="18">
        <f t="shared" si="96"/>
        <v>0.39515100821916338</v>
      </c>
      <c r="F92" s="18">
        <f t="shared" si="97"/>
        <v>5.9680965143238396E-2</v>
      </c>
      <c r="H92" s="18">
        <f t="shared" si="98"/>
        <v>5.9680965143238396E-2</v>
      </c>
      <c r="I92" s="18">
        <f t="shared" si="99"/>
        <v>2.5248957389146343</v>
      </c>
      <c r="J92" s="18">
        <f t="shared" si="100"/>
        <v>2.5670450163183922</v>
      </c>
      <c r="L92" t="str">
        <f t="shared" si="101"/>
        <v>35 Business and public service associate professionals</v>
      </c>
      <c r="M92" s="18">
        <f t="shared" si="102"/>
        <v>9.6061254819379549E-2</v>
      </c>
      <c r="N92" s="18">
        <f t="shared" si="102"/>
        <v>2.7304876770557263</v>
      </c>
      <c r="O92" s="18">
        <f t="shared" si="102"/>
        <v>-1.219550194675445</v>
      </c>
      <c r="P92" s="18">
        <f t="shared" si="102"/>
        <v>3.4173758564537415E-2</v>
      </c>
      <c r="Q92" s="18">
        <f t="shared" si="103"/>
        <v>-0.38549235865481535</v>
      </c>
      <c r="S92" s="18">
        <f t="shared" si="104"/>
        <v>-0.38549235865481535</v>
      </c>
      <c r="T92" s="18">
        <f t="shared" si="105"/>
        <v>2.0933346035348466</v>
      </c>
      <c r="U92" s="18">
        <f t="shared" si="106"/>
        <v>1.8069977293159623</v>
      </c>
      <c r="W92" t="str">
        <f t="shared" si="107"/>
        <v>35 Business and public service associate professionals</v>
      </c>
      <c r="X92" s="18">
        <f t="shared" si="108"/>
        <v>1.5339877071216756</v>
      </c>
      <c r="Y92" s="18">
        <f t="shared" si="108"/>
        <v>1.0162765250850025</v>
      </c>
      <c r="Z92" s="18">
        <f t="shared" si="108"/>
        <v>3.0867155566016713E-2</v>
      </c>
      <c r="AA92" s="18">
        <f t="shared" si="108"/>
        <v>0.74676049662485422</v>
      </c>
      <c r="AB92" s="18">
        <f t="shared" si="109"/>
        <v>0.50756191377152593</v>
      </c>
      <c r="AD92" s="18">
        <f t="shared" si="110"/>
        <v>0.50756191377152593</v>
      </c>
      <c r="AE92" s="18">
        <f t="shared" si="111"/>
        <v>2.9605033358091948</v>
      </c>
      <c r="AF92" s="18">
        <f t="shared" si="112"/>
        <v>3.3020749005752137</v>
      </c>
    </row>
    <row r="93" spans="1:32" x14ac:dyDescent="0.2">
      <c r="A93" t="str">
        <f t="shared" si="95"/>
        <v>41 Administrative occupations</v>
      </c>
      <c r="B93" s="18">
        <f t="shared" si="96"/>
        <v>-1.3075988997870436</v>
      </c>
      <c r="C93" s="18">
        <f t="shared" si="96"/>
        <v>2.1556793927722362</v>
      </c>
      <c r="D93" s="18">
        <f t="shared" si="96"/>
        <v>-1.8745008957173126</v>
      </c>
      <c r="E93" s="18">
        <f t="shared" si="96"/>
        <v>-0.84567104797660386</v>
      </c>
      <c r="F93" s="18">
        <f t="shared" si="97"/>
        <v>-1.1898073473603499</v>
      </c>
      <c r="H93" s="18">
        <f t="shared" si="98"/>
        <v>-1.1898073473603499</v>
      </c>
      <c r="I93" s="18">
        <f t="shared" si="99"/>
        <v>2.4969624158541315</v>
      </c>
      <c r="J93" s="18">
        <f t="shared" si="100"/>
        <v>1.676844132802402</v>
      </c>
      <c r="L93" t="str">
        <f t="shared" si="101"/>
        <v>41 Administrative occupations</v>
      </c>
      <c r="M93" s="18">
        <f t="shared" si="102"/>
        <v>-2.4902074294212317</v>
      </c>
      <c r="N93" s="18">
        <f t="shared" si="102"/>
        <v>16.053195116422515</v>
      </c>
      <c r="O93" s="18">
        <f t="shared" si="102"/>
        <v>-1.3169070297584295</v>
      </c>
      <c r="P93" s="18">
        <f t="shared" si="102"/>
        <v>0.55791324862239922</v>
      </c>
      <c r="Q93" s="18">
        <f t="shared" si="103"/>
        <v>-7.0951412176789574E-2</v>
      </c>
      <c r="S93" s="18">
        <f t="shared" si="104"/>
        <v>-7.0951412176789574E-2</v>
      </c>
      <c r="T93" s="18">
        <f t="shared" si="105"/>
        <v>2.0427324529829205</v>
      </c>
      <c r="U93" s="18">
        <f t="shared" si="106"/>
        <v>1.9893441527199185</v>
      </c>
      <c r="W93" t="str">
        <f t="shared" si="107"/>
        <v>41 Administrative occupations</v>
      </c>
      <c r="X93" s="18">
        <f t="shared" si="108"/>
        <v>-0.91536895550053954</v>
      </c>
      <c r="Y93" s="18">
        <f t="shared" si="108"/>
        <v>-2.272310060814553</v>
      </c>
      <c r="Z93" s="18">
        <f t="shared" si="108"/>
        <v>-2.0888193946421274</v>
      </c>
      <c r="AA93" s="18">
        <f t="shared" si="108"/>
        <v>-1.4509041625761165</v>
      </c>
      <c r="AB93" s="18">
        <f t="shared" si="109"/>
        <v>-1.6640030381590898</v>
      </c>
      <c r="AD93" s="18">
        <f t="shared" si="110"/>
        <v>-1.6640030381590898</v>
      </c>
      <c r="AE93" s="18">
        <f t="shared" si="111"/>
        <v>2.661728830962895</v>
      </c>
      <c r="AF93" s="18">
        <f t="shared" si="112"/>
        <v>1.5550110155769348</v>
      </c>
    </row>
    <row r="94" spans="1:32" x14ac:dyDescent="0.2">
      <c r="A94" t="str">
        <f t="shared" si="95"/>
        <v>42 Secretarial and related occupations</v>
      </c>
      <c r="B94" s="18">
        <f t="shared" si="96"/>
        <v>-3.3360412313618859</v>
      </c>
      <c r="C94" s="18">
        <f t="shared" si="96"/>
        <v>-3.1346223818666918</v>
      </c>
      <c r="D94" s="18">
        <f t="shared" si="96"/>
        <v>0.27293685675988666</v>
      </c>
      <c r="E94" s="18">
        <f t="shared" si="96"/>
        <v>-2.2558448923696517</v>
      </c>
      <c r="F94" s="18">
        <f t="shared" si="97"/>
        <v>-1.4200841765729</v>
      </c>
      <c r="H94" s="18">
        <f t="shared" si="98"/>
        <v>-1.4200841765729</v>
      </c>
      <c r="I94" s="18">
        <f t="shared" si="99"/>
        <v>2.7446953779209693</v>
      </c>
      <c r="J94" s="18">
        <f t="shared" si="100"/>
        <v>1.8058466022626396</v>
      </c>
      <c r="L94" t="str">
        <f t="shared" si="101"/>
        <v>42 Secretarial and related occupations</v>
      </c>
      <c r="M94" s="18">
        <f t="shared" si="102"/>
        <v>-5.8317463735538251</v>
      </c>
      <c r="N94" s="18">
        <f t="shared" si="102"/>
        <v>-10.064516713904247</v>
      </c>
      <c r="O94" s="18">
        <f t="shared" si="102"/>
        <v>6.2420255049487894</v>
      </c>
      <c r="P94" s="18">
        <f t="shared" si="102"/>
        <v>1.4400640954614907</v>
      </c>
      <c r="Q94" s="18">
        <f t="shared" si="103"/>
        <v>3.0161046674519465</v>
      </c>
      <c r="S94" s="18">
        <f t="shared" si="104"/>
        <v>3.0161046674519465</v>
      </c>
      <c r="T94" s="18">
        <f t="shared" si="105"/>
        <v>2.4903055896365656</v>
      </c>
      <c r="U94" s="18">
        <f t="shared" si="106"/>
        <v>4.7568367245263143</v>
      </c>
      <c r="W94" t="str">
        <f t="shared" si="107"/>
        <v>42 Secretarial and related occupations</v>
      </c>
      <c r="X94" s="18">
        <f t="shared" si="108"/>
        <v>-3.2188102256283324</v>
      </c>
      <c r="Y94" s="18">
        <f t="shared" si="108"/>
        <v>-2.8307617574405808</v>
      </c>
      <c r="Z94" s="18">
        <f t="shared" si="108"/>
        <v>-1.4168968465066989E-3</v>
      </c>
      <c r="AA94" s="18">
        <f t="shared" si="108"/>
        <v>-2.4998827633711085</v>
      </c>
      <c r="AB94" s="18">
        <f t="shared" si="109"/>
        <v>-1.6740749925363341</v>
      </c>
      <c r="AD94" s="18">
        <f t="shared" si="110"/>
        <v>-1.6740749925363341</v>
      </c>
      <c r="AE94" s="18">
        <f t="shared" si="111"/>
        <v>2.7548353853679375</v>
      </c>
      <c r="AF94" s="18">
        <f t="shared" si="112"/>
        <v>1.6569340743602057</v>
      </c>
    </row>
    <row r="95" spans="1:32" x14ac:dyDescent="0.2">
      <c r="A95" t="str">
        <f t="shared" si="95"/>
        <v>51 Skilled agricultural and related trades</v>
      </c>
      <c r="B95" s="18">
        <f t="shared" si="96"/>
        <v>1.3759196399276252</v>
      </c>
      <c r="C95" s="18">
        <f t="shared" si="96"/>
        <v>-20.782196898151749</v>
      </c>
      <c r="D95" s="18">
        <f t="shared" si="96"/>
        <v>1.4848208240534788</v>
      </c>
      <c r="E95" s="18">
        <f t="shared" si="96"/>
        <v>1.6159602903060177</v>
      </c>
      <c r="F95" s="18">
        <f t="shared" si="97"/>
        <v>1.5722283168687845</v>
      </c>
      <c r="H95" s="18">
        <f t="shared" si="98"/>
        <v>1.5722283168687845</v>
      </c>
      <c r="I95" s="18">
        <f t="shared" si="99"/>
        <v>3.3245688440625143</v>
      </c>
      <c r="J95" s="18">
        <f t="shared" si="100"/>
        <v>4.3605310957233856</v>
      </c>
      <c r="L95" t="str">
        <f t="shared" si="101"/>
        <v>51 Skilled agricultural and related trades</v>
      </c>
      <c r="M95" s="18">
        <f t="shared" si="102"/>
        <v>3.758899470645849</v>
      </c>
      <c r="N95" s="18">
        <f t="shared" si="102"/>
        <v>-30.018847352195365</v>
      </c>
      <c r="O95" s="18">
        <f t="shared" si="102"/>
        <v>0.75756950113954336</v>
      </c>
      <c r="P95" s="18">
        <f t="shared" si="102"/>
        <v>1.325058601960527</v>
      </c>
      <c r="Q95" s="18">
        <f t="shared" si="103"/>
        <v>1.1355413182942975</v>
      </c>
      <c r="S95" s="18">
        <f t="shared" si="104"/>
        <v>1.1355413182942975</v>
      </c>
      <c r="T95" s="18">
        <f t="shared" si="105"/>
        <v>2.9881882261121762</v>
      </c>
      <c r="U95" s="18">
        <f t="shared" si="106"/>
        <v>3.7609915903009661</v>
      </c>
      <c r="W95" t="str">
        <f t="shared" si="107"/>
        <v>51 Skilled agricultural and related trades</v>
      </c>
      <c r="X95" s="18">
        <f t="shared" si="108"/>
        <v>-8.5814311043566072</v>
      </c>
      <c r="Y95" s="18">
        <f t="shared" si="108"/>
        <v>32.522529107363283</v>
      </c>
      <c r="Z95" s="18">
        <f t="shared" si="108"/>
        <v>3.5811613924455754</v>
      </c>
      <c r="AA95" s="18">
        <f t="shared" si="108"/>
        <v>2.3536195905293766</v>
      </c>
      <c r="AB95" s="18">
        <f t="shared" si="109"/>
        <v>2.7611752163789083</v>
      </c>
      <c r="AD95" s="18">
        <f t="shared" si="110"/>
        <v>2.7611752163789083</v>
      </c>
      <c r="AE95" s="18">
        <f t="shared" si="111"/>
        <v>4.2643880309137572</v>
      </c>
      <c r="AF95" s="18">
        <f t="shared" si="112"/>
        <v>5.9376677314862736</v>
      </c>
    </row>
    <row r="96" spans="1:32" x14ac:dyDescent="0.2">
      <c r="A96" t="str">
        <f t="shared" si="95"/>
        <v>52 Skilled metal, electrical and electronic trades</v>
      </c>
      <c r="B96" s="18">
        <f t="shared" si="96"/>
        <v>3.2234411951614916E-2</v>
      </c>
      <c r="C96" s="18">
        <f t="shared" si="96"/>
        <v>-13.07479406516644</v>
      </c>
      <c r="D96" s="18">
        <f t="shared" si="96"/>
        <v>0.62527369790634779</v>
      </c>
      <c r="E96" s="18">
        <f t="shared" si="96"/>
        <v>-0.29831572141953977</v>
      </c>
      <c r="F96" s="18">
        <f t="shared" si="97"/>
        <v>8.6016476722683421E-3</v>
      </c>
      <c r="H96" s="18">
        <f t="shared" si="98"/>
        <v>8.6016476722683421E-3</v>
      </c>
      <c r="I96" s="18">
        <f t="shared" si="99"/>
        <v>2.2317786026401665</v>
      </c>
      <c r="J96" s="18">
        <f t="shared" si="100"/>
        <v>2.2380947535591833</v>
      </c>
      <c r="L96" t="str">
        <f t="shared" si="101"/>
        <v>52 Skilled metal, electrical and electronic trades</v>
      </c>
      <c r="M96" s="18">
        <f t="shared" si="102"/>
        <v>-0.37488312556076542</v>
      </c>
      <c r="N96" s="18">
        <f t="shared" si="102"/>
        <v>-12.583844314597869</v>
      </c>
      <c r="O96" s="18">
        <f t="shared" si="102"/>
        <v>-0.25608189501721279</v>
      </c>
      <c r="P96" s="18">
        <f t="shared" si="102"/>
        <v>-0.56106951128441773</v>
      </c>
      <c r="Q96" s="18">
        <f t="shared" si="103"/>
        <v>-0.45951073166027312</v>
      </c>
      <c r="S96" s="18">
        <f t="shared" si="104"/>
        <v>-0.45951073166027312</v>
      </c>
      <c r="T96" s="18">
        <f t="shared" si="105"/>
        <v>2.0710347232561155</v>
      </c>
      <c r="U96" s="18">
        <f t="shared" si="106"/>
        <v>1.7291345392003166</v>
      </c>
      <c r="W96" t="str">
        <f t="shared" si="107"/>
        <v>52 Skilled metal, electrical and electronic trades</v>
      </c>
      <c r="X96" s="18">
        <f t="shared" si="108"/>
        <v>13.462417333601717</v>
      </c>
      <c r="Y96" s="18">
        <f t="shared" si="108"/>
        <v>-24.891186127516839</v>
      </c>
      <c r="Z96" s="18">
        <f t="shared" si="108"/>
        <v>17.871051440241036</v>
      </c>
      <c r="AA96" s="18">
        <f t="shared" si="108"/>
        <v>2.481703688818504</v>
      </c>
      <c r="AB96" s="18">
        <f t="shared" si="109"/>
        <v>7.3742006218822986</v>
      </c>
      <c r="AD96" s="18">
        <f t="shared" si="110"/>
        <v>7.3742006218822986</v>
      </c>
      <c r="AE96" s="18">
        <f t="shared" si="111"/>
        <v>5.7171342919305257</v>
      </c>
      <c r="AF96" s="18">
        <f t="shared" si="112"/>
        <v>10.056873185824333</v>
      </c>
    </row>
    <row r="97" spans="1:32" x14ac:dyDescent="0.2">
      <c r="A97" t="str">
        <f t="shared" si="95"/>
        <v>53 Skilled construction and building trades</v>
      </c>
      <c r="B97" s="18">
        <f t="shared" si="96"/>
        <v>-1.8518091155279359</v>
      </c>
      <c r="C97" s="18">
        <f t="shared" si="96"/>
        <v>-10.268246943586124</v>
      </c>
      <c r="D97" s="18">
        <f t="shared" si="96"/>
        <v>1.3795720221640106</v>
      </c>
      <c r="E97" s="18">
        <f t="shared" si="96"/>
        <v>-0.71099186827694449</v>
      </c>
      <c r="F97" s="18">
        <f t="shared" si="97"/>
        <v>-1.8971656057709119E-2</v>
      </c>
      <c r="H97" s="18">
        <f t="shared" si="98"/>
        <v>-1.8971656057709119E-2</v>
      </c>
      <c r="I97" s="18">
        <f t="shared" si="99"/>
        <v>2.4397614459161776</v>
      </c>
      <c r="J97" s="18">
        <f t="shared" si="100"/>
        <v>2.426229186568718</v>
      </c>
      <c r="L97" t="str">
        <f t="shared" si="101"/>
        <v>53 Skilled construction and building trades</v>
      </c>
      <c r="M97" s="18">
        <f t="shared" si="102"/>
        <v>-1.9463549440864703</v>
      </c>
      <c r="N97" s="18">
        <f t="shared" si="102"/>
        <v>-10.336511102578594</v>
      </c>
      <c r="O97" s="18">
        <f t="shared" si="102"/>
        <v>1.4379333104173053</v>
      </c>
      <c r="P97" s="18">
        <f t="shared" si="102"/>
        <v>-0.77076404306299917</v>
      </c>
      <c r="Q97" s="18">
        <f t="shared" si="103"/>
        <v>-3.9927514978366219E-2</v>
      </c>
      <c r="S97" s="18">
        <f t="shared" si="104"/>
        <v>-3.9927514978366219E-2</v>
      </c>
      <c r="T97" s="18">
        <f t="shared" si="105"/>
        <v>2.4304923593047256</v>
      </c>
      <c r="U97" s="18">
        <f t="shared" si="106"/>
        <v>2.4019890699982005</v>
      </c>
      <c r="W97" t="str">
        <f t="shared" si="107"/>
        <v>53 Skilled construction and building trades</v>
      </c>
      <c r="X97" s="18">
        <f t="shared" si="108"/>
        <v>3.5940298165095586</v>
      </c>
      <c r="Y97" s="18">
        <f t="shared" si="108"/>
        <v>-6.8348132795552736</v>
      </c>
      <c r="Z97" s="18">
        <f t="shared" si="108"/>
        <v>-1.6211680631648684</v>
      </c>
      <c r="AA97" s="18">
        <f t="shared" si="108"/>
        <v>2.2279021305426916</v>
      </c>
      <c r="AB97" s="18">
        <f t="shared" si="109"/>
        <v>0.92843046787682848</v>
      </c>
      <c r="AD97" s="18">
        <f t="shared" si="110"/>
        <v>0.92843046787682848</v>
      </c>
      <c r="AE97" s="18">
        <f t="shared" si="111"/>
        <v>2.8749713276501998</v>
      </c>
      <c r="AF97" s="18">
        <f t="shared" si="112"/>
        <v>3.5130881821191728</v>
      </c>
    </row>
    <row r="98" spans="1:32" x14ac:dyDescent="0.2">
      <c r="A98" t="str">
        <f t="shared" si="95"/>
        <v>54 Textiles, printing and other skilled trades</v>
      </c>
      <c r="B98" s="18">
        <f t="shared" si="96"/>
        <v>-3.0884228248643231</v>
      </c>
      <c r="C98" s="18">
        <f t="shared" si="96"/>
        <v>-7.8461216136355922</v>
      </c>
      <c r="D98" s="18">
        <f t="shared" si="96"/>
        <v>0.74426599671166827</v>
      </c>
      <c r="E98" s="18">
        <f t="shared" si="96"/>
        <v>0.49026696421030636</v>
      </c>
      <c r="F98" s="18">
        <f t="shared" si="97"/>
        <v>0.5748620742074273</v>
      </c>
      <c r="H98" s="18">
        <f t="shared" si="98"/>
        <v>0.5748620742074273</v>
      </c>
      <c r="I98" s="18">
        <f t="shared" si="99"/>
        <v>2.5369615548002988</v>
      </c>
      <c r="J98" s="18">
        <f t="shared" si="100"/>
        <v>2.9467932940486108</v>
      </c>
      <c r="L98" t="str">
        <f t="shared" si="101"/>
        <v>54 Textiles, printing and other skilled trades</v>
      </c>
      <c r="M98" s="18">
        <f t="shared" si="102"/>
        <v>-2.9822339954249322</v>
      </c>
      <c r="N98" s="18">
        <f t="shared" si="102"/>
        <v>-16.35212826740683</v>
      </c>
      <c r="O98" s="18">
        <f t="shared" si="102"/>
        <v>0.62091157624755144</v>
      </c>
      <c r="P98" s="18">
        <f t="shared" si="102"/>
        <v>0.32344630148766207</v>
      </c>
      <c r="Q98" s="18">
        <f t="shared" si="103"/>
        <v>0.42250355384423344</v>
      </c>
      <c r="S98" s="18">
        <f t="shared" si="104"/>
        <v>0.42250355384423344</v>
      </c>
      <c r="T98" s="18">
        <f t="shared" si="105"/>
        <v>1.9511509336869626</v>
      </c>
      <c r="U98" s="18">
        <f t="shared" si="106"/>
        <v>2.2758800484611985</v>
      </c>
      <c r="W98" t="str">
        <f t="shared" si="107"/>
        <v>54 Textiles, printing and other skilled trades</v>
      </c>
      <c r="X98" s="18">
        <f t="shared" si="108"/>
        <v>-3.2667473745828457</v>
      </c>
      <c r="Y98" s="18">
        <f t="shared" si="108"/>
        <v>6.5434317294163158</v>
      </c>
      <c r="Z98" s="18">
        <f t="shared" si="108"/>
        <v>0.90717176875949601</v>
      </c>
      <c r="AA98" s="18">
        <f t="shared" si="108"/>
        <v>0.70500488654277049</v>
      </c>
      <c r="AB98" s="18">
        <f t="shared" si="109"/>
        <v>0.77234880270833361</v>
      </c>
      <c r="AD98" s="18">
        <f t="shared" si="110"/>
        <v>0.77234880270833361</v>
      </c>
      <c r="AE98" s="18">
        <f t="shared" si="111"/>
        <v>3.248978932548785</v>
      </c>
      <c r="AF98" s="18">
        <f t="shared" si="112"/>
        <v>3.7526559703438211</v>
      </c>
    </row>
    <row r="99" spans="1:32" x14ac:dyDescent="0.2">
      <c r="A99" t="str">
        <f t="shared" si="95"/>
        <v>61 Caring personal service occupations</v>
      </c>
      <c r="B99" s="18">
        <f t="shared" si="96"/>
        <v>0.66329206291986242</v>
      </c>
      <c r="C99" s="18">
        <f t="shared" si="96"/>
        <v>-4.5190965198451778</v>
      </c>
      <c r="D99" s="18">
        <f t="shared" si="96"/>
        <v>1.5176386242997886</v>
      </c>
      <c r="E99" s="18">
        <f t="shared" si="96"/>
        <v>0.6985648807819933</v>
      </c>
      <c r="F99" s="18">
        <f t="shared" si="97"/>
        <v>0.97085253593887089</v>
      </c>
      <c r="H99" s="18">
        <f t="shared" si="98"/>
        <v>0.97085253593887089</v>
      </c>
      <c r="I99" s="18">
        <f t="shared" si="99"/>
        <v>3.1986484057404452</v>
      </c>
      <c r="J99" s="18">
        <f t="shared" si="100"/>
        <v>3.8391251753791211</v>
      </c>
      <c r="L99" t="str">
        <f t="shared" si="101"/>
        <v>61 Caring personal service occupations</v>
      </c>
      <c r="M99" s="18">
        <f t="shared" si="102"/>
        <v>-0.43919421786308144</v>
      </c>
      <c r="N99" s="18">
        <f t="shared" si="102"/>
        <v>-0.94445370824910446</v>
      </c>
      <c r="O99" s="18">
        <f t="shared" si="102"/>
        <v>4.1989847164754179</v>
      </c>
      <c r="P99" s="18">
        <f t="shared" si="102"/>
        <v>1.5335906607310212</v>
      </c>
      <c r="Q99" s="18">
        <f t="shared" si="103"/>
        <v>2.4143923161016323</v>
      </c>
      <c r="S99" s="18">
        <f t="shared" si="104"/>
        <v>2.4143923161016323</v>
      </c>
      <c r="T99" s="18">
        <f t="shared" si="105"/>
        <v>3.0223064662106891</v>
      </c>
      <c r="U99" s="18">
        <f t="shared" si="106"/>
        <v>4.7059714480809811</v>
      </c>
      <c r="W99" t="str">
        <f t="shared" si="107"/>
        <v>61 Caring personal service occupations</v>
      </c>
      <c r="X99" s="18">
        <f t="shared" si="108"/>
        <v>0.91997098042655434</v>
      </c>
      <c r="Y99" s="18">
        <f t="shared" si="108"/>
        <v>-5.32354218207659</v>
      </c>
      <c r="Z99" s="18">
        <f t="shared" si="108"/>
        <v>0.84316717133314789</v>
      </c>
      <c r="AA99" s="18">
        <f t="shared" si="108"/>
        <v>0.45553541977361167</v>
      </c>
      <c r="AB99" s="18">
        <f t="shared" si="109"/>
        <v>0.58458016233084997</v>
      </c>
      <c r="AD99" s="18">
        <f t="shared" si="110"/>
        <v>0.58458016233084997</v>
      </c>
      <c r="AE99" s="18">
        <f t="shared" si="111"/>
        <v>3.2395616113716219</v>
      </c>
      <c r="AF99" s="18">
        <f t="shared" si="112"/>
        <v>3.6194320007916669</v>
      </c>
    </row>
    <row r="100" spans="1:32" x14ac:dyDescent="0.2">
      <c r="A100" t="str">
        <f t="shared" si="95"/>
        <v>62 Leisure, travel and related personal service occupations</v>
      </c>
      <c r="B100" s="18">
        <f t="shared" si="96"/>
        <v>0.30600928669137772</v>
      </c>
      <c r="C100" s="18">
        <f t="shared" si="96"/>
        <v>-7.7672012062535822</v>
      </c>
      <c r="D100" s="18">
        <f t="shared" si="96"/>
        <v>0.24655563913744682</v>
      </c>
      <c r="E100" s="18">
        <f t="shared" si="96"/>
        <v>0.28562733164971821</v>
      </c>
      <c r="F100" s="18">
        <f t="shared" si="97"/>
        <v>0.27260174239143176</v>
      </c>
      <c r="H100" s="18">
        <f t="shared" si="98"/>
        <v>0.27260174239143176</v>
      </c>
      <c r="I100" s="18">
        <f t="shared" si="99"/>
        <v>2.8240745699081193</v>
      </c>
      <c r="J100" s="18">
        <f t="shared" si="100"/>
        <v>3.0098576960063017</v>
      </c>
      <c r="L100" t="str">
        <f t="shared" si="101"/>
        <v>62 Leisure, travel and related personal service occupations</v>
      </c>
      <c r="M100" s="18">
        <f t="shared" si="102"/>
        <v>1.4267240764519684</v>
      </c>
      <c r="N100" s="18">
        <f t="shared" si="102"/>
        <v>-12.206875858776666</v>
      </c>
      <c r="O100" s="18">
        <f t="shared" si="102"/>
        <v>1.0766439443582687</v>
      </c>
      <c r="P100" s="18">
        <f t="shared" si="102"/>
        <v>1.2121796558861142</v>
      </c>
      <c r="Q100" s="18">
        <f t="shared" si="103"/>
        <v>1.1669809037831325</v>
      </c>
      <c r="S100" s="18">
        <f t="shared" si="104"/>
        <v>1.1669809037831325</v>
      </c>
      <c r="T100" s="18">
        <f t="shared" si="105"/>
        <v>2.6438147339593598</v>
      </c>
      <c r="U100" s="18">
        <f t="shared" si="106"/>
        <v>3.4745327635189893</v>
      </c>
      <c r="W100" t="str">
        <f t="shared" si="107"/>
        <v>62 Leisure, travel and related personal service occupations</v>
      </c>
      <c r="X100" s="18">
        <f t="shared" si="108"/>
        <v>-0.16486585471197079</v>
      </c>
      <c r="Y100" s="18">
        <f t="shared" si="108"/>
        <v>-5.8267318505398684</v>
      </c>
      <c r="Z100" s="18">
        <f t="shared" si="108"/>
        <v>-9.9706680291666849E-2</v>
      </c>
      <c r="AA100" s="18">
        <f t="shared" si="108"/>
        <v>-0.13975407833693998</v>
      </c>
      <c r="AB100" s="18">
        <f t="shared" si="109"/>
        <v>-0.1264067297450322</v>
      </c>
      <c r="AD100" s="18">
        <f t="shared" si="110"/>
        <v>-0.1264067297450322</v>
      </c>
      <c r="AE100" s="18">
        <f t="shared" si="111"/>
        <v>2.8962733609217528</v>
      </c>
      <c r="AF100" s="18">
        <f t="shared" si="112"/>
        <v>2.8117783529491458</v>
      </c>
    </row>
    <row r="101" spans="1:32" x14ac:dyDescent="0.2">
      <c r="A101" t="str">
        <f t="shared" si="95"/>
        <v>63 Community and civil enforcement occupations</v>
      </c>
      <c r="B101" s="18">
        <f t="shared" si="96"/>
        <v>-5.0613878558777747</v>
      </c>
      <c r="C101" s="18">
        <f t="shared" si="96"/>
        <v>25.388084179719051</v>
      </c>
      <c r="D101" s="18">
        <f t="shared" si="96"/>
        <v>-4.1687616286705254</v>
      </c>
      <c r="E101" s="18">
        <f t="shared" si="96"/>
        <v>0.51370141195103969</v>
      </c>
      <c r="F101" s="18">
        <f t="shared" si="97"/>
        <v>-1.072004163665452</v>
      </c>
      <c r="H101" s="18">
        <f t="shared" si="98"/>
        <v>-1.072004163665452</v>
      </c>
      <c r="I101" s="18">
        <f t="shared" si="99"/>
        <v>2.2924197609286212</v>
      </c>
      <c r="J101" s="18">
        <f t="shared" si="100"/>
        <v>1.5292298992366504</v>
      </c>
      <c r="L101" t="str">
        <f t="shared" si="101"/>
        <v>63 Community and civil enforcement occupations</v>
      </c>
      <c r="M101" s="18">
        <f t="shared" si="102"/>
        <v>-8.4407176656820848</v>
      </c>
      <c r="N101" s="18">
        <f t="shared" si="102"/>
        <v>44.510084558723293</v>
      </c>
      <c r="O101" s="18">
        <f t="shared" si="102"/>
        <v>-8.2606324451289126</v>
      </c>
      <c r="P101" s="18">
        <f t="shared" si="102"/>
        <v>0.93755930124868048</v>
      </c>
      <c r="Q101" s="18">
        <f t="shared" si="103"/>
        <v>-2.2266610144107579</v>
      </c>
      <c r="S101" s="18">
        <f t="shared" si="104"/>
        <v>-2.2266610144107579</v>
      </c>
      <c r="T101" s="18">
        <f t="shared" si="105"/>
        <v>1.6868457033423656</v>
      </c>
      <c r="U101" s="18">
        <f t="shared" si="106"/>
        <v>-9.6107755548469065E-3</v>
      </c>
      <c r="W101" t="str">
        <f t="shared" si="107"/>
        <v>63 Community and civil enforcement occupations</v>
      </c>
      <c r="X101" s="18">
        <f t="shared" si="108"/>
        <v>3.9219523730462225</v>
      </c>
      <c r="Y101" s="18">
        <f t="shared" si="108"/>
        <v>-11.807203097873199</v>
      </c>
      <c r="Z101" s="18">
        <f t="shared" si="108"/>
        <v>5.6005329454194008</v>
      </c>
      <c r="AA101" s="18">
        <f t="shared" si="108"/>
        <v>-0.18932670712854538</v>
      </c>
      <c r="AB101" s="18">
        <f t="shared" si="109"/>
        <v>1.7044666864976632</v>
      </c>
      <c r="AD101" s="18">
        <f t="shared" si="110"/>
        <v>1.7044666864976632</v>
      </c>
      <c r="AE101" s="18">
        <f t="shared" si="111"/>
        <v>3.9441643404867444</v>
      </c>
      <c r="AF101" s="18">
        <f t="shared" si="112"/>
        <v>4.9869030036574058</v>
      </c>
    </row>
    <row r="102" spans="1:32" x14ac:dyDescent="0.2">
      <c r="A102" t="str">
        <f t="shared" si="95"/>
        <v>71 Sales occupations</v>
      </c>
      <c r="B102" s="18">
        <f t="shared" si="96"/>
        <v>-0.90031530514602665</v>
      </c>
      <c r="C102" s="18">
        <f t="shared" si="96"/>
        <v>-0.29243662389947245</v>
      </c>
      <c r="D102" s="18">
        <f t="shared" si="96"/>
        <v>-1.4312850468535254</v>
      </c>
      <c r="E102" s="18">
        <f t="shared" si="96"/>
        <v>-0.48275150076948492</v>
      </c>
      <c r="F102" s="18">
        <f t="shared" si="97"/>
        <v>-0.79993923642365239</v>
      </c>
      <c r="H102" s="18">
        <f t="shared" si="98"/>
        <v>-0.79993923642365239</v>
      </c>
      <c r="I102" s="18">
        <f t="shared" si="99"/>
        <v>2.2929688959722805</v>
      </c>
      <c r="J102" s="18">
        <f t="shared" si="100"/>
        <v>1.7201672535342327</v>
      </c>
      <c r="L102" t="str">
        <f t="shared" si="101"/>
        <v>71 Sales occupations</v>
      </c>
      <c r="M102" s="18">
        <f t="shared" si="102"/>
        <v>0.19820861787358535</v>
      </c>
      <c r="N102" s="18">
        <f t="shared" si="102"/>
        <v>-0.65079119701508814</v>
      </c>
      <c r="O102" s="18">
        <f t="shared" si="102"/>
        <v>-0.87633720813046212</v>
      </c>
      <c r="P102" s="18">
        <f t="shared" si="102"/>
        <v>-7.3591013048734943E-2</v>
      </c>
      <c r="Q102" s="18">
        <f t="shared" si="103"/>
        <v>-0.34189282207814919</v>
      </c>
      <c r="S102" s="18">
        <f t="shared" si="104"/>
        <v>-0.34189282207814919</v>
      </c>
      <c r="T102" s="18">
        <f t="shared" si="105"/>
        <v>1.8647770407946629</v>
      </c>
      <c r="U102" s="18">
        <f t="shared" si="106"/>
        <v>1.6023525433040975</v>
      </c>
      <c r="W102" t="str">
        <f t="shared" si="107"/>
        <v>71 Sales occupations</v>
      </c>
      <c r="X102" s="18">
        <f t="shared" si="108"/>
        <v>-1.7545859511251649</v>
      </c>
      <c r="Y102" s="18">
        <f t="shared" si="108"/>
        <v>2.8543326828778248E-4</v>
      </c>
      <c r="Z102" s="18">
        <f t="shared" si="108"/>
        <v>-1.8910110994512119</v>
      </c>
      <c r="AA102" s="18">
        <f t="shared" si="108"/>
        <v>-0.84473493015265744</v>
      </c>
      <c r="AB102" s="18">
        <f t="shared" si="109"/>
        <v>-1.1947275840226035</v>
      </c>
      <c r="AD102" s="18">
        <f t="shared" si="110"/>
        <v>-1.1947275840226035</v>
      </c>
      <c r="AE102" s="18">
        <f t="shared" si="111"/>
        <v>2.622906234419542</v>
      </c>
      <c r="AF102" s="18">
        <f t="shared" si="112"/>
        <v>1.8143929320674657</v>
      </c>
    </row>
    <row r="103" spans="1:32" x14ac:dyDescent="0.2">
      <c r="A103" t="str">
        <f t="shared" si="95"/>
        <v>72 Customer service occupations</v>
      </c>
      <c r="B103" s="18">
        <f t="shared" si="96"/>
        <v>0.65798081717145518</v>
      </c>
      <c r="C103" s="18">
        <f t="shared" si="96"/>
        <v>1.8016657880263853</v>
      </c>
      <c r="D103" s="18">
        <f t="shared" si="96"/>
        <v>4.9756147096529979</v>
      </c>
      <c r="E103" s="18">
        <f t="shared" si="96"/>
        <v>1.2517366268002261</v>
      </c>
      <c r="F103" s="18">
        <f t="shared" si="97"/>
        <v>2.4781152385781713</v>
      </c>
      <c r="H103" s="18">
        <f t="shared" si="98"/>
        <v>2.4781152385781713</v>
      </c>
      <c r="I103" s="18">
        <f t="shared" si="99"/>
        <v>3.15283550133727</v>
      </c>
      <c r="J103" s="18">
        <f t="shared" si="100"/>
        <v>4.8563550897995578</v>
      </c>
      <c r="L103" t="str">
        <f t="shared" si="101"/>
        <v>72 Customer service occupations</v>
      </c>
      <c r="M103" s="18">
        <f t="shared" si="102"/>
        <v>-3.2005141681720861</v>
      </c>
      <c r="N103" s="18">
        <f t="shared" si="102"/>
        <v>14.636390577914881</v>
      </c>
      <c r="O103" s="18">
        <f t="shared" si="102"/>
        <v>6.6893996360113617</v>
      </c>
      <c r="P103" s="18">
        <f t="shared" si="102"/>
        <v>1.7557333550721532</v>
      </c>
      <c r="Q103" s="18">
        <f t="shared" si="103"/>
        <v>3.3744034034049353</v>
      </c>
      <c r="S103" s="18">
        <f t="shared" si="104"/>
        <v>3.3744034034049353</v>
      </c>
      <c r="T103" s="18">
        <f t="shared" si="105"/>
        <v>2.6747770900910073</v>
      </c>
      <c r="U103" s="18">
        <f t="shared" si="106"/>
        <v>5.1729796782283843</v>
      </c>
      <c r="W103" t="str">
        <f t="shared" si="107"/>
        <v>72 Customer service occupations</v>
      </c>
      <c r="X103" s="18">
        <f t="shared" si="108"/>
        <v>2.6549636953469236</v>
      </c>
      <c r="Y103" s="18">
        <f t="shared" si="108"/>
        <v>-3.9298019437525644</v>
      </c>
      <c r="Z103" s="18">
        <f t="shared" si="108"/>
        <v>4.0146665454723118</v>
      </c>
      <c r="AA103" s="18">
        <f t="shared" si="108"/>
        <v>0.93549555531149409</v>
      </c>
      <c r="AB103" s="18">
        <f t="shared" si="109"/>
        <v>1.9516221224020525</v>
      </c>
      <c r="AD103" s="18">
        <f t="shared" si="110"/>
        <v>1.9516221224020525</v>
      </c>
      <c r="AE103" s="18">
        <f t="shared" si="111"/>
        <v>3.3954383497584173</v>
      </c>
      <c r="AF103" s="18">
        <f t="shared" si="112"/>
        <v>4.6820105989334726</v>
      </c>
    </row>
    <row r="104" spans="1:32" x14ac:dyDescent="0.2">
      <c r="A104" t="str">
        <f t="shared" si="95"/>
        <v>81 Process, plant and machine operatives</v>
      </c>
      <c r="B104" s="18">
        <f t="shared" si="96"/>
        <v>-0.4878995884958881</v>
      </c>
      <c r="C104" s="18">
        <f t="shared" si="96"/>
        <v>-12.462403945570543</v>
      </c>
      <c r="D104" s="18">
        <f t="shared" si="96"/>
        <v>4.2156031513086445</v>
      </c>
      <c r="E104" s="18">
        <f t="shared" si="96"/>
        <v>-2.1964319741007987E-2</v>
      </c>
      <c r="F104" s="18">
        <f t="shared" si="97"/>
        <v>1.371058632450084</v>
      </c>
      <c r="H104" s="18">
        <f t="shared" si="98"/>
        <v>1.371058632450084</v>
      </c>
      <c r="I104" s="18">
        <f t="shared" si="99"/>
        <v>2.5465275164714862</v>
      </c>
      <c r="J104" s="18">
        <f t="shared" si="100"/>
        <v>3.5388639483222128</v>
      </c>
      <c r="L104" t="str">
        <f t="shared" si="101"/>
        <v>81 Process, plant and machine operatives</v>
      </c>
      <c r="M104" s="18">
        <f t="shared" si="102"/>
        <v>-0.52018855047701873</v>
      </c>
      <c r="N104" s="18">
        <f t="shared" si="102"/>
        <v>-12.545597929472496</v>
      </c>
      <c r="O104" s="18">
        <f t="shared" si="102"/>
        <v>4.338664506740697</v>
      </c>
      <c r="P104" s="18">
        <f t="shared" si="102"/>
        <v>-2.1059454635163899E-2</v>
      </c>
      <c r="Q104" s="18">
        <f t="shared" si="103"/>
        <v>1.4115556322310985</v>
      </c>
      <c r="S104" s="18">
        <f t="shared" si="104"/>
        <v>1.4115556322310985</v>
      </c>
      <c r="T104" s="18">
        <f t="shared" si="105"/>
        <v>2.4573751895701879</v>
      </c>
      <c r="U104" s="18">
        <f t="shared" si="106"/>
        <v>3.4914759323771527</v>
      </c>
      <c r="W104" t="str">
        <f t="shared" si="107"/>
        <v>81 Process, plant and machine operatives</v>
      </c>
      <c r="X104" s="18">
        <f t="shared" si="108"/>
        <v>-0.33132974161264039</v>
      </c>
      <c r="Y104" s="18">
        <f t="shared" si="108"/>
        <v>-12.060902298976217</v>
      </c>
      <c r="Z104" s="18">
        <f t="shared" si="108"/>
        <v>3.6167315446955506</v>
      </c>
      <c r="AA104" s="18">
        <f t="shared" si="108"/>
        <v>-2.6461718983594729E-2</v>
      </c>
      <c r="AB104" s="18">
        <f t="shared" si="109"/>
        <v>1.1734760953552303</v>
      </c>
      <c r="AD104" s="18">
        <f t="shared" si="110"/>
        <v>1.1734760953552303</v>
      </c>
      <c r="AE104" s="18">
        <f t="shared" si="111"/>
        <v>2.9599457786594119</v>
      </c>
      <c r="AF104" s="18">
        <f t="shared" si="112"/>
        <v>3.7621719714091784</v>
      </c>
    </row>
    <row r="105" spans="1:32" x14ac:dyDescent="0.2">
      <c r="A105" t="str">
        <f t="shared" si="95"/>
        <v>82 Transport and mobile machine drivers and operatives</v>
      </c>
      <c r="B105" s="18">
        <f t="shared" si="96"/>
        <v>2.0506836867862033</v>
      </c>
      <c r="C105" s="18">
        <f t="shared" si="96"/>
        <v>-16.666766963913737</v>
      </c>
      <c r="D105" s="18">
        <f t="shared" si="96"/>
        <v>1.5836934060534213</v>
      </c>
      <c r="E105" s="18">
        <f t="shared" si="96"/>
        <v>2.872682747145916E-2</v>
      </c>
      <c r="F105" s="18">
        <f t="shared" si="97"/>
        <v>0.54438617047769533</v>
      </c>
      <c r="H105" s="18">
        <f t="shared" si="98"/>
        <v>0.54438617047769533</v>
      </c>
      <c r="I105" s="18">
        <f t="shared" si="99"/>
        <v>3.0213993484147439</v>
      </c>
      <c r="J105" s="18">
        <f t="shared" si="100"/>
        <v>3.3851319881452069</v>
      </c>
      <c r="L105" t="str">
        <f t="shared" si="101"/>
        <v>82 Transport and mobile machine drivers and operatives</v>
      </c>
      <c r="M105" s="18">
        <f t="shared" si="102"/>
        <v>2.3642566111212959</v>
      </c>
      <c r="N105" s="18">
        <f t="shared" si="102"/>
        <v>-16.883308404728648</v>
      </c>
      <c r="O105" s="18">
        <f t="shared" si="102"/>
        <v>0.84469598392744594</v>
      </c>
      <c r="P105" s="18">
        <f t="shared" si="102"/>
        <v>-0.18638233650869473</v>
      </c>
      <c r="Q105" s="18">
        <f t="shared" si="103"/>
        <v>0.1561337293054077</v>
      </c>
      <c r="S105" s="18">
        <f t="shared" si="104"/>
        <v>0.1561337293054077</v>
      </c>
      <c r="T105" s="18">
        <f t="shared" si="105"/>
        <v>2.8830894014228559</v>
      </c>
      <c r="U105" s="18">
        <f t="shared" si="106"/>
        <v>2.9883631651819842</v>
      </c>
      <c r="W105" t="str">
        <f t="shared" si="107"/>
        <v>82 Transport and mobile machine drivers and operatives</v>
      </c>
      <c r="X105" s="18">
        <f t="shared" si="108"/>
        <v>-1.0042535133826802</v>
      </c>
      <c r="Y105" s="18">
        <f t="shared" si="108"/>
        <v>-14.371768504414195</v>
      </c>
      <c r="Z105" s="18">
        <f t="shared" si="108"/>
        <v>8.1661978458781093</v>
      </c>
      <c r="AA105" s="18">
        <f t="shared" si="108"/>
        <v>1.4747070590424238</v>
      </c>
      <c r="AB105" s="18">
        <f t="shared" si="109"/>
        <v>3.6578966466487284</v>
      </c>
      <c r="AD105" s="18">
        <f t="shared" si="110"/>
        <v>3.6578966466487284</v>
      </c>
      <c r="AE105" s="18">
        <f t="shared" si="111"/>
        <v>4.3115131949632124</v>
      </c>
      <c r="AF105" s="18">
        <f t="shared" si="112"/>
        <v>6.5709930622368073</v>
      </c>
    </row>
    <row r="106" spans="1:32" x14ac:dyDescent="0.2">
      <c r="A106" t="str">
        <f t="shared" si="95"/>
        <v>91 Elementary trades and related occupations</v>
      </c>
      <c r="B106" s="18">
        <f t="shared" si="96"/>
        <v>-3.3362406122738775</v>
      </c>
      <c r="C106" s="18">
        <f t="shared" si="96"/>
        <v>-10.928940503006201</v>
      </c>
      <c r="D106" s="18">
        <f t="shared" si="96"/>
        <v>-3.1956016970361212</v>
      </c>
      <c r="E106" s="18">
        <f t="shared" si="96"/>
        <v>-0.48479961610221611</v>
      </c>
      <c r="F106" s="18">
        <f t="shared" si="97"/>
        <v>-1.3967314942990194</v>
      </c>
      <c r="H106" s="18">
        <f t="shared" si="98"/>
        <v>-1.3967314942990194</v>
      </c>
      <c r="I106" s="18">
        <f t="shared" si="99"/>
        <v>1.8336773821790775</v>
      </c>
      <c r="J106" s="18">
        <f t="shared" si="100"/>
        <v>0.77699880753598904</v>
      </c>
      <c r="L106" t="str">
        <f t="shared" si="101"/>
        <v>91 Elementary trades and related occupations</v>
      </c>
      <c r="M106" s="18">
        <f t="shared" si="102"/>
        <v>-2.675244860124526</v>
      </c>
      <c r="N106" s="18">
        <f t="shared" si="102"/>
        <v>-10.633858670061935</v>
      </c>
      <c r="O106" s="18">
        <f t="shared" si="102"/>
        <v>-3.3639283210290305</v>
      </c>
      <c r="P106" s="18">
        <f t="shared" si="102"/>
        <v>-0.48262705097079639</v>
      </c>
      <c r="Q106" s="18">
        <f t="shared" si="103"/>
        <v>-1.4524819045375059</v>
      </c>
      <c r="S106" s="18">
        <f t="shared" si="104"/>
        <v>-1.4524819045375059</v>
      </c>
      <c r="T106" s="18">
        <f t="shared" si="105"/>
        <v>1.6337449151424543</v>
      </c>
      <c r="U106" s="18">
        <f t="shared" si="106"/>
        <v>0.50269724513096747</v>
      </c>
      <c r="W106" t="str">
        <f t="shared" si="107"/>
        <v>91 Elementary trades and related occupations</v>
      </c>
      <c r="X106" s="18">
        <f t="shared" si="108"/>
        <v>-6.2243425452734087</v>
      </c>
      <c r="Y106" s="18">
        <f t="shared" si="108"/>
        <v>-12.344494486415126</v>
      </c>
      <c r="Z106" s="18">
        <f t="shared" si="108"/>
        <v>-2.3887736668998349</v>
      </c>
      <c r="AA106" s="18">
        <f t="shared" si="108"/>
        <v>-0.49491050382182156</v>
      </c>
      <c r="AB106" s="18">
        <f t="shared" si="109"/>
        <v>-1.1302461818607501</v>
      </c>
      <c r="AD106" s="18">
        <f t="shared" si="110"/>
        <v>-1.1302461818607501</v>
      </c>
      <c r="AE106" s="18">
        <f t="shared" si="111"/>
        <v>2.7395374958000929</v>
      </c>
      <c r="AF106" s="18">
        <f t="shared" si="112"/>
        <v>1.9862391209272356</v>
      </c>
    </row>
    <row r="107" spans="1:32" x14ac:dyDescent="0.2">
      <c r="A107" t="str">
        <f t="shared" si="95"/>
        <v>92 Elementary administration and service occupations</v>
      </c>
      <c r="B107" s="18">
        <f t="shared" si="96"/>
        <v>-0.79743751296854626</v>
      </c>
      <c r="C107" s="18">
        <f t="shared" si="96"/>
        <v>-8.7075399550220816</v>
      </c>
      <c r="D107" s="18">
        <f t="shared" si="96"/>
        <v>0.66263370387436016</v>
      </c>
      <c r="E107" s="18">
        <f t="shared" si="96"/>
        <v>-0.29147319404383421</v>
      </c>
      <c r="F107" s="18">
        <f t="shared" si="97"/>
        <v>2.5553373789466427E-2</v>
      </c>
      <c r="H107" s="18">
        <f t="shared" si="98"/>
        <v>2.5553373789466427E-2</v>
      </c>
      <c r="I107" s="18">
        <f t="shared" si="99"/>
        <v>2.7148334174159183</v>
      </c>
      <c r="J107" s="18">
        <f t="shared" si="100"/>
        <v>2.7324062085632983</v>
      </c>
      <c r="L107" t="str">
        <f t="shared" si="101"/>
        <v>92 Elementary administration and service occupations</v>
      </c>
      <c r="M107" s="18">
        <f t="shared" si="102"/>
        <v>-1.2678744098507</v>
      </c>
      <c r="N107" s="18">
        <f t="shared" si="102"/>
        <v>-7.4873304996727175</v>
      </c>
      <c r="O107" s="18">
        <f t="shared" si="102"/>
        <v>1.4378096735617074</v>
      </c>
      <c r="P107" s="18">
        <f t="shared" si="102"/>
        <v>-0.48941857463733474</v>
      </c>
      <c r="Q107" s="18">
        <f t="shared" si="103"/>
        <v>0.14888769931784562</v>
      </c>
      <c r="S107" s="18">
        <f t="shared" si="104"/>
        <v>0.14888769931784562</v>
      </c>
      <c r="T107" s="18">
        <f t="shared" si="105"/>
        <v>2.3216950320926522</v>
      </c>
      <c r="U107" s="18">
        <f t="shared" si="106"/>
        <v>2.4299934396074807</v>
      </c>
      <c r="W107" t="str">
        <f t="shared" si="107"/>
        <v>92 Elementary administration and service occupations</v>
      </c>
      <c r="X107" s="18">
        <f t="shared" si="108"/>
        <v>-0.38445565536429083</v>
      </c>
      <c r="Y107" s="18">
        <f t="shared" si="108"/>
        <v>-9.7551290538543718</v>
      </c>
      <c r="Z107" s="18">
        <f t="shared" si="108"/>
        <v>-3.9931209501198328E-2</v>
      </c>
      <c r="AA107" s="18">
        <f t="shared" si="108"/>
        <v>-0.10720257762317775</v>
      </c>
      <c r="AB107" s="18">
        <f t="shared" si="109"/>
        <v>-8.4783820026301804E-2</v>
      </c>
      <c r="AD107" s="18">
        <f t="shared" si="110"/>
        <v>-8.4783820026301804E-2</v>
      </c>
      <c r="AE107" s="18">
        <f t="shared" si="111"/>
        <v>3.044221112784129</v>
      </c>
      <c r="AF107" s="18">
        <f t="shared" si="112"/>
        <v>2.9886248188531139</v>
      </c>
    </row>
    <row r="108" spans="1:32" x14ac:dyDescent="0.2">
      <c r="C108" s="18"/>
      <c r="F108" s="18"/>
      <c r="H108" s="18"/>
      <c r="I108" s="18"/>
      <c r="J108" s="18"/>
      <c r="N108" s="18"/>
      <c r="Q108" s="18"/>
      <c r="S108" s="18"/>
      <c r="T108" s="18"/>
      <c r="U108" s="18"/>
      <c r="Y108" s="18"/>
      <c r="AB108" s="18"/>
      <c r="AD108" s="18"/>
      <c r="AE108" s="18"/>
      <c r="AF108" s="18"/>
    </row>
    <row r="109" spans="1:32" x14ac:dyDescent="0.2">
      <c r="A109" s="24" t="str">
        <f>A35</f>
        <v>All occupations</v>
      </c>
      <c r="B109" s="26">
        <f>IF(AND(C$6-B$6 &lt;&gt; 0,B35&lt;&gt;0,C35&lt;&gt;0),(EXP(LN(C35/B35)/(C$6-B$6))-1)*100,0)</f>
        <v>0.50039053026922353</v>
      </c>
      <c r="C109" s="26">
        <f>IF(AND(D$6-C$6 &lt;&gt; 0,C35&lt;&gt;0,D35&lt;&gt;0),(EXP(LN(D35/C35)/(D$6-C$6))-1)*100,0)</f>
        <v>-2.0181336258526694</v>
      </c>
      <c r="D109" s="26">
        <f>IF(AND(E$6-D$6 &lt;&gt; 0,D35&lt;&gt;0,E35&lt;&gt;0),(EXP(LN(E35/D35)/(E$6-D$6))-1)*100,0)</f>
        <v>0.57938709657918697</v>
      </c>
      <c r="E109" s="26">
        <f>IF(AND(F$6-E$6 &lt;&gt; 0,E35&lt;&gt;0,F35&lt;&gt;0),(EXP(LN(F35/E35)/(F$6-E$6))-1)*100,0)</f>
        <v>0.39187955008854747</v>
      </c>
      <c r="F109" s="26">
        <f t="shared" ref="F109" si="113">IF(AND(F$6-D$6 &lt;&gt; 0,D35&lt;&gt;0,F35&lt;&gt;0),(EXP(LN(F35/D35)/(F$6-D$6))-1)*100,0)</f>
        <v>0.45434319276140833</v>
      </c>
      <c r="H109" s="26">
        <f t="shared" ref="H109" si="114">IF($F$6-$D$6 &lt;&gt; 0,(EXP(LN(1+(H72/100))/($F$6-$D$6))-1)*100,0)</f>
        <v>0.45434319276140833</v>
      </c>
      <c r="I109" s="26">
        <f>IF(D35&gt;0,((1+(I35/D35))^(1/($F$6-$D$6))-1)*100,0)</f>
        <v>2.7272053690730935</v>
      </c>
      <c r="J109" s="26">
        <f t="shared" ref="J109" si="115">IF($F$6-$D$6 &lt;&gt; 0,(EXP(LN(1+(J72/100))/($F$6-$D$6))-1)*100,0)</f>
        <v>3.0422021500962071</v>
      </c>
      <c r="L109" s="24" t="str">
        <f>L35</f>
        <v>All occupations</v>
      </c>
      <c r="M109" s="26">
        <f>IF(AND(N$6-M$6 &lt;&gt; 0,M35&lt;&gt;0,N35&lt;&gt;0),(EXP(LN(N35/M35)/(N$6-M$6))-1)*100,0)</f>
        <v>0.21728246186971667</v>
      </c>
      <c r="N109" s="26">
        <f>IF(AND(O$6-N$6 &lt;&gt; 0,N35&lt;&gt;0,O35&lt;&gt;0),(EXP(LN(O35/N35)/(O$6-N$6))-1)*100,0)</f>
        <v>-3.14619330394319</v>
      </c>
      <c r="O109" s="26">
        <f>IF(AND(P$6-O$6 &lt;&gt; 0,O35&lt;&gt;0,P35&lt;&gt;0),(EXP(LN(P35/O35)/(P$6-O$6))-1)*100,0)</f>
        <v>0.6295151665045573</v>
      </c>
      <c r="P109" s="26">
        <f>IF(AND(Q$6-P$6 &lt;&gt; 0,P35&lt;&gt;0,Q35&lt;&gt;0),(EXP(LN(Q35/P35)/(Q$6-P$6))-1)*100,0)</f>
        <v>0.39584849161231617</v>
      </c>
      <c r="Q109" s="26">
        <f t="shared" ref="Q109" si="116">IF(AND(Q$6-O$6 &lt;&gt; 0,O35&lt;&gt;0,Q35&lt;&gt;0),(EXP(LN(Q35/O35)/(Q$6-O$6))-1)*100,0)</f>
        <v>0.4736770336640328</v>
      </c>
      <c r="S109" s="26">
        <f t="shared" ref="S109" si="117">IF($F$6-$D$6 &lt;&gt; 0,(EXP(LN(1+(S72/100))/($F$6-$D$6))-1)*100,0)</f>
        <v>0.4736770336640328</v>
      </c>
      <c r="T109" s="26">
        <f t="shared" ref="T109" si="118">IF(O35&gt;0,((1+(T35/O35))^(1/($F$6-$D$6))-1)*100,0)</f>
        <v>2.3510427249093135</v>
      </c>
      <c r="U109" s="26">
        <f t="shared" ref="U109" si="119">IF($F$6-$D$6 &lt;&gt; 0,(EXP(LN(1+(U72/100))/($F$6-$D$6))-1)*100,0)</f>
        <v>2.6964713726156608</v>
      </c>
      <c r="W109" s="24" t="str">
        <f>W35</f>
        <v>All occupations</v>
      </c>
      <c r="X109" s="26">
        <f>IF(AND(Y$6-X$6 &lt;&gt; 0,X35&lt;&gt;0,Y35&lt;&gt;0),(EXP(LN(Y35/X35)/(Y$6-X$6))-1)*100,0)</f>
        <v>0.80678853405464768</v>
      </c>
      <c r="Y109" s="26">
        <f>IF(AND(Z$6-Y$6 &lt;&gt; 0,Y35&lt;&gt;0,Z35&lt;&gt;0),(EXP(LN(Z35/Y35)/(Z$6-Y$6))-1)*100,0)</f>
        <v>-0.81504333329301959</v>
      </c>
      <c r="Z109" s="26">
        <f>IF(AND(AA$6-Z$6 &lt;&gt; 0,Z35&lt;&gt;0,AA35&lt;&gt;0),(EXP(LN(AA35/Z35)/(AA$6-Z$6))-1)*100,0)</f>
        <v>0.52707493379775539</v>
      </c>
      <c r="AA109" s="26">
        <f>IF(AND(AB$6-AA$6 &lt;&gt; 0,AA35&lt;&gt;0,AB35&lt;&gt;0),(EXP(LN(AB35/AA35)/(AB$6-AA$6))-1)*100,0)</f>
        <v>0.3877234923316264</v>
      </c>
      <c r="AB109" s="26">
        <f t="shared" ref="AB109" si="120">IF(AND(AB$6-Z$6 &lt;&gt; 0,Z35&lt;&gt;0,AB35&lt;&gt;0),(EXP(LN(AB35/Z35)/(AB$6-Z$6))-1)*100,0)</f>
        <v>0.43415249624276786</v>
      </c>
      <c r="AD109" s="26">
        <f t="shared" ref="AD109" si="121">IF($F$6-$D$6 &lt;&gt; 0,(EXP(LN(1+(AD72/100))/($F$6-$D$6))-1)*100,0)</f>
        <v>0.43415249624276786</v>
      </c>
      <c r="AE109" s="26">
        <f t="shared" ref="AE109" si="122">IF(Z35&gt;0,((1+(AE35/Z35))^(1/($F$6-$D$6))-1)*100,0)</f>
        <v>3.0994811221212615</v>
      </c>
      <c r="AF109" s="26">
        <f t="shared" ref="AF109" si="123">IF($F$6-$D$6 &lt;&gt; 0,(EXP(LN(1+(AF72/100))/($F$6-$D$6))-1)*100,0)</f>
        <v>3.3857906511452596</v>
      </c>
    </row>
    <row r="112" spans="1:32" ht="15.75" x14ac:dyDescent="0.25">
      <c r="A112" s="19" t="str">
        <f>CONCATENATE(A$1," (Continued)")</f>
        <v>Occupation Table 2  Employment Change by Occupation (SOC 2020) and Replacement Demand, 2015-2035, Enterprise M3 (Continued)</v>
      </c>
      <c r="L112" s="19" t="str">
        <f>CONCATENATE(L$1," (Continued)")</f>
        <v>Occupation Table 2.1  Males: Employment Change by Occupation (SOC 2020) and Replacement Demand, 2015-2035, Enterprise M3 (Continued)</v>
      </c>
      <c r="W112" s="19" t="str">
        <f>CONCATENATE(W$1," (Continued)")</f>
        <v>Occupation Table 2.2  Females: Employment Change by Occupation (SOC 2020) and Replacement Demand, 2015-2035, Enterprise M3 (Continued)</v>
      </c>
    </row>
    <row r="114" spans="1:28" x14ac:dyDescent="0.2">
      <c r="F114" s="16" t="s">
        <v>36</v>
      </c>
      <c r="Q114" s="16" t="s">
        <v>36</v>
      </c>
      <c r="AB114" s="16" t="s">
        <v>36</v>
      </c>
    </row>
    <row r="115" spans="1:28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</row>
    <row r="117" spans="1:28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</row>
    <row r="118" spans="1:28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</row>
    <row r="119" spans="1:28" x14ac:dyDescent="0.2">
      <c r="A119" t="str">
        <f t="shared" ref="A119:A144" si="124">A8</f>
        <v>11 Corporate managers and directors</v>
      </c>
      <c r="B119" s="27">
        <f t="shared" ref="B119:E144" si="125">C8-B8</f>
        <v>9.6807629695712905</v>
      </c>
      <c r="C119" s="27">
        <f t="shared" si="125"/>
        <v>0.52568312214005175</v>
      </c>
      <c r="D119" s="27">
        <f t="shared" si="125"/>
        <v>-4.4637589503294777</v>
      </c>
      <c r="E119" s="27">
        <f t="shared" si="125"/>
        <v>6.7898580168406397</v>
      </c>
      <c r="F119" s="27">
        <f t="shared" ref="F119:F144" si="126">F8-D8</f>
        <v>2.3260990665111621</v>
      </c>
      <c r="L119" t="str">
        <f t="shared" ref="L119:L144" si="127">L8</f>
        <v>11 Corporate managers and directors</v>
      </c>
      <c r="M119" s="27">
        <f t="shared" ref="M119:P144" si="128">N8-M8</f>
        <v>4.2914837372219381</v>
      </c>
      <c r="N119" s="27">
        <f t="shared" si="128"/>
        <v>-1.805126439830218E-2</v>
      </c>
      <c r="O119" s="27">
        <f t="shared" si="128"/>
        <v>-4.3659294023608908</v>
      </c>
      <c r="P119" s="27">
        <f t="shared" si="128"/>
        <v>2.378651899805547</v>
      </c>
      <c r="Q119" s="27">
        <f t="shared" ref="Q119:Q144" si="129">Q8-O8</f>
        <v>-1.9872775025553437</v>
      </c>
      <c r="W119" t="str">
        <f t="shared" ref="W119:W144" si="130">W8</f>
        <v>11 Corporate managers and directors</v>
      </c>
      <c r="X119" s="27">
        <f t="shared" ref="X119:AA144" si="131">Y8-X8</f>
        <v>5.3892792323493701</v>
      </c>
      <c r="Y119" s="27">
        <f t="shared" si="131"/>
        <v>0.54373438653838235</v>
      </c>
      <c r="Z119" s="27">
        <f t="shared" si="131"/>
        <v>-9.7829547968505182E-2</v>
      </c>
      <c r="AA119" s="27">
        <f t="shared" si="131"/>
        <v>4.4112061170351211</v>
      </c>
      <c r="AB119" s="27">
        <f t="shared" ref="AB119:AB144" si="132">AB8-Z8</f>
        <v>4.3133765690666159</v>
      </c>
    </row>
    <row r="120" spans="1:28" x14ac:dyDescent="0.2">
      <c r="A120" t="str">
        <f t="shared" si="124"/>
        <v>12 Other managers and proprietors</v>
      </c>
      <c r="B120" s="27">
        <f t="shared" si="125"/>
        <v>0.41040026951381492</v>
      </c>
      <c r="C120" s="27">
        <f t="shared" si="125"/>
        <v>-0.51030624615310671</v>
      </c>
      <c r="D120" s="27">
        <f t="shared" si="125"/>
        <v>8.2261659981938671</v>
      </c>
      <c r="E120" s="27">
        <f t="shared" si="125"/>
        <v>6.4672383650337864</v>
      </c>
      <c r="F120" s="27">
        <f t="shared" si="126"/>
        <v>14.693404363227653</v>
      </c>
      <c r="L120" t="str">
        <f t="shared" si="127"/>
        <v>12 Other managers and proprietors</v>
      </c>
      <c r="M120" s="27">
        <f t="shared" si="128"/>
        <v>0.12425464158711463</v>
      </c>
      <c r="N120" s="27">
        <f t="shared" si="128"/>
        <v>-1.1060090432341205</v>
      </c>
      <c r="O120" s="27">
        <f t="shared" si="128"/>
        <v>4.9340752344752161</v>
      </c>
      <c r="P120" s="27">
        <f t="shared" si="128"/>
        <v>3.1573199108369749</v>
      </c>
      <c r="Q120" s="27">
        <f t="shared" si="129"/>
        <v>8.0913951453121911</v>
      </c>
      <c r="W120" t="str">
        <f t="shared" si="130"/>
        <v>12 Other managers and proprietors</v>
      </c>
      <c r="X120" s="27">
        <f t="shared" si="131"/>
        <v>0.28614562792672693</v>
      </c>
      <c r="Y120" s="27">
        <f t="shared" si="131"/>
        <v>0.59570279708097829</v>
      </c>
      <c r="Z120" s="27">
        <f t="shared" si="131"/>
        <v>3.2920907637187167</v>
      </c>
      <c r="AA120" s="27">
        <f t="shared" si="131"/>
        <v>3.3099184541968647</v>
      </c>
      <c r="AB120" s="27">
        <f t="shared" si="132"/>
        <v>6.6020092179155814</v>
      </c>
    </row>
    <row r="121" spans="1:28" x14ac:dyDescent="0.2">
      <c r="A121" t="str">
        <f t="shared" si="124"/>
        <v>21 Science, research, engineering and technology professionals</v>
      </c>
      <c r="B121" s="27">
        <f t="shared" si="125"/>
        <v>4.7858453994939651</v>
      </c>
      <c r="C121" s="27">
        <f t="shared" si="125"/>
        <v>1.9707712507242405</v>
      </c>
      <c r="D121" s="27">
        <f t="shared" si="125"/>
        <v>4.5207559197920801</v>
      </c>
      <c r="E121" s="27">
        <f t="shared" si="125"/>
        <v>7.5238565569116389</v>
      </c>
      <c r="F121" s="27">
        <f t="shared" si="126"/>
        <v>12.044612476703719</v>
      </c>
      <c r="L121" t="str">
        <f t="shared" si="127"/>
        <v>21 Science, research, engineering and technology professionals</v>
      </c>
      <c r="M121" s="27">
        <f t="shared" si="128"/>
        <v>4.0123472920508902</v>
      </c>
      <c r="N121" s="27">
        <f t="shared" si="128"/>
        <v>-0.69535471573133378</v>
      </c>
      <c r="O121" s="27">
        <f t="shared" si="128"/>
        <v>1.6454667291851663</v>
      </c>
      <c r="P121" s="27">
        <f t="shared" si="128"/>
        <v>4.1964783432016759</v>
      </c>
      <c r="Q121" s="27">
        <f t="shared" si="129"/>
        <v>5.8419450723868422</v>
      </c>
      <c r="W121" t="str">
        <f t="shared" si="130"/>
        <v>21 Science, research, engineering and technology professionals</v>
      </c>
      <c r="X121" s="27">
        <f t="shared" si="131"/>
        <v>0.77349810744300029</v>
      </c>
      <c r="Y121" s="27">
        <f t="shared" si="131"/>
        <v>2.6661259664557679</v>
      </c>
      <c r="Z121" s="27">
        <f t="shared" si="131"/>
        <v>2.8752891906068712</v>
      </c>
      <c r="AA121" s="27">
        <f t="shared" si="131"/>
        <v>3.3273782137098848</v>
      </c>
      <c r="AB121" s="27">
        <f t="shared" si="132"/>
        <v>6.202667404316756</v>
      </c>
    </row>
    <row r="122" spans="1:28" x14ac:dyDescent="0.2">
      <c r="A122" t="str">
        <f t="shared" si="124"/>
        <v>22 Health professionals</v>
      </c>
      <c r="B122" s="27">
        <f t="shared" si="125"/>
        <v>5.537067508021817</v>
      </c>
      <c r="C122" s="27">
        <f t="shared" si="125"/>
        <v>-0.29717352915749018</v>
      </c>
      <c r="D122" s="27">
        <f t="shared" si="125"/>
        <v>1.939240408386901</v>
      </c>
      <c r="E122" s="27">
        <f t="shared" si="125"/>
        <v>1.6994076684207684</v>
      </c>
      <c r="F122" s="27">
        <f t="shared" si="126"/>
        <v>3.6386480768076694</v>
      </c>
      <c r="L122" t="str">
        <f t="shared" si="127"/>
        <v>22 Health professionals</v>
      </c>
      <c r="M122" s="27">
        <f t="shared" si="128"/>
        <v>1.0765133990854592</v>
      </c>
      <c r="N122" s="27">
        <f t="shared" si="128"/>
        <v>0.52254861166015942</v>
      </c>
      <c r="O122" s="27">
        <f t="shared" si="128"/>
        <v>0.39038467321820924</v>
      </c>
      <c r="P122" s="27">
        <f t="shared" si="128"/>
        <v>0.41751034837762191</v>
      </c>
      <c r="Q122" s="27">
        <f t="shared" si="129"/>
        <v>0.80789502159583115</v>
      </c>
      <c r="W122" t="str">
        <f t="shared" si="130"/>
        <v>22 Health professionals</v>
      </c>
      <c r="X122" s="27">
        <f t="shared" si="131"/>
        <v>4.4605541089363285</v>
      </c>
      <c r="Y122" s="27">
        <f t="shared" si="131"/>
        <v>-0.81972214081765316</v>
      </c>
      <c r="Z122" s="27">
        <f t="shared" si="131"/>
        <v>1.54885573516869</v>
      </c>
      <c r="AA122" s="27">
        <f t="shared" si="131"/>
        <v>1.2818973200431536</v>
      </c>
      <c r="AB122" s="27">
        <f t="shared" si="132"/>
        <v>2.8307530552118436</v>
      </c>
    </row>
    <row r="123" spans="1:28" x14ac:dyDescent="0.2">
      <c r="A123" t="str">
        <f t="shared" si="124"/>
        <v>23 Teaching and other educational professionals</v>
      </c>
      <c r="B123" s="27">
        <f t="shared" si="125"/>
        <v>0.90342725542598856</v>
      </c>
      <c r="C123" s="27">
        <f t="shared" si="125"/>
        <v>0.29207138920581599</v>
      </c>
      <c r="D123" s="27">
        <f t="shared" si="125"/>
        <v>1.3239836823541751</v>
      </c>
      <c r="E123" s="27">
        <f t="shared" si="125"/>
        <v>3.1613912168522091</v>
      </c>
      <c r="F123" s="27">
        <f t="shared" si="126"/>
        <v>4.4853748992063842</v>
      </c>
      <c r="L123" t="str">
        <f t="shared" si="127"/>
        <v>23 Teaching and other educational professionals</v>
      </c>
      <c r="M123" s="27">
        <f t="shared" si="128"/>
        <v>-0.36223165080066799</v>
      </c>
      <c r="N123" s="27">
        <f t="shared" si="128"/>
        <v>0.73421567826885692</v>
      </c>
      <c r="O123" s="27">
        <f t="shared" si="128"/>
        <v>0.93812211690284109</v>
      </c>
      <c r="P123" s="27">
        <f t="shared" si="128"/>
        <v>0.99391387859798996</v>
      </c>
      <c r="Q123" s="27">
        <f t="shared" si="129"/>
        <v>1.932035995500831</v>
      </c>
      <c r="W123" t="str">
        <f t="shared" si="130"/>
        <v>23 Teaching and other educational professionals</v>
      </c>
      <c r="X123" s="27">
        <f t="shared" si="131"/>
        <v>1.2656589062266477</v>
      </c>
      <c r="Y123" s="27">
        <f t="shared" si="131"/>
        <v>-0.44214428906294856</v>
      </c>
      <c r="Z123" s="27">
        <f t="shared" si="131"/>
        <v>0.38586156545124695</v>
      </c>
      <c r="AA123" s="27">
        <f t="shared" si="131"/>
        <v>2.167477338254205</v>
      </c>
      <c r="AB123" s="27">
        <f t="shared" si="132"/>
        <v>2.5533389037054519</v>
      </c>
    </row>
    <row r="124" spans="1:28" x14ac:dyDescent="0.2">
      <c r="A124" t="str">
        <f t="shared" si="124"/>
        <v>24 Business, media and public service professionals</v>
      </c>
      <c r="B124" s="27">
        <f t="shared" si="125"/>
        <v>6.3540861194660394</v>
      </c>
      <c r="C124" s="27">
        <f t="shared" si="125"/>
        <v>3.2301432103579373</v>
      </c>
      <c r="D124" s="27">
        <f t="shared" si="125"/>
        <v>7.9950172982940302</v>
      </c>
      <c r="E124" s="27">
        <f t="shared" si="125"/>
        <v>8.1853831434494424</v>
      </c>
      <c r="F124" s="27">
        <f t="shared" si="126"/>
        <v>16.180400441743473</v>
      </c>
      <c r="L124" t="str">
        <f t="shared" si="127"/>
        <v>24 Business, media and public service professionals</v>
      </c>
      <c r="M124" s="27">
        <f t="shared" si="128"/>
        <v>1.7604760399861519</v>
      </c>
      <c r="N124" s="27">
        <f t="shared" si="128"/>
        <v>1.3013527170792258</v>
      </c>
      <c r="O124" s="27">
        <f t="shared" si="128"/>
        <v>4.9061473991029843</v>
      </c>
      <c r="P124" s="27">
        <f t="shared" si="128"/>
        <v>3.8220372578774473</v>
      </c>
      <c r="Q124" s="27">
        <f t="shared" si="129"/>
        <v>8.7281846569804316</v>
      </c>
      <c r="W124" t="str">
        <f t="shared" si="130"/>
        <v>24 Business, media and public service professionals</v>
      </c>
      <c r="X124" s="27">
        <f t="shared" si="131"/>
        <v>4.5936100794798591</v>
      </c>
      <c r="Y124" s="27">
        <f t="shared" si="131"/>
        <v>1.9287904932786262</v>
      </c>
      <c r="Z124" s="27">
        <f t="shared" si="131"/>
        <v>3.0888698991910211</v>
      </c>
      <c r="AA124" s="27">
        <f t="shared" si="131"/>
        <v>4.3633458855721443</v>
      </c>
      <c r="AB124" s="27">
        <f t="shared" si="132"/>
        <v>7.4522157847631654</v>
      </c>
    </row>
    <row r="125" spans="1:28" x14ac:dyDescent="0.2">
      <c r="A125" t="str">
        <f t="shared" si="124"/>
        <v>31 Science, engineering and technology associate professionals</v>
      </c>
      <c r="B125" s="27">
        <f t="shared" si="125"/>
        <v>1.5743920605906023</v>
      </c>
      <c r="C125" s="27">
        <f t="shared" si="125"/>
        <v>1.3027727586852471</v>
      </c>
      <c r="D125" s="27">
        <f t="shared" si="125"/>
        <v>-1.9814878917902981</v>
      </c>
      <c r="E125" s="27">
        <f t="shared" si="125"/>
        <v>1.2258496469089799</v>
      </c>
      <c r="F125" s="27">
        <f t="shared" si="126"/>
        <v>-0.75563824488131814</v>
      </c>
      <c r="L125" t="str">
        <f t="shared" si="127"/>
        <v>31 Science, engineering and technology associate professionals</v>
      </c>
      <c r="M125" s="27">
        <f t="shared" si="128"/>
        <v>1.5510681477344566</v>
      </c>
      <c r="N125" s="27">
        <f t="shared" si="128"/>
        <v>0.33174994052632734</v>
      </c>
      <c r="O125" s="27">
        <f t="shared" si="128"/>
        <v>-2.1662093360159158</v>
      </c>
      <c r="P125" s="27">
        <f t="shared" si="128"/>
        <v>0.17551148458191435</v>
      </c>
      <c r="Q125" s="27">
        <f t="shared" si="129"/>
        <v>-1.9906978514340015</v>
      </c>
      <c r="W125" t="str">
        <f t="shared" si="130"/>
        <v>31 Science, engineering and technology associate professionals</v>
      </c>
      <c r="X125" s="27">
        <f t="shared" si="131"/>
        <v>2.3323912856141327E-2</v>
      </c>
      <c r="Y125" s="27">
        <f t="shared" si="131"/>
        <v>0.97102281815894731</v>
      </c>
      <c r="Z125" s="27">
        <f t="shared" si="131"/>
        <v>0.1847214442256071</v>
      </c>
      <c r="AA125" s="27">
        <f t="shared" si="131"/>
        <v>1.0503381623270585</v>
      </c>
      <c r="AB125" s="27">
        <f t="shared" si="132"/>
        <v>1.2350596065526656</v>
      </c>
    </row>
    <row r="126" spans="1:28" x14ac:dyDescent="0.2">
      <c r="A126" t="str">
        <f t="shared" si="124"/>
        <v>32 Health and social care associate professionals</v>
      </c>
      <c r="B126" s="27">
        <f t="shared" si="125"/>
        <v>1.7384959247458696</v>
      </c>
      <c r="C126" s="27">
        <f t="shared" si="125"/>
        <v>0.25684701401340604</v>
      </c>
      <c r="D126" s="27">
        <f t="shared" si="125"/>
        <v>-3.3820827980928669E-2</v>
      </c>
      <c r="E126" s="27">
        <f t="shared" si="125"/>
        <v>0.89826415565025108</v>
      </c>
      <c r="F126" s="27">
        <f t="shared" si="126"/>
        <v>0.86444332766932241</v>
      </c>
      <c r="L126" t="str">
        <f t="shared" si="127"/>
        <v>32 Health and social care associate professionals</v>
      </c>
      <c r="M126" s="27">
        <f t="shared" si="128"/>
        <v>4.4119129936344592E-2</v>
      </c>
      <c r="N126" s="27">
        <f t="shared" si="128"/>
        <v>0.35423174660051115</v>
      </c>
      <c r="O126" s="27">
        <f t="shared" si="128"/>
        <v>-0.3232791668222772</v>
      </c>
      <c r="P126" s="27">
        <f t="shared" si="128"/>
        <v>0.10880086047220372</v>
      </c>
      <c r="Q126" s="27">
        <f t="shared" si="129"/>
        <v>-0.21447830635007348</v>
      </c>
      <c r="W126" t="str">
        <f t="shared" si="130"/>
        <v>32 Health and social care associate professionals</v>
      </c>
      <c r="X126" s="27">
        <f t="shared" si="131"/>
        <v>1.6943767948095161</v>
      </c>
      <c r="Y126" s="27">
        <f t="shared" si="131"/>
        <v>-9.7384732587089573E-2</v>
      </c>
      <c r="Z126" s="27">
        <f t="shared" si="131"/>
        <v>0.28945833884135652</v>
      </c>
      <c r="AA126" s="27">
        <f t="shared" si="131"/>
        <v>0.78946329517802916</v>
      </c>
      <c r="AB126" s="27">
        <f t="shared" si="132"/>
        <v>1.0789216340193857</v>
      </c>
    </row>
    <row r="127" spans="1:28" x14ac:dyDescent="0.2">
      <c r="A127" t="str">
        <f t="shared" si="124"/>
        <v>33 Protective service occupations</v>
      </c>
      <c r="B127" s="27">
        <f t="shared" si="125"/>
        <v>-0.54297036109828589</v>
      </c>
      <c r="C127" s="27">
        <f t="shared" si="125"/>
        <v>0.48813401760641995</v>
      </c>
      <c r="D127" s="27">
        <f t="shared" si="125"/>
        <v>2.0569618116810648</v>
      </c>
      <c r="E127" s="27">
        <f t="shared" si="125"/>
        <v>1.7192076260074032</v>
      </c>
      <c r="F127" s="27">
        <f t="shared" si="126"/>
        <v>3.776169437688468</v>
      </c>
      <c r="L127" t="str">
        <f t="shared" si="127"/>
        <v>33 Protective service occupations</v>
      </c>
      <c r="M127" s="27">
        <f t="shared" si="128"/>
        <v>-0.70442582554467226</v>
      </c>
      <c r="N127" s="27">
        <f t="shared" si="128"/>
        <v>0.2246871479706547</v>
      </c>
      <c r="O127" s="27">
        <f t="shared" si="128"/>
        <v>1.1568991322708726</v>
      </c>
      <c r="P127" s="27">
        <f t="shared" si="128"/>
        <v>0.65435374821469772</v>
      </c>
      <c r="Q127" s="27">
        <f t="shared" si="129"/>
        <v>1.8112528804855703</v>
      </c>
      <c r="W127" t="str">
        <f t="shared" si="130"/>
        <v>33 Protective service occupations</v>
      </c>
      <c r="X127" s="27">
        <f t="shared" si="131"/>
        <v>0.16145546444637882</v>
      </c>
      <c r="Y127" s="27">
        <f t="shared" si="131"/>
        <v>0.26344686963578168</v>
      </c>
      <c r="Z127" s="27">
        <f t="shared" si="131"/>
        <v>0.90006267941017981</v>
      </c>
      <c r="AA127" s="27">
        <f t="shared" si="131"/>
        <v>1.0648538777927246</v>
      </c>
      <c r="AB127" s="27">
        <f t="shared" si="132"/>
        <v>1.9649165572029044</v>
      </c>
    </row>
    <row r="128" spans="1:28" x14ac:dyDescent="0.2">
      <c r="A128" t="str">
        <f t="shared" si="124"/>
        <v>34 Culture, media and sports occupations</v>
      </c>
      <c r="B128" s="27">
        <f t="shared" si="125"/>
        <v>-2.5899366895089564</v>
      </c>
      <c r="C128" s="27">
        <f t="shared" si="125"/>
        <v>0.86453884964297245</v>
      </c>
      <c r="D128" s="27">
        <f t="shared" si="125"/>
        <v>-5.034640919879152E-2</v>
      </c>
      <c r="E128" s="27">
        <f t="shared" si="125"/>
        <v>2.0661182362063713</v>
      </c>
      <c r="F128" s="27">
        <f t="shared" si="126"/>
        <v>2.0157718270075797</v>
      </c>
      <c r="L128" t="str">
        <f t="shared" si="127"/>
        <v>34 Culture, media and sports occupations</v>
      </c>
      <c r="M128" s="27">
        <f t="shared" si="128"/>
        <v>-2.0352370338682118</v>
      </c>
      <c r="N128" s="27">
        <f t="shared" si="128"/>
        <v>-1.3975532208476693E-2</v>
      </c>
      <c r="O128" s="27">
        <f t="shared" si="128"/>
        <v>0.19893857598123255</v>
      </c>
      <c r="P128" s="27">
        <f t="shared" si="128"/>
        <v>1.3778867573715097</v>
      </c>
      <c r="Q128" s="27">
        <f t="shared" si="129"/>
        <v>1.5768253333527422</v>
      </c>
      <c r="W128" t="str">
        <f t="shared" si="130"/>
        <v>34 Culture, media and sports occupations</v>
      </c>
      <c r="X128" s="27">
        <f t="shared" si="131"/>
        <v>-0.55469965564076062</v>
      </c>
      <c r="Y128" s="27">
        <f t="shared" si="131"/>
        <v>0.87851438185146691</v>
      </c>
      <c r="Z128" s="27">
        <f t="shared" si="131"/>
        <v>-0.24928498518002584</v>
      </c>
      <c r="AA128" s="27">
        <f t="shared" si="131"/>
        <v>0.68823147883483315</v>
      </c>
      <c r="AB128" s="27">
        <f t="shared" si="132"/>
        <v>0.43894649365480731</v>
      </c>
    </row>
    <row r="129" spans="1:28" x14ac:dyDescent="0.2">
      <c r="A129" t="str">
        <f t="shared" si="124"/>
        <v>35 Business and public service associate professionals</v>
      </c>
      <c r="B129" s="27">
        <f t="shared" si="125"/>
        <v>1.8130717347651952</v>
      </c>
      <c r="C129" s="27">
        <f t="shared" si="125"/>
        <v>1.1179717361347485</v>
      </c>
      <c r="D129" s="27">
        <f t="shared" si="125"/>
        <v>-1.8045763779238655</v>
      </c>
      <c r="E129" s="27">
        <f t="shared" si="125"/>
        <v>2.3448274175551589</v>
      </c>
      <c r="F129" s="27">
        <f t="shared" si="126"/>
        <v>0.54025103963129339</v>
      </c>
      <c r="L129" t="str">
        <f t="shared" si="127"/>
        <v>35 Business and public service associate professionals</v>
      </c>
      <c r="M129" s="27">
        <f t="shared" si="128"/>
        <v>0.11596270665424413</v>
      </c>
      <c r="N129" s="27">
        <f t="shared" si="128"/>
        <v>0.82602375805011974</v>
      </c>
      <c r="O129" s="27">
        <f t="shared" si="128"/>
        <v>-1.8493909917064428</v>
      </c>
      <c r="P129" s="27">
        <f t="shared" si="128"/>
        <v>0.10003854647722932</v>
      </c>
      <c r="Q129" s="27">
        <f t="shared" si="129"/>
        <v>-1.7493524452292135</v>
      </c>
      <c r="W129" t="str">
        <f t="shared" si="130"/>
        <v>35 Business and public service associate professionals</v>
      </c>
      <c r="X129" s="27">
        <f t="shared" si="131"/>
        <v>1.6971090281108339</v>
      </c>
      <c r="Y129" s="27">
        <f t="shared" si="131"/>
        <v>0.29194797808463235</v>
      </c>
      <c r="Z129" s="27">
        <f t="shared" si="131"/>
        <v>4.4814613782648394E-2</v>
      </c>
      <c r="AA129" s="27">
        <f t="shared" si="131"/>
        <v>2.2447888710778727</v>
      </c>
      <c r="AB129" s="27">
        <f t="shared" si="132"/>
        <v>2.2896034848605211</v>
      </c>
    </row>
    <row r="130" spans="1:28" x14ac:dyDescent="0.2">
      <c r="A130" t="str">
        <f t="shared" si="124"/>
        <v>41 Administrative occupations</v>
      </c>
      <c r="B130" s="27">
        <f t="shared" si="125"/>
        <v>-3.7011833657891771</v>
      </c>
      <c r="C130" s="27">
        <f t="shared" si="125"/>
        <v>1.4758849306010404</v>
      </c>
      <c r="D130" s="27">
        <f t="shared" si="125"/>
        <v>-6.3140171577717936</v>
      </c>
      <c r="E130" s="27">
        <f t="shared" si="125"/>
        <v>-5.1805212812358761</v>
      </c>
      <c r="F130" s="27">
        <f t="shared" si="126"/>
        <v>-11.49453843900767</v>
      </c>
      <c r="L130" t="str">
        <f t="shared" si="127"/>
        <v>41 Administrative occupations</v>
      </c>
      <c r="M130" s="27">
        <f t="shared" si="128"/>
        <v>-1.7557653687908505</v>
      </c>
      <c r="N130" s="27">
        <f t="shared" si="128"/>
        <v>2.6557086909438077</v>
      </c>
      <c r="O130" s="27">
        <f t="shared" si="128"/>
        <v>-1.2312974971226502</v>
      </c>
      <c r="P130" s="27">
        <f t="shared" si="128"/>
        <v>1.0279809783161724</v>
      </c>
      <c r="Q130" s="27">
        <f t="shared" si="129"/>
        <v>-0.20331651880647783</v>
      </c>
      <c r="W130" t="str">
        <f t="shared" si="130"/>
        <v>41 Administrative occupations</v>
      </c>
      <c r="X130" s="27">
        <f t="shared" si="131"/>
        <v>-1.9454179969983798</v>
      </c>
      <c r="Y130" s="27">
        <f t="shared" si="131"/>
        <v>-1.1798237603426358</v>
      </c>
      <c r="Z130" s="27">
        <f t="shared" si="131"/>
        <v>-5.0827196606491825</v>
      </c>
      <c r="AA130" s="27">
        <f t="shared" si="131"/>
        <v>-6.2085022595520698</v>
      </c>
      <c r="AB130" s="27">
        <f t="shared" si="132"/>
        <v>-11.291221920201252</v>
      </c>
    </row>
    <row r="131" spans="1:28" x14ac:dyDescent="0.2">
      <c r="A131" t="str">
        <f t="shared" si="124"/>
        <v>42 Secretarial and related occupations</v>
      </c>
      <c r="B131" s="27">
        <f t="shared" si="125"/>
        <v>-2.7669362909477151</v>
      </c>
      <c r="C131" s="27">
        <f t="shared" si="125"/>
        <v>-0.59668071825078073</v>
      </c>
      <c r="D131" s="27">
        <f t="shared" si="125"/>
        <v>0.25300449435739125</v>
      </c>
      <c r="E131" s="27">
        <f t="shared" si="125"/>
        <v>-3.8132395096644842</v>
      </c>
      <c r="F131" s="27">
        <f t="shared" si="126"/>
        <v>-3.560235015307093</v>
      </c>
      <c r="L131" t="str">
        <f t="shared" si="127"/>
        <v>42 Secretarial and related occupations</v>
      </c>
      <c r="M131" s="27">
        <f t="shared" si="128"/>
        <v>-0.21724222134956162</v>
      </c>
      <c r="N131" s="27">
        <f t="shared" si="128"/>
        <v>-8.047487894369465E-2</v>
      </c>
      <c r="O131" s="27">
        <f t="shared" si="128"/>
        <v>0.25425978508913738</v>
      </c>
      <c r="P131" s="27">
        <f t="shared" si="128"/>
        <v>0.14961357368879225</v>
      </c>
      <c r="Q131" s="27">
        <f t="shared" si="129"/>
        <v>0.40387335877792963</v>
      </c>
      <c r="W131" t="str">
        <f t="shared" si="130"/>
        <v>42 Secretarial and related occupations</v>
      </c>
      <c r="X131" s="27">
        <f t="shared" si="131"/>
        <v>-2.5496940695981536</v>
      </c>
      <c r="Y131" s="27">
        <f t="shared" si="131"/>
        <v>-0.51620583930708364</v>
      </c>
      <c r="Z131" s="27">
        <f t="shared" si="131"/>
        <v>-1.2552907317484596E-3</v>
      </c>
      <c r="AA131" s="27">
        <f t="shared" si="131"/>
        <v>-3.9628530833532789</v>
      </c>
      <c r="AB131" s="27">
        <f t="shared" si="132"/>
        <v>-3.9641083740850274</v>
      </c>
    </row>
    <row r="132" spans="1:28" x14ac:dyDescent="0.2">
      <c r="A132" t="str">
        <f t="shared" si="124"/>
        <v>51 Skilled agricultural and related trades</v>
      </c>
      <c r="B132" s="27">
        <f t="shared" si="125"/>
        <v>0.47216008160507528</v>
      </c>
      <c r="C132" s="27">
        <f t="shared" si="125"/>
        <v>-1.8446500653020479</v>
      </c>
      <c r="D132" s="27">
        <f t="shared" si="125"/>
        <v>0.53775679258906806</v>
      </c>
      <c r="E132" s="27">
        <f t="shared" si="125"/>
        <v>1.316043936107409</v>
      </c>
      <c r="F132" s="27">
        <f t="shared" si="126"/>
        <v>1.8538007286964771</v>
      </c>
      <c r="L132" t="str">
        <f t="shared" si="127"/>
        <v>51 Skilled agricultural and related trades</v>
      </c>
      <c r="M132" s="27">
        <f t="shared" si="128"/>
        <v>1.0381201909025428</v>
      </c>
      <c r="N132" s="27">
        <f t="shared" si="128"/>
        <v>-2.2709879449160422</v>
      </c>
      <c r="O132" s="27">
        <f t="shared" si="128"/>
        <v>0.20359846377302215</v>
      </c>
      <c r="P132" s="27">
        <f t="shared" si="128"/>
        <v>0.77350241236163608</v>
      </c>
      <c r="Q132" s="27">
        <f t="shared" si="129"/>
        <v>0.97710087613465824</v>
      </c>
      <c r="W132" t="str">
        <f t="shared" si="130"/>
        <v>51 Skilled agricultural and related trades</v>
      </c>
      <c r="X132" s="27">
        <f t="shared" si="131"/>
        <v>-0.56596010929746177</v>
      </c>
      <c r="Y132" s="27">
        <f t="shared" si="131"/>
        <v>0.42633787961399872</v>
      </c>
      <c r="Z132" s="27">
        <f t="shared" si="131"/>
        <v>0.33415832881605834</v>
      </c>
      <c r="AA132" s="27">
        <f t="shared" si="131"/>
        <v>0.54254152374575559</v>
      </c>
      <c r="AB132" s="27">
        <f t="shared" si="132"/>
        <v>0.87669985256181393</v>
      </c>
    </row>
    <row r="133" spans="1:28" x14ac:dyDescent="0.2">
      <c r="A133" t="str">
        <f t="shared" si="124"/>
        <v>52 Skilled metal, electrical and electronic trades</v>
      </c>
      <c r="B133" s="27">
        <f t="shared" si="125"/>
        <v>3.7242917781760809E-2</v>
      </c>
      <c r="C133" s="27">
        <f t="shared" si="125"/>
        <v>-3.7796249607991932</v>
      </c>
      <c r="D133" s="27">
        <f t="shared" si="125"/>
        <v>0.79548275168736282</v>
      </c>
      <c r="E133" s="27">
        <f t="shared" si="125"/>
        <v>-0.7630417689187432</v>
      </c>
      <c r="F133" s="27">
        <f t="shared" si="126"/>
        <v>3.2440982768619619E-2</v>
      </c>
      <c r="L133" t="str">
        <f t="shared" si="127"/>
        <v>52 Skilled metal, electrical and electronic trades</v>
      </c>
      <c r="M133" s="27">
        <f t="shared" si="128"/>
        <v>-0.42011876846768104</v>
      </c>
      <c r="N133" s="27">
        <f t="shared" si="128"/>
        <v>-3.4925916999939268</v>
      </c>
      <c r="O133" s="27">
        <f t="shared" si="128"/>
        <v>-0.30906566957177617</v>
      </c>
      <c r="P133" s="27">
        <f t="shared" si="128"/>
        <v>-1.3104959607480353</v>
      </c>
      <c r="Q133" s="27">
        <f t="shared" si="129"/>
        <v>-1.6195616303198115</v>
      </c>
      <c r="W133" t="str">
        <f t="shared" si="130"/>
        <v>52 Skilled metal, electrical and electronic trades</v>
      </c>
      <c r="X133" s="27">
        <f t="shared" si="131"/>
        <v>0.45736168624944729</v>
      </c>
      <c r="Y133" s="27">
        <f t="shared" si="131"/>
        <v>-0.28703326080527569</v>
      </c>
      <c r="Z133" s="27">
        <f t="shared" si="131"/>
        <v>1.1045484212591257</v>
      </c>
      <c r="AA133" s="27">
        <f t="shared" si="131"/>
        <v>0.54745419182927924</v>
      </c>
      <c r="AB133" s="27">
        <f t="shared" si="132"/>
        <v>1.6520026130884049</v>
      </c>
    </row>
    <row r="134" spans="1:28" x14ac:dyDescent="0.2">
      <c r="A134" t="str">
        <f t="shared" si="124"/>
        <v>53 Skilled construction and building trades</v>
      </c>
      <c r="B134" s="27">
        <f t="shared" si="125"/>
        <v>-1.7665981919429896</v>
      </c>
      <c r="C134" s="27">
        <f t="shared" si="125"/>
        <v>-2.3366237985320133</v>
      </c>
      <c r="D134" s="27">
        <f t="shared" si="125"/>
        <v>1.4478896363651295</v>
      </c>
      <c r="E134" s="27">
        <f t="shared" si="125"/>
        <v>-1.5059204268465969</v>
      </c>
      <c r="F134" s="27">
        <f t="shared" si="126"/>
        <v>-5.803079048146742E-2</v>
      </c>
      <c r="L134" t="str">
        <f t="shared" si="127"/>
        <v>53 Skilled construction and building trades</v>
      </c>
      <c r="M134" s="27">
        <f t="shared" si="128"/>
        <v>-1.8250300600555178</v>
      </c>
      <c r="N134" s="27">
        <f t="shared" si="128"/>
        <v>-2.3063035174124096</v>
      </c>
      <c r="O134" s="27">
        <f t="shared" si="128"/>
        <v>1.4803219258361651</v>
      </c>
      <c r="P134" s="27">
        <f t="shared" si="128"/>
        <v>-1.5998055103648738</v>
      </c>
      <c r="Q134" s="27">
        <f t="shared" si="129"/>
        <v>-0.11948358452870877</v>
      </c>
      <c r="W134" t="str">
        <f t="shared" si="130"/>
        <v>53 Skilled construction and building trades</v>
      </c>
      <c r="X134" s="27">
        <f t="shared" si="131"/>
        <v>5.8431868112496232E-2</v>
      </c>
      <c r="Y134" s="27">
        <f t="shared" si="131"/>
        <v>-3.0320281119600778E-2</v>
      </c>
      <c r="Z134" s="27">
        <f t="shared" si="131"/>
        <v>-3.2432289471017006E-2</v>
      </c>
      <c r="AA134" s="27">
        <f t="shared" si="131"/>
        <v>9.3885083518248813E-2</v>
      </c>
      <c r="AB134" s="27">
        <f t="shared" si="132"/>
        <v>6.1452794047231807E-2</v>
      </c>
    </row>
    <row r="135" spans="1:28" x14ac:dyDescent="0.2">
      <c r="A135" t="str">
        <f t="shared" si="124"/>
        <v>54 Textiles, printing and other skilled trades</v>
      </c>
      <c r="B135" s="27">
        <f t="shared" si="125"/>
        <v>-2.3132925454785429</v>
      </c>
      <c r="C135" s="27">
        <f t="shared" si="125"/>
        <v>-1.3575658590086519</v>
      </c>
      <c r="D135" s="27">
        <f t="shared" si="125"/>
        <v>0.60225751087554968</v>
      </c>
      <c r="E135" s="27">
        <f t="shared" si="125"/>
        <v>0.82938209199700452</v>
      </c>
      <c r="F135" s="27">
        <f t="shared" si="126"/>
        <v>1.4316396028725542</v>
      </c>
      <c r="L135" t="str">
        <f t="shared" si="127"/>
        <v>54 Textiles, printing and other skilled trades</v>
      </c>
      <c r="M135" s="27">
        <f t="shared" si="128"/>
        <v>-1.3999877101877818</v>
      </c>
      <c r="N135" s="27">
        <f t="shared" si="128"/>
        <v>-1.7781819622271247</v>
      </c>
      <c r="O135" s="27">
        <f t="shared" si="128"/>
        <v>0.28592340499243463</v>
      </c>
      <c r="P135" s="27">
        <f t="shared" si="128"/>
        <v>0.30791433700925275</v>
      </c>
      <c r="Q135" s="27">
        <f t="shared" si="129"/>
        <v>0.59383774200168737</v>
      </c>
      <c r="W135" t="str">
        <f t="shared" si="130"/>
        <v>54 Textiles, printing and other skilled trades</v>
      </c>
      <c r="X135" s="27">
        <f t="shared" si="131"/>
        <v>-0.91330483529077799</v>
      </c>
      <c r="Y135" s="27">
        <f t="shared" si="131"/>
        <v>0.42061610321848164</v>
      </c>
      <c r="Z135" s="27">
        <f t="shared" si="131"/>
        <v>0.31633410588314614</v>
      </c>
      <c r="AA135" s="27">
        <f t="shared" si="131"/>
        <v>0.52146775498774467</v>
      </c>
      <c r="AB135" s="27">
        <f t="shared" si="132"/>
        <v>0.83780186087089081</v>
      </c>
    </row>
    <row r="136" spans="1:28" x14ac:dyDescent="0.2">
      <c r="A136" t="str">
        <f t="shared" si="124"/>
        <v>61 Caring personal service occupations</v>
      </c>
      <c r="B136" s="27">
        <f t="shared" si="125"/>
        <v>1.5577264204293755</v>
      </c>
      <c r="C136" s="27">
        <f t="shared" si="125"/>
        <v>-2.6973914190449264</v>
      </c>
      <c r="D136" s="27">
        <f t="shared" si="125"/>
        <v>4.4578842700583365</v>
      </c>
      <c r="E136" s="27">
        <f t="shared" si="125"/>
        <v>4.430112304113365</v>
      </c>
      <c r="F136" s="27">
        <f t="shared" si="126"/>
        <v>8.8879965741717015</v>
      </c>
      <c r="L136" t="str">
        <f t="shared" si="127"/>
        <v>61 Caring personal service occupations</v>
      </c>
      <c r="M136" s="27">
        <f t="shared" si="128"/>
        <v>-0.19476288802183817</v>
      </c>
      <c r="N136" s="27">
        <f t="shared" si="128"/>
        <v>-0.10355856530245688</v>
      </c>
      <c r="O136" s="27">
        <f t="shared" si="128"/>
        <v>2.480047019338933</v>
      </c>
      <c r="P136" s="27">
        <f t="shared" si="128"/>
        <v>2.193157252960134</v>
      </c>
      <c r="Q136" s="27">
        <f t="shared" si="129"/>
        <v>4.673204272299067</v>
      </c>
      <c r="W136" t="str">
        <f t="shared" si="130"/>
        <v>61 Caring personal service occupations</v>
      </c>
      <c r="X136" s="27">
        <f t="shared" si="131"/>
        <v>1.7524893084511817</v>
      </c>
      <c r="Y136" s="27">
        <f t="shared" si="131"/>
        <v>-2.5938328537424624</v>
      </c>
      <c r="Z136" s="27">
        <f t="shared" si="131"/>
        <v>1.9778372507194106</v>
      </c>
      <c r="AA136" s="27">
        <f t="shared" si="131"/>
        <v>2.2369550511532807</v>
      </c>
      <c r="AB136" s="27">
        <f t="shared" si="132"/>
        <v>4.2147923018726914</v>
      </c>
    </row>
    <row r="137" spans="1:28" x14ac:dyDescent="0.2">
      <c r="A137" t="str">
        <f t="shared" si="124"/>
        <v>62 Leisure, travel and related personal service occupations</v>
      </c>
      <c r="B137" s="27">
        <f t="shared" si="125"/>
        <v>0.27652827333326613</v>
      </c>
      <c r="C137" s="27">
        <f t="shared" si="125"/>
        <v>-1.768171336396275</v>
      </c>
      <c r="D137" s="27">
        <f t="shared" si="125"/>
        <v>0.26011876008875134</v>
      </c>
      <c r="E137" s="27">
        <f t="shared" si="125"/>
        <v>0.61500825125494529</v>
      </c>
      <c r="F137" s="27">
        <f t="shared" si="126"/>
        <v>0.87512701134369664</v>
      </c>
      <c r="L137" t="str">
        <f t="shared" si="127"/>
        <v>62 Leisure, travel and related personal service occupations</v>
      </c>
      <c r="M137" s="27">
        <f t="shared" si="128"/>
        <v>0.38142535083429685</v>
      </c>
      <c r="N137" s="27">
        <f t="shared" si="128"/>
        <v>-0.84516329113697264</v>
      </c>
      <c r="O137" s="27">
        <f t="shared" si="128"/>
        <v>0.3343413862718112</v>
      </c>
      <c r="P137" s="27">
        <f t="shared" si="128"/>
        <v>0.82115512279093839</v>
      </c>
      <c r="Q137" s="27">
        <f t="shared" si="129"/>
        <v>1.1554965090627496</v>
      </c>
      <c r="W137" t="str">
        <f t="shared" si="130"/>
        <v>62 Leisure, travel and related personal service occupations</v>
      </c>
      <c r="X137" s="27">
        <f t="shared" si="131"/>
        <v>-0.10489707750106092</v>
      </c>
      <c r="Y137" s="27">
        <f t="shared" si="131"/>
        <v>-0.92300804525924995</v>
      </c>
      <c r="Z137" s="27">
        <f t="shared" si="131"/>
        <v>-7.4222626183072293E-2</v>
      </c>
      <c r="AA137" s="27">
        <f t="shared" si="131"/>
        <v>-0.20614687153600997</v>
      </c>
      <c r="AB137" s="27">
        <f t="shared" si="132"/>
        <v>-0.28036949771908226</v>
      </c>
    </row>
    <row r="138" spans="1:28" x14ac:dyDescent="0.2">
      <c r="A138" t="str">
        <f t="shared" si="124"/>
        <v>63 Community and civil enforcement occupations</v>
      </c>
      <c r="B138" s="27">
        <f t="shared" si="125"/>
        <v>-0.17319856607284811</v>
      </c>
      <c r="C138" s="27">
        <f t="shared" si="125"/>
        <v>0.19042318812504166</v>
      </c>
      <c r="D138" s="27">
        <f t="shared" si="125"/>
        <v>-0.180353503252633</v>
      </c>
      <c r="E138" s="27">
        <f t="shared" si="125"/>
        <v>3.9962546985411906E-2</v>
      </c>
      <c r="F138" s="27">
        <f t="shared" si="126"/>
        <v>-0.14039095626722109</v>
      </c>
      <c r="L138" t="str">
        <f t="shared" si="127"/>
        <v>63 Community and civil enforcement occupations</v>
      </c>
      <c r="M138" s="27">
        <f t="shared" si="128"/>
        <v>-0.20952118713706602</v>
      </c>
      <c r="N138" s="27">
        <f t="shared" si="128"/>
        <v>0.22049284886825338</v>
      </c>
      <c r="O138" s="27">
        <f t="shared" si="128"/>
        <v>-0.25069879013677643</v>
      </c>
      <c r="P138" s="27">
        <f t="shared" si="128"/>
        <v>4.5499360661688915E-2</v>
      </c>
      <c r="Q138" s="27">
        <f t="shared" si="129"/>
        <v>-0.20519942947508751</v>
      </c>
      <c r="W138" t="str">
        <f t="shared" si="130"/>
        <v>63 Community and civil enforcement occupations</v>
      </c>
      <c r="X138" s="27">
        <f t="shared" si="131"/>
        <v>3.6322621064218186E-2</v>
      </c>
      <c r="Y138" s="27">
        <f t="shared" si="131"/>
        <v>-3.006966074321285E-2</v>
      </c>
      <c r="Z138" s="27">
        <f t="shared" si="131"/>
        <v>7.0345286884144292E-2</v>
      </c>
      <c r="AA138" s="27">
        <f t="shared" si="131"/>
        <v>-5.5368136762771747E-3</v>
      </c>
      <c r="AB138" s="27">
        <f t="shared" si="132"/>
        <v>6.4808473207867118E-2</v>
      </c>
    </row>
    <row r="139" spans="1:28" x14ac:dyDescent="0.2">
      <c r="A139" t="str">
        <f t="shared" si="124"/>
        <v>71 Sales occupations</v>
      </c>
      <c r="B139" s="27">
        <f t="shared" si="125"/>
        <v>-1.9355575985535438</v>
      </c>
      <c r="C139" s="27">
        <f t="shared" si="125"/>
        <v>-0.15365323820539345</v>
      </c>
      <c r="D139" s="27">
        <f t="shared" si="125"/>
        <v>-3.6433646620599589</v>
      </c>
      <c r="E139" s="27">
        <f t="shared" si="125"/>
        <v>-2.3027231985162615</v>
      </c>
      <c r="F139" s="27">
        <f t="shared" si="126"/>
        <v>-5.9460878605762204</v>
      </c>
      <c r="L139" t="str">
        <f t="shared" si="127"/>
        <v>71 Sales occupations</v>
      </c>
      <c r="M139" s="27">
        <f t="shared" si="128"/>
        <v>0.18636613276035163</v>
      </c>
      <c r="N139" s="27">
        <f t="shared" si="128"/>
        <v>-0.15373578408321009</v>
      </c>
      <c r="O139" s="27">
        <f t="shared" si="128"/>
        <v>-1.0104790082469499</v>
      </c>
      <c r="P139" s="27">
        <f t="shared" si="128"/>
        <v>-0.16472952018009224</v>
      </c>
      <c r="Q139" s="27">
        <f t="shared" si="129"/>
        <v>-1.1752085284270422</v>
      </c>
      <c r="W139" t="str">
        <f t="shared" si="130"/>
        <v>71 Sales occupations</v>
      </c>
      <c r="X139" s="27">
        <f t="shared" si="131"/>
        <v>-2.1219237313139026</v>
      </c>
      <c r="Y139" s="27">
        <f t="shared" si="131"/>
        <v>8.254587779532585E-5</v>
      </c>
      <c r="Z139" s="27">
        <f t="shared" si="131"/>
        <v>-2.6328856538129131</v>
      </c>
      <c r="AA139" s="27">
        <f t="shared" si="131"/>
        <v>-2.1379936783361764</v>
      </c>
      <c r="AB139" s="27">
        <f t="shared" si="132"/>
        <v>-4.7708793321490894</v>
      </c>
    </row>
    <row r="140" spans="1:28" x14ac:dyDescent="0.2">
      <c r="A140" t="str">
        <f t="shared" si="124"/>
        <v>72 Customer service occupations</v>
      </c>
      <c r="B140" s="27">
        <f t="shared" si="125"/>
        <v>0.35011752759858261</v>
      </c>
      <c r="C140" s="27">
        <f t="shared" si="125"/>
        <v>0.24362604908529306</v>
      </c>
      <c r="D140" s="27">
        <f t="shared" si="125"/>
        <v>3.7828703951169302</v>
      </c>
      <c r="E140" s="27">
        <f t="shared" si="125"/>
        <v>2.3245977640461888</v>
      </c>
      <c r="F140" s="27">
        <f t="shared" si="126"/>
        <v>6.107468159163119</v>
      </c>
      <c r="L140" t="str">
        <f t="shared" si="127"/>
        <v>72 Customer service occupations</v>
      </c>
      <c r="M140" s="27">
        <f t="shared" si="128"/>
        <v>-0.58006515005310977</v>
      </c>
      <c r="N140" s="27">
        <f t="shared" si="128"/>
        <v>0.61097928075327701</v>
      </c>
      <c r="O140" s="27">
        <f t="shared" si="128"/>
        <v>1.8295063939008598</v>
      </c>
      <c r="P140" s="27">
        <f t="shared" si="128"/>
        <v>1.2575853437440108</v>
      </c>
      <c r="Q140" s="27">
        <f t="shared" si="129"/>
        <v>3.0870917376448705</v>
      </c>
      <c r="W140" t="str">
        <f t="shared" si="130"/>
        <v>72 Customer service occupations</v>
      </c>
      <c r="X140" s="27">
        <f t="shared" si="131"/>
        <v>0.9301826776516755</v>
      </c>
      <c r="Y140" s="27">
        <f t="shared" si="131"/>
        <v>-0.36735323166797862</v>
      </c>
      <c r="Z140" s="27">
        <f t="shared" si="131"/>
        <v>1.9533640012160571</v>
      </c>
      <c r="AA140" s="27">
        <f t="shared" si="131"/>
        <v>1.0670124203022269</v>
      </c>
      <c r="AB140" s="27">
        <f t="shared" si="132"/>
        <v>3.020376421518284</v>
      </c>
    </row>
    <row r="141" spans="1:28" x14ac:dyDescent="0.2">
      <c r="A141" t="str">
        <f t="shared" si="124"/>
        <v>81 Process, plant and machine operatives</v>
      </c>
      <c r="B141" s="27">
        <f t="shared" si="125"/>
        <v>-0.2468966869674869</v>
      </c>
      <c r="C141" s="27">
        <f t="shared" si="125"/>
        <v>-1.5574348292969429</v>
      </c>
      <c r="D141" s="27">
        <f t="shared" si="125"/>
        <v>2.5086385511080813</v>
      </c>
      <c r="E141" s="27">
        <f t="shared" si="125"/>
        <v>-2.950903100755653E-2</v>
      </c>
      <c r="F141" s="27">
        <f t="shared" si="126"/>
        <v>2.4791295201005248</v>
      </c>
      <c r="L141" t="str">
        <f t="shared" si="127"/>
        <v>81 Process, plant and machine operatives</v>
      </c>
      <c r="M141" s="27">
        <f t="shared" si="128"/>
        <v>-0.21823131256829953</v>
      </c>
      <c r="N141" s="27">
        <f t="shared" si="128"/>
        <v>-1.2987263427486599</v>
      </c>
      <c r="O141" s="27">
        <f t="shared" si="128"/>
        <v>2.1419418606522864</v>
      </c>
      <c r="P141" s="27">
        <f t="shared" si="128"/>
        <v>-2.3554284371501311E-2</v>
      </c>
      <c r="Q141" s="27">
        <f t="shared" si="129"/>
        <v>2.1183875762807851</v>
      </c>
      <c r="W141" t="str">
        <f t="shared" si="130"/>
        <v>81 Process, plant and machine operatives</v>
      </c>
      <c r="X141" s="27">
        <f t="shared" si="131"/>
        <v>-2.8665374399229115E-2</v>
      </c>
      <c r="Y141" s="27">
        <f t="shared" si="131"/>
        <v>-0.25870848654825274</v>
      </c>
      <c r="Z141" s="27">
        <f t="shared" si="131"/>
        <v>0.36669669045578734</v>
      </c>
      <c r="AA141" s="27">
        <f t="shared" si="131"/>
        <v>-5.9547466360729828E-3</v>
      </c>
      <c r="AB141" s="27">
        <f t="shared" si="132"/>
        <v>0.36074194381971436</v>
      </c>
    </row>
    <row r="142" spans="1:28" x14ac:dyDescent="0.2">
      <c r="A142" t="str">
        <f t="shared" si="124"/>
        <v>82 Transport and mobile machine drivers and operatives</v>
      </c>
      <c r="B142" s="27">
        <f t="shared" si="125"/>
        <v>2.1247566679737453</v>
      </c>
      <c r="C142" s="27">
        <f t="shared" si="125"/>
        <v>-4.5407736165500197</v>
      </c>
      <c r="D142" s="27">
        <f t="shared" si="125"/>
        <v>1.8556371046136029</v>
      </c>
      <c r="E142" s="27">
        <f t="shared" si="125"/>
        <v>7.0642467787632057E-2</v>
      </c>
      <c r="F142" s="27">
        <f t="shared" si="126"/>
        <v>1.9262795724012349</v>
      </c>
      <c r="L142" t="str">
        <f t="shared" si="127"/>
        <v>82 Transport and mobile machine drivers and operatives</v>
      </c>
      <c r="M142" s="27">
        <f t="shared" si="128"/>
        <v>2.2215329856448065</v>
      </c>
      <c r="N142" s="27">
        <f t="shared" si="128"/>
        <v>-4.203183564591793</v>
      </c>
      <c r="O142" s="27">
        <f t="shared" si="128"/>
        <v>0.88882514955100689</v>
      </c>
      <c r="P142" s="27">
        <f t="shared" si="128"/>
        <v>-0.39887739774793118</v>
      </c>
      <c r="Q142" s="27">
        <f t="shared" si="129"/>
        <v>0.4899477518030757</v>
      </c>
      <c r="W142" t="str">
        <f t="shared" si="130"/>
        <v>82 Transport and mobile machine drivers and operatives</v>
      </c>
      <c r="X142" s="27">
        <f t="shared" si="131"/>
        <v>-9.6776317671043E-2</v>
      </c>
      <c r="Y142" s="27">
        <f t="shared" si="131"/>
        <v>-0.33759005195820002</v>
      </c>
      <c r="Z142" s="27">
        <f t="shared" si="131"/>
        <v>0.9668119550626213</v>
      </c>
      <c r="AA142" s="27">
        <f t="shared" si="131"/>
        <v>0.46951986553551972</v>
      </c>
      <c r="AB142" s="27">
        <f t="shared" si="132"/>
        <v>1.436331820598141</v>
      </c>
    </row>
    <row r="143" spans="1:28" x14ac:dyDescent="0.2">
      <c r="A143" t="str">
        <f t="shared" si="124"/>
        <v>91 Elementary trades and related occupations</v>
      </c>
      <c r="B143" s="27">
        <f t="shared" si="125"/>
        <v>-1.4228569596572704</v>
      </c>
      <c r="C143" s="27">
        <f t="shared" si="125"/>
        <v>-1.0697164776420074</v>
      </c>
      <c r="D143" s="27">
        <f t="shared" si="125"/>
        <v>-1.3067667051659431</v>
      </c>
      <c r="E143" s="27">
        <f t="shared" si="125"/>
        <v>-0.3515682655154011</v>
      </c>
      <c r="F143" s="27">
        <f t="shared" si="126"/>
        <v>-1.6583349706813442</v>
      </c>
      <c r="L143" t="str">
        <f t="shared" si="127"/>
        <v>91 Elementary trades and related occupations</v>
      </c>
      <c r="M143" s="27">
        <f t="shared" si="128"/>
        <v>-0.9279494102796928</v>
      </c>
      <c r="N143" s="27">
        <f t="shared" si="128"/>
        <v>-0.86129194052649538</v>
      </c>
      <c r="O143" s="27">
        <f t="shared" si="128"/>
        <v>-1.1382460578619344</v>
      </c>
      <c r="P143" s="27">
        <f t="shared" si="128"/>
        <v>-0.28808954369567985</v>
      </c>
      <c r="Q143" s="27">
        <f t="shared" si="129"/>
        <v>-1.4263356015576143</v>
      </c>
      <c r="W143" t="str">
        <f t="shared" si="130"/>
        <v>91 Elementary trades and related occupations</v>
      </c>
      <c r="X143" s="27">
        <f t="shared" si="131"/>
        <v>-0.49490754937757209</v>
      </c>
      <c r="Y143" s="27">
        <f t="shared" si="131"/>
        <v>-0.20842453711550224</v>
      </c>
      <c r="Z143" s="27">
        <f t="shared" si="131"/>
        <v>-0.16852064730401128</v>
      </c>
      <c r="AA143" s="27">
        <f t="shared" si="131"/>
        <v>-6.3478721819718809E-2</v>
      </c>
      <c r="AB143" s="27">
        <f t="shared" si="132"/>
        <v>-0.23199936912373009</v>
      </c>
    </row>
    <row r="144" spans="1:28" x14ac:dyDescent="0.2">
      <c r="A144" t="str">
        <f t="shared" si="124"/>
        <v>92 Elementary administration and service occupations</v>
      </c>
      <c r="B144" s="27">
        <f t="shared" si="125"/>
        <v>-2.7126538742991642</v>
      </c>
      <c r="C144" s="27">
        <f t="shared" si="125"/>
        <v>-7.2581014219841649</v>
      </c>
      <c r="D144" s="27">
        <f t="shared" si="125"/>
        <v>2.5548270999112219</v>
      </c>
      <c r="E144" s="27">
        <f t="shared" si="125"/>
        <v>-2.262627930423335</v>
      </c>
      <c r="F144" s="27">
        <f t="shared" si="126"/>
        <v>0.29219916948788693</v>
      </c>
      <c r="L144" t="str">
        <f t="shared" si="127"/>
        <v>92 Elementary administration and service occupations</v>
      </c>
      <c r="M144" s="27">
        <f t="shared" si="128"/>
        <v>-2.0162679891970043</v>
      </c>
      <c r="N144" s="27">
        <f t="shared" si="128"/>
        <v>-2.8829761985708302</v>
      </c>
      <c r="O144" s="27">
        <f t="shared" si="128"/>
        <v>2.6355720979028447</v>
      </c>
      <c r="P144" s="27">
        <f t="shared" si="128"/>
        <v>-1.8316809852085214</v>
      </c>
      <c r="Q144" s="27">
        <f t="shared" si="129"/>
        <v>0.80389111269432334</v>
      </c>
      <c r="W144" t="str">
        <f t="shared" si="130"/>
        <v>92 Elementary administration and service occupations</v>
      </c>
      <c r="X144" s="27">
        <f t="shared" si="131"/>
        <v>-0.69638588510189692</v>
      </c>
      <c r="Y144" s="27">
        <f t="shared" si="131"/>
        <v>-4.3751252234133915</v>
      </c>
      <c r="Z144" s="27">
        <f t="shared" si="131"/>
        <v>-8.0744997991544665E-2</v>
      </c>
      <c r="AA144" s="27">
        <f t="shared" si="131"/>
        <v>-0.43094694521499832</v>
      </c>
      <c r="AB144" s="27">
        <f t="shared" si="132"/>
        <v>-0.51169194320654299</v>
      </c>
    </row>
    <row r="145" spans="1:31" x14ac:dyDescent="0.2">
      <c r="C145" s="27"/>
      <c r="F145" s="27"/>
      <c r="N145" s="27"/>
      <c r="Q145" s="27"/>
      <c r="Y145" s="27"/>
      <c r="AB145" s="27"/>
    </row>
    <row r="146" spans="1:31" x14ac:dyDescent="0.2">
      <c r="A146" s="24" t="str">
        <f>A35</f>
        <v>All occupations</v>
      </c>
      <c r="B146" s="29">
        <f>C35-B35</f>
        <v>17.444000000000301</v>
      </c>
      <c r="C146" s="29">
        <f t="shared" ref="C146" si="133">D35-C35</f>
        <v>-17.809000000000651</v>
      </c>
      <c r="D146" s="29">
        <f>E35-D35</f>
        <v>25.339999999999918</v>
      </c>
      <c r="E146" s="29">
        <f>F35-E35</f>
        <v>35.498000000000161</v>
      </c>
      <c r="F146" s="29">
        <f t="shared" ref="F146" si="134">F35-D35</f>
        <v>60.838000000000079</v>
      </c>
      <c r="L146" s="24" t="str">
        <f>L35</f>
        <v>All occupations</v>
      </c>
      <c r="M146" s="29">
        <f>N35-M35</f>
        <v>3.9368331780765971</v>
      </c>
      <c r="N146" s="29">
        <f t="shared" ref="N146" si="135">O35-N35</f>
        <v>-14.328575825304597</v>
      </c>
      <c r="O146" s="29">
        <f>P35-O35</f>
        <v>14.059775428599323</v>
      </c>
      <c r="P146" s="29">
        <f>Q35-P35</f>
        <v>18.341678215030868</v>
      </c>
      <c r="Q146" s="29">
        <f t="shared" ref="Q146" si="136">Q35-O35</f>
        <v>32.401453643630191</v>
      </c>
      <c r="W146" s="24" t="str">
        <f>W35</f>
        <v>All occupations</v>
      </c>
      <c r="X146" s="29">
        <f>Y35-X35</f>
        <v>13.50716682192359</v>
      </c>
      <c r="Y146" s="29">
        <f t="shared" ref="Y146" si="137">Z35-Y35</f>
        <v>-3.4804241746956563</v>
      </c>
      <c r="Z146" s="29">
        <f>AA35-Z35</f>
        <v>11.280224571400538</v>
      </c>
      <c r="AA146" s="29">
        <f>AB35-AA35</f>
        <v>17.156321784969521</v>
      </c>
      <c r="AB146" s="29">
        <f t="shared" ref="AB146" si="138">AB35-Z35</f>
        <v>28.436546356370059</v>
      </c>
    </row>
    <row r="150" spans="1:31" x14ac:dyDescent="0.2">
      <c r="D150" s="1" t="s">
        <v>13</v>
      </c>
      <c r="H150" s="41" t="s">
        <v>44</v>
      </c>
      <c r="O150" s="1" t="s">
        <v>13</v>
      </c>
      <c r="S150" s="41" t="s">
        <v>44</v>
      </c>
      <c r="Z150" s="1" t="s">
        <v>13</v>
      </c>
      <c r="AD150" s="41" t="s">
        <v>44</v>
      </c>
    </row>
    <row r="151" spans="1:31" x14ac:dyDescent="0.2">
      <c r="A151" s="22"/>
      <c r="B151" s="23">
        <f>B6</f>
        <v>2015</v>
      </c>
      <c r="C151" s="23">
        <f t="shared" ref="C151:F151" si="139">C6</f>
        <v>2019</v>
      </c>
      <c r="D151" s="23">
        <f t="shared" si="139"/>
        <v>2020</v>
      </c>
      <c r="E151" s="23">
        <f t="shared" si="139"/>
        <v>2025</v>
      </c>
      <c r="F151" s="23">
        <f t="shared" si="139"/>
        <v>2035</v>
      </c>
      <c r="H151" s="75" t="str">
        <f>CONCATENATE(B$6,"-",D$6)</f>
        <v>2015-2020</v>
      </c>
      <c r="I151" s="75" t="str">
        <f>CONCATENATE(D$6,"-",F$6)</f>
        <v>2020-2035</v>
      </c>
      <c r="L151" s="22"/>
      <c r="M151" s="23">
        <f>M6</f>
        <v>2015</v>
      </c>
      <c r="N151" s="23">
        <f t="shared" ref="N151:Q151" si="140">N6</f>
        <v>2019</v>
      </c>
      <c r="O151" s="23">
        <f t="shared" si="140"/>
        <v>2020</v>
      </c>
      <c r="P151" s="23">
        <f t="shared" si="140"/>
        <v>2025</v>
      </c>
      <c r="Q151" s="23">
        <f t="shared" si="140"/>
        <v>2035</v>
      </c>
      <c r="S151" s="75" t="str">
        <f>CONCATENATE(M$6,"-",O$6)</f>
        <v>2015-2020</v>
      </c>
      <c r="T151" s="75" t="str">
        <f>CONCATENATE(O$6,"-",Q$6)</f>
        <v>2020-2035</v>
      </c>
      <c r="W151" s="22"/>
      <c r="X151" s="23">
        <f>X6</f>
        <v>2015</v>
      </c>
      <c r="Y151" s="23">
        <f t="shared" ref="Y151:AB151" si="141">Y6</f>
        <v>2019</v>
      </c>
      <c r="Z151" s="23">
        <f t="shared" si="141"/>
        <v>2020</v>
      </c>
      <c r="AA151" s="23">
        <f t="shared" si="141"/>
        <v>2025</v>
      </c>
      <c r="AB151" s="23">
        <f t="shared" si="141"/>
        <v>2035</v>
      </c>
      <c r="AD151" s="75" t="str">
        <f>CONCATENATE(X$6,"-",Z$6)</f>
        <v>2015-2020</v>
      </c>
      <c r="AE151" s="75" t="str">
        <f>CONCATENATE(Z$6,"-",AB$6)</f>
        <v>2020-2035</v>
      </c>
    </row>
    <row r="152" spans="1:31" x14ac:dyDescent="0.2">
      <c r="A152" s="10"/>
      <c r="B152" s="11"/>
      <c r="C152" s="11"/>
      <c r="D152" s="11"/>
      <c r="E152" s="11"/>
      <c r="F152" s="11"/>
      <c r="H152" s="40"/>
      <c r="I152" s="40"/>
      <c r="L152" s="10"/>
      <c r="M152" s="11"/>
      <c r="N152" s="11"/>
      <c r="O152" s="11"/>
      <c r="P152" s="11"/>
      <c r="Q152" s="11"/>
      <c r="S152" s="40"/>
      <c r="T152" s="40"/>
      <c r="W152" s="10"/>
      <c r="X152" s="11"/>
      <c r="Y152" s="11"/>
      <c r="Z152" s="11"/>
      <c r="AA152" s="11"/>
      <c r="AB152" s="11"/>
      <c r="AD152" s="40"/>
      <c r="AE152" s="40"/>
    </row>
    <row r="153" spans="1:31" x14ac:dyDescent="0.2">
      <c r="A153" s="10" t="str">
        <f t="shared" ref="A153:B178" si="142">A8</f>
        <v>11 Corporate managers and directors</v>
      </c>
      <c r="B153" s="11">
        <f t="shared" si="142"/>
        <v>68.673395206321104</v>
      </c>
      <c r="C153" s="11">
        <f t="shared" ref="C153:F153" si="143">C8</f>
        <v>78.354158175892394</v>
      </c>
      <c r="D153" s="11">
        <f t="shared" si="143"/>
        <v>78.879841298032446</v>
      </c>
      <c r="E153" s="11">
        <f t="shared" si="143"/>
        <v>74.416082347702968</v>
      </c>
      <c r="F153" s="11">
        <f t="shared" si="143"/>
        <v>81.205940364543608</v>
      </c>
      <c r="H153" s="40">
        <f>IF(D$151-B$151 &lt;&gt; 0,(EXP(LN(D153/B153)/(D$151-B$151))-1)*100,0)</f>
        <v>2.8100337577803058</v>
      </c>
      <c r="I153" s="40">
        <f>IF(F$151-D$151 &lt;&gt; 0,(EXP(LN(F153/D153)/(F$151-D$151))-1)*100,0)</f>
        <v>0.19393917482022349</v>
      </c>
      <c r="L153" s="10" t="str">
        <f>L8</f>
        <v>11 Corporate managers and directors</v>
      </c>
      <c r="M153" s="11">
        <f>M8</f>
        <v>47.061462302732686</v>
      </c>
      <c r="N153" s="11">
        <f t="shared" ref="N153:Q153" si="144">N8</f>
        <v>51.352946039954624</v>
      </c>
      <c r="O153" s="11">
        <f t="shared" si="144"/>
        <v>51.334894775556322</v>
      </c>
      <c r="P153" s="11">
        <f t="shared" si="144"/>
        <v>46.968965373195431</v>
      </c>
      <c r="Q153" s="11">
        <f t="shared" si="144"/>
        <v>49.347617273000978</v>
      </c>
      <c r="S153" s="40">
        <f>IF(O$151-M$151 &lt;&gt; 0,(EXP(LN(O153/M153)/(O$151-M$151))-1)*100,0)</f>
        <v>1.7535223069907291</v>
      </c>
      <c r="T153" s="40">
        <f>IF(Q$151-O$151 &lt;&gt; 0,(EXP(LN(Q153/O153)/(Q$151-O$151))-1)*100,0)</f>
        <v>-0.26286223382741003</v>
      </c>
      <c r="W153" s="10" t="str">
        <f>W8</f>
        <v>11 Corporate managers and directors</v>
      </c>
      <c r="X153" s="11">
        <f>X8</f>
        <v>21.611932903588336</v>
      </c>
      <c r="Y153" s="11">
        <f t="shared" ref="Y153:AB153" si="145">Y8</f>
        <v>27.001212135937706</v>
      </c>
      <c r="Z153" s="11">
        <f t="shared" si="145"/>
        <v>27.544946522476089</v>
      </c>
      <c r="AA153" s="11">
        <f t="shared" si="145"/>
        <v>27.447116974507583</v>
      </c>
      <c r="AB153" s="11">
        <f t="shared" si="145"/>
        <v>31.858323091542704</v>
      </c>
      <c r="AD153" s="40">
        <f>IF(Z$151-X$151 &lt;&gt; 0,(EXP(LN(Z153/X153)/(Z$151-X$151))-1)*100,0)</f>
        <v>4.9710797852950517</v>
      </c>
      <c r="AE153" s="40">
        <f>IF(AB$151-Z$151 &lt;&gt; 0,(EXP(LN(AB153/Z153)/(AB$151-Z$151))-1)*100,0)</f>
        <v>0.97458228783315892</v>
      </c>
    </row>
    <row r="154" spans="1:31" x14ac:dyDescent="0.2">
      <c r="A154" s="10" t="str">
        <f t="shared" si="142"/>
        <v>12 Other managers and proprietors</v>
      </c>
      <c r="B154" s="11">
        <f t="shared" si="142"/>
        <v>31.150010460958992</v>
      </c>
      <c r="C154" s="11">
        <f t="shared" ref="C154:F178" si="146">C9</f>
        <v>31.560410730472807</v>
      </c>
      <c r="D154" s="11">
        <f t="shared" si="146"/>
        <v>31.0501044843197</v>
      </c>
      <c r="E154" s="11">
        <f t="shared" si="146"/>
        <v>39.276270482513567</v>
      </c>
      <c r="F154" s="11">
        <f t="shared" si="146"/>
        <v>45.743508847547353</v>
      </c>
      <c r="H154" s="40">
        <f t="shared" ref="H154:H177" si="147">IF(D$151-B$151 &lt;&gt; 0,(EXP(LN(D154/B154)/(D$151-B$151))-1)*100,0)</f>
        <v>-6.4227518302706343E-2</v>
      </c>
      <c r="I154" s="40">
        <f t="shared" ref="I154:I180" si="148">IF(F$151-D$151 &lt;&gt; 0,(EXP(LN(F154/D154)/(F$151-D$151))-1)*100,0)</f>
        <v>2.6166329715860082</v>
      </c>
      <c r="L154" s="10" t="str">
        <f t="shared" ref="L154:Q154" si="149">L9</f>
        <v>12 Other managers and proprietors</v>
      </c>
      <c r="M154" s="11">
        <f t="shared" si="149"/>
        <v>17.901713066966657</v>
      </c>
      <c r="N154" s="11">
        <f t="shared" si="149"/>
        <v>18.025967708553772</v>
      </c>
      <c r="O154" s="11">
        <f t="shared" si="149"/>
        <v>16.919958665319651</v>
      </c>
      <c r="P154" s="11">
        <f t="shared" si="149"/>
        <v>21.854033899794867</v>
      </c>
      <c r="Q154" s="11">
        <f t="shared" si="149"/>
        <v>25.011353810631842</v>
      </c>
      <c r="S154" s="40">
        <f t="shared" ref="S154:S177" si="150">IF(O$151-M$151 &lt;&gt; 0,(EXP(LN(O154/M154)/(O$151-M$151))-1)*100,0)</f>
        <v>-1.1217113549847668</v>
      </c>
      <c r="T154" s="40">
        <f t="shared" ref="T154:T177" si="151">IF(Q$151-O$151 &lt;&gt; 0,(EXP(LN(Q154/O154)/(Q$151-O$151))-1)*100,0)</f>
        <v>2.6398148935871113</v>
      </c>
      <c r="W154" s="10" t="str">
        <f t="shared" ref="W154:AB154" si="152">W9</f>
        <v>12 Other managers and proprietors</v>
      </c>
      <c r="X154" s="11">
        <f t="shared" si="152"/>
        <v>13.248297393992313</v>
      </c>
      <c r="Y154" s="11">
        <f t="shared" si="152"/>
        <v>13.53444302191904</v>
      </c>
      <c r="Z154" s="11">
        <f t="shared" si="152"/>
        <v>14.130145819000019</v>
      </c>
      <c r="AA154" s="11">
        <f t="shared" si="152"/>
        <v>17.422236582718735</v>
      </c>
      <c r="AB154" s="11">
        <f t="shared" si="152"/>
        <v>20.7321550369156</v>
      </c>
      <c r="AD154" s="40">
        <f t="shared" ref="AD154:AD177" si="153">IF(Z$151-X$151 &lt;&gt; 0,(EXP(LN(Z154/X154)/(Z$151-X$151))-1)*100,0)</f>
        <v>1.2971706194383037</v>
      </c>
      <c r="AE154" s="40">
        <f t="shared" ref="AE154:AE177" si="154">IF(AB$151-Z$151 &lt;&gt; 0,(EXP(LN(AB154/Z154)/(AB$151-Z$151))-1)*100,0)</f>
        <v>2.5887772734141112</v>
      </c>
    </row>
    <row r="155" spans="1:31" x14ac:dyDescent="0.2">
      <c r="A155" s="10" t="str">
        <f t="shared" si="142"/>
        <v>21 Science, research, engineering and technology professionals</v>
      </c>
      <c r="B155" s="11">
        <f t="shared" si="142"/>
        <v>63.176564041394101</v>
      </c>
      <c r="C155" s="11">
        <f t="shared" si="146"/>
        <v>67.962409440888067</v>
      </c>
      <c r="D155" s="11">
        <f t="shared" si="146"/>
        <v>69.933180691612307</v>
      </c>
      <c r="E155" s="11">
        <f t="shared" si="146"/>
        <v>74.453936611404387</v>
      </c>
      <c r="F155" s="11">
        <f t="shared" si="146"/>
        <v>81.977793168316026</v>
      </c>
      <c r="H155" s="40">
        <f t="shared" si="147"/>
        <v>2.052924754635832</v>
      </c>
      <c r="I155" s="40">
        <f t="shared" si="148"/>
        <v>1.0650191874393977</v>
      </c>
      <c r="L155" s="10" t="str">
        <f t="shared" ref="L155:Q155" si="155">L10</f>
        <v>21 Science, research, engineering and technology professionals</v>
      </c>
      <c r="M155" s="11">
        <f t="shared" si="155"/>
        <v>50.346544547552391</v>
      </c>
      <c r="N155" s="11">
        <f t="shared" si="155"/>
        <v>54.358891839603281</v>
      </c>
      <c r="O155" s="11">
        <f t="shared" si="155"/>
        <v>53.663537123871947</v>
      </c>
      <c r="P155" s="11">
        <f t="shared" si="155"/>
        <v>55.309003853057114</v>
      </c>
      <c r="Q155" s="11">
        <f t="shared" si="155"/>
        <v>59.505482196258789</v>
      </c>
      <c r="S155" s="40">
        <f t="shared" si="150"/>
        <v>1.2842520252819956</v>
      </c>
      <c r="T155" s="40">
        <f t="shared" si="151"/>
        <v>0.6912762660147953</v>
      </c>
      <c r="W155" s="10" t="str">
        <f t="shared" ref="W155:AB155" si="156">W10</f>
        <v>21 Science, research, engineering and technology professionals</v>
      </c>
      <c r="X155" s="11">
        <f t="shared" si="156"/>
        <v>12.83001949384167</v>
      </c>
      <c r="Y155" s="11">
        <f t="shared" si="156"/>
        <v>13.60351760128467</v>
      </c>
      <c r="Z155" s="11">
        <f t="shared" si="156"/>
        <v>16.269643567740438</v>
      </c>
      <c r="AA155" s="11">
        <f t="shared" si="156"/>
        <v>19.144932758347309</v>
      </c>
      <c r="AB155" s="11">
        <f t="shared" si="156"/>
        <v>22.472310972057194</v>
      </c>
      <c r="AD155" s="40">
        <f t="shared" si="153"/>
        <v>4.8648993803908969</v>
      </c>
      <c r="AE155" s="40">
        <f t="shared" si="154"/>
        <v>2.1765684821586806</v>
      </c>
    </row>
    <row r="156" spans="1:31" x14ac:dyDescent="0.2">
      <c r="A156" s="10" t="str">
        <f t="shared" si="142"/>
        <v>22 Health professionals</v>
      </c>
      <c r="B156" s="11">
        <f t="shared" si="142"/>
        <v>28.267194384711377</v>
      </c>
      <c r="C156" s="11">
        <f t="shared" si="146"/>
        <v>33.804261892733194</v>
      </c>
      <c r="D156" s="11">
        <f t="shared" si="146"/>
        <v>33.507088363575704</v>
      </c>
      <c r="E156" s="11">
        <f t="shared" si="146"/>
        <v>35.446328771962605</v>
      </c>
      <c r="F156" s="11">
        <f t="shared" si="146"/>
        <v>37.145736440383374</v>
      </c>
      <c r="H156" s="40">
        <f t="shared" si="147"/>
        <v>3.459600505058158</v>
      </c>
      <c r="I156" s="40">
        <f t="shared" si="148"/>
        <v>0.68964711587993222</v>
      </c>
      <c r="L156" s="10" t="str">
        <f t="shared" ref="L156:Q156" si="157">L11</f>
        <v>22 Health professionals</v>
      </c>
      <c r="M156" s="11">
        <f t="shared" si="157"/>
        <v>6.1180916749762089</v>
      </c>
      <c r="N156" s="11">
        <f t="shared" si="157"/>
        <v>7.194605074061668</v>
      </c>
      <c r="O156" s="11">
        <f t="shared" si="157"/>
        <v>7.7171536857218275</v>
      </c>
      <c r="P156" s="11">
        <f t="shared" si="157"/>
        <v>8.1075383589400367</v>
      </c>
      <c r="Q156" s="11">
        <f t="shared" si="157"/>
        <v>8.5250487073176586</v>
      </c>
      <c r="S156" s="40">
        <f t="shared" si="150"/>
        <v>4.7534255556866523</v>
      </c>
      <c r="T156" s="40">
        <f t="shared" si="151"/>
        <v>0.66596195782715473</v>
      </c>
      <c r="W156" s="10" t="str">
        <f t="shared" ref="W156:AB156" si="158">W11</f>
        <v>22 Health professionals</v>
      </c>
      <c r="X156" s="11">
        <f t="shared" si="158"/>
        <v>22.1491027097352</v>
      </c>
      <c r="Y156" s="11">
        <f t="shared" si="158"/>
        <v>26.609656818671528</v>
      </c>
      <c r="Z156" s="11">
        <f t="shared" si="158"/>
        <v>25.789934677853875</v>
      </c>
      <c r="AA156" s="11">
        <f t="shared" si="158"/>
        <v>27.338790413022565</v>
      </c>
      <c r="AB156" s="11">
        <f t="shared" si="158"/>
        <v>28.620687733065719</v>
      </c>
      <c r="AD156" s="40">
        <f t="shared" si="153"/>
        <v>3.0905415432762373</v>
      </c>
      <c r="AE156" s="40">
        <f t="shared" si="154"/>
        <v>0.69671931831847278</v>
      </c>
    </row>
    <row r="157" spans="1:31" x14ac:dyDescent="0.2">
      <c r="A157" s="10" t="str">
        <f t="shared" si="142"/>
        <v>23 Teaching and other educational professionals</v>
      </c>
      <c r="B157" s="11">
        <f t="shared" si="142"/>
        <v>38.222998373704257</v>
      </c>
      <c r="C157" s="11">
        <f t="shared" si="146"/>
        <v>39.126425629130246</v>
      </c>
      <c r="D157" s="11">
        <f t="shared" si="146"/>
        <v>39.418497018336062</v>
      </c>
      <c r="E157" s="11">
        <f t="shared" si="146"/>
        <v>40.742480700690237</v>
      </c>
      <c r="F157" s="11">
        <f t="shared" si="146"/>
        <v>43.903871917542446</v>
      </c>
      <c r="H157" s="40">
        <f t="shared" si="147"/>
        <v>0.61785665812612578</v>
      </c>
      <c r="I157" s="40">
        <f t="shared" si="148"/>
        <v>0.7210359772727104</v>
      </c>
      <c r="L157" s="10" t="str">
        <f t="shared" ref="L157:Q157" si="159">L12</f>
        <v>23 Teaching and other educational professionals</v>
      </c>
      <c r="M157" s="11">
        <f t="shared" si="159"/>
        <v>12.016821943185226</v>
      </c>
      <c r="N157" s="11">
        <f t="shared" si="159"/>
        <v>11.654590292384558</v>
      </c>
      <c r="O157" s="11">
        <f t="shared" si="159"/>
        <v>12.388805970653415</v>
      </c>
      <c r="P157" s="11">
        <f t="shared" si="159"/>
        <v>13.326928087556256</v>
      </c>
      <c r="Q157" s="11">
        <f t="shared" si="159"/>
        <v>14.320841966154246</v>
      </c>
      <c r="S157" s="40">
        <f t="shared" si="150"/>
        <v>0.61157903137016856</v>
      </c>
      <c r="T157" s="40">
        <f t="shared" si="151"/>
        <v>0.9708332099733985</v>
      </c>
      <c r="W157" s="10" t="str">
        <f t="shared" ref="W157:AB157" si="160">W12</f>
        <v>23 Teaching and other educational professionals</v>
      </c>
      <c r="X157" s="11">
        <f t="shared" si="160"/>
        <v>26.206176430519069</v>
      </c>
      <c r="Y157" s="11">
        <f t="shared" si="160"/>
        <v>27.471835336745716</v>
      </c>
      <c r="Z157" s="11">
        <f t="shared" si="160"/>
        <v>27.029691047682768</v>
      </c>
      <c r="AA157" s="11">
        <f t="shared" si="160"/>
        <v>27.415552613134015</v>
      </c>
      <c r="AB157" s="11">
        <f t="shared" si="160"/>
        <v>29.58302995138822</v>
      </c>
      <c r="AD157" s="40">
        <f t="shared" si="153"/>
        <v>0.62073473519426159</v>
      </c>
      <c r="AE157" s="40">
        <f t="shared" si="154"/>
        <v>0.60358061263381391</v>
      </c>
    </row>
    <row r="158" spans="1:31" x14ac:dyDescent="0.2">
      <c r="A158" s="10" t="str">
        <f t="shared" si="142"/>
        <v>24 Business, media and public service professionals</v>
      </c>
      <c r="B158" s="11">
        <f t="shared" si="142"/>
        <v>57.737964261655698</v>
      </c>
      <c r="C158" s="11">
        <f t="shared" si="146"/>
        <v>64.092050381121737</v>
      </c>
      <c r="D158" s="11">
        <f t="shared" si="146"/>
        <v>67.322193591479675</v>
      </c>
      <c r="E158" s="11">
        <f t="shared" si="146"/>
        <v>75.317210889773705</v>
      </c>
      <c r="F158" s="11">
        <f t="shared" si="146"/>
        <v>83.502594033223147</v>
      </c>
      <c r="H158" s="40">
        <f t="shared" si="147"/>
        <v>3.1191579975672346</v>
      </c>
      <c r="I158" s="40">
        <f t="shared" si="148"/>
        <v>1.446277124175066</v>
      </c>
      <c r="L158" s="10" t="str">
        <f t="shared" ref="L158:Q158" si="161">L13</f>
        <v>24 Business, media and public service professionals</v>
      </c>
      <c r="M158" s="11">
        <f t="shared" si="161"/>
        <v>34.408832727101583</v>
      </c>
      <c r="N158" s="11">
        <f t="shared" si="161"/>
        <v>36.169308767087735</v>
      </c>
      <c r="O158" s="11">
        <f t="shared" si="161"/>
        <v>37.470661484166961</v>
      </c>
      <c r="P158" s="11">
        <f t="shared" si="161"/>
        <v>42.376808883269945</v>
      </c>
      <c r="Q158" s="11">
        <f t="shared" si="161"/>
        <v>46.198846141147392</v>
      </c>
      <c r="S158" s="40">
        <f t="shared" si="150"/>
        <v>1.7195157484018786</v>
      </c>
      <c r="T158" s="40">
        <f t="shared" si="151"/>
        <v>1.4057662992217335</v>
      </c>
      <c r="W158" s="10" t="str">
        <f t="shared" ref="W158:AB158" si="162">W13</f>
        <v>24 Business, media and public service professionals</v>
      </c>
      <c r="X158" s="11">
        <f t="shared" si="162"/>
        <v>23.329131534554175</v>
      </c>
      <c r="Y158" s="11">
        <f t="shared" si="162"/>
        <v>27.922741614034035</v>
      </c>
      <c r="Z158" s="11">
        <f t="shared" si="162"/>
        <v>29.851532107312661</v>
      </c>
      <c r="AA158" s="11">
        <f t="shared" si="162"/>
        <v>32.940402006503682</v>
      </c>
      <c r="AB158" s="11">
        <f t="shared" si="162"/>
        <v>37.303747892075826</v>
      </c>
      <c r="AD158" s="40">
        <f t="shared" si="153"/>
        <v>5.054246181814448</v>
      </c>
      <c r="AE158" s="40">
        <f t="shared" si="154"/>
        <v>1.4968092181785408</v>
      </c>
    </row>
    <row r="159" spans="1:31" x14ac:dyDescent="0.2">
      <c r="A159" s="10" t="str">
        <f t="shared" si="142"/>
        <v>31 Science, engineering and technology associate professionals</v>
      </c>
      <c r="B159" s="11">
        <f t="shared" si="142"/>
        <v>15.495168489057251</v>
      </c>
      <c r="C159" s="11">
        <f t="shared" si="146"/>
        <v>17.069560549647854</v>
      </c>
      <c r="D159" s="11">
        <f t="shared" si="146"/>
        <v>18.372333308333101</v>
      </c>
      <c r="E159" s="11">
        <f t="shared" si="146"/>
        <v>16.390845416542803</v>
      </c>
      <c r="F159" s="11">
        <f t="shared" si="146"/>
        <v>17.616695063451782</v>
      </c>
      <c r="H159" s="40">
        <f t="shared" si="147"/>
        <v>3.4650334639275027</v>
      </c>
      <c r="I159" s="40">
        <f t="shared" si="148"/>
        <v>-0.27960087272583811</v>
      </c>
      <c r="L159" s="10" t="str">
        <f t="shared" ref="L159:Q159" si="163">L14</f>
        <v>31 Science, engineering and technology associate professionals</v>
      </c>
      <c r="M159" s="11">
        <f t="shared" si="163"/>
        <v>10.719833909804809</v>
      </c>
      <c r="N159" s="11">
        <f t="shared" si="163"/>
        <v>12.270902057539265</v>
      </c>
      <c r="O159" s="11">
        <f t="shared" si="163"/>
        <v>12.602651998065593</v>
      </c>
      <c r="P159" s="11">
        <f t="shared" si="163"/>
        <v>10.436442662049677</v>
      </c>
      <c r="Q159" s="11">
        <f t="shared" si="163"/>
        <v>10.611954146631591</v>
      </c>
      <c r="S159" s="40">
        <f t="shared" si="150"/>
        <v>3.2891676028966366</v>
      </c>
      <c r="T159" s="40">
        <f t="shared" si="151"/>
        <v>-1.1396307956998863</v>
      </c>
      <c r="W159" s="10" t="str">
        <f t="shared" ref="W159:AB159" si="164">W14</f>
        <v>31 Science, engineering and technology associate professionals</v>
      </c>
      <c r="X159" s="11">
        <f t="shared" si="164"/>
        <v>4.7753345792524247</v>
      </c>
      <c r="Y159" s="11">
        <f t="shared" si="164"/>
        <v>4.798658492108566</v>
      </c>
      <c r="Z159" s="11">
        <f t="shared" si="164"/>
        <v>5.7696813102675133</v>
      </c>
      <c r="AA159" s="11">
        <f t="shared" si="164"/>
        <v>5.9544027544931204</v>
      </c>
      <c r="AB159" s="11">
        <f t="shared" si="164"/>
        <v>7.0047409168201789</v>
      </c>
      <c r="AD159" s="40">
        <f t="shared" si="153"/>
        <v>3.8555246492438355</v>
      </c>
      <c r="AE159" s="40">
        <f t="shared" si="154"/>
        <v>1.3015328010546279</v>
      </c>
    </row>
    <row r="160" spans="1:31" x14ac:dyDescent="0.2">
      <c r="A160" s="10" t="str">
        <f t="shared" si="142"/>
        <v>32 Health and social care associate professionals</v>
      </c>
      <c r="B160" s="11">
        <f t="shared" si="142"/>
        <v>12.707484419440277</v>
      </c>
      <c r="C160" s="11">
        <f t="shared" si="146"/>
        <v>14.445980344186147</v>
      </c>
      <c r="D160" s="11">
        <f t="shared" si="146"/>
        <v>14.702827358199553</v>
      </c>
      <c r="E160" s="11">
        <f t="shared" si="146"/>
        <v>14.669006530218624</v>
      </c>
      <c r="F160" s="11">
        <f t="shared" si="146"/>
        <v>15.567270685868875</v>
      </c>
      <c r="H160" s="40">
        <f t="shared" si="147"/>
        <v>2.9599337316154051</v>
      </c>
      <c r="I160" s="40">
        <f t="shared" si="148"/>
        <v>0.38159867251259527</v>
      </c>
      <c r="L160" s="10" t="str">
        <f t="shared" ref="L160:Q160" si="165">L15</f>
        <v>32 Health and social care associate professionals</v>
      </c>
      <c r="M160" s="11">
        <f t="shared" si="165"/>
        <v>2.6081296876100293</v>
      </c>
      <c r="N160" s="11">
        <f t="shared" si="165"/>
        <v>2.6522488175463739</v>
      </c>
      <c r="O160" s="11">
        <f t="shared" si="165"/>
        <v>3.006480564146885</v>
      </c>
      <c r="P160" s="11">
        <f t="shared" si="165"/>
        <v>2.6832013973246078</v>
      </c>
      <c r="Q160" s="11">
        <f t="shared" si="165"/>
        <v>2.7920022577968115</v>
      </c>
      <c r="S160" s="40">
        <f t="shared" si="150"/>
        <v>2.8835268832928085</v>
      </c>
      <c r="T160" s="40">
        <f>IF(Q$151-O$151 &lt;&gt; 0,(EXP(LN(Q160/O160)/(Q$151-O$151))-1)*100,0)</f>
        <v>-0.49219243246965139</v>
      </c>
      <c r="W160" s="10" t="str">
        <f t="shared" ref="W160:AB160" si="166">W15</f>
        <v>32 Health and social care associate professionals</v>
      </c>
      <c r="X160" s="11">
        <f t="shared" si="166"/>
        <v>10.09935473183025</v>
      </c>
      <c r="Y160" s="11">
        <f t="shared" si="166"/>
        <v>11.793731526639766</v>
      </c>
      <c r="Z160" s="11">
        <f t="shared" si="166"/>
        <v>11.696346794052676</v>
      </c>
      <c r="AA160" s="11">
        <f t="shared" si="166"/>
        <v>11.985805132894033</v>
      </c>
      <c r="AB160" s="11">
        <f t="shared" si="166"/>
        <v>12.775268428072062</v>
      </c>
      <c r="AD160" s="40">
        <f t="shared" si="153"/>
        <v>2.9796287825653467</v>
      </c>
      <c r="AE160" s="40">
        <f t="shared" si="154"/>
        <v>0.58996410450979919</v>
      </c>
    </row>
    <row r="161" spans="1:31" x14ac:dyDescent="0.2">
      <c r="A161" s="10" t="str">
        <f t="shared" si="142"/>
        <v>33 Protective service occupations</v>
      </c>
      <c r="B161" s="11">
        <f t="shared" si="142"/>
        <v>10.245227559390734</v>
      </c>
      <c r="C161" s="11">
        <f t="shared" si="146"/>
        <v>9.7022571982924486</v>
      </c>
      <c r="D161" s="11">
        <f t="shared" si="146"/>
        <v>10.190391215898869</v>
      </c>
      <c r="E161" s="11">
        <f t="shared" si="146"/>
        <v>12.247353027579933</v>
      </c>
      <c r="F161" s="11">
        <f t="shared" si="146"/>
        <v>13.966560653587337</v>
      </c>
      <c r="H161" s="40">
        <f t="shared" si="147"/>
        <v>-0.10727750766410526</v>
      </c>
      <c r="I161" s="40">
        <f t="shared" si="148"/>
        <v>2.1237077952086736</v>
      </c>
      <c r="L161" s="10" t="str">
        <f t="shared" ref="L161:Q161" si="167">L16</f>
        <v>33 Protective service occupations</v>
      </c>
      <c r="M161" s="11">
        <f t="shared" si="167"/>
        <v>8.0582778342148007</v>
      </c>
      <c r="N161" s="11">
        <f t="shared" si="167"/>
        <v>7.3538520086701284</v>
      </c>
      <c r="O161" s="11">
        <f t="shared" si="167"/>
        <v>7.5785391566407831</v>
      </c>
      <c r="P161" s="11">
        <f t="shared" si="167"/>
        <v>8.7354382889116557</v>
      </c>
      <c r="Q161" s="11">
        <f t="shared" si="167"/>
        <v>9.3897920371263535</v>
      </c>
      <c r="S161" s="40">
        <f t="shared" si="150"/>
        <v>-1.2200840304543159</v>
      </c>
      <c r="T161" s="40">
        <f t="shared" si="151"/>
        <v>1.4389390615572317</v>
      </c>
      <c r="W161" s="10" t="str">
        <f t="shared" ref="W161:AB161" si="168">W16</f>
        <v>33 Protective service occupations</v>
      </c>
      <c r="X161" s="11">
        <f t="shared" si="168"/>
        <v>2.1869497251759333</v>
      </c>
      <c r="Y161" s="11">
        <f t="shared" si="168"/>
        <v>2.3484051896223122</v>
      </c>
      <c r="Z161" s="11">
        <f t="shared" si="168"/>
        <v>2.6118520592580938</v>
      </c>
      <c r="AA161" s="11">
        <f t="shared" si="168"/>
        <v>3.5119147386682736</v>
      </c>
      <c r="AB161" s="11">
        <f t="shared" si="168"/>
        <v>4.5767686164609982</v>
      </c>
      <c r="AD161" s="40">
        <f t="shared" si="153"/>
        <v>3.6148386203622929</v>
      </c>
      <c r="AE161" s="40">
        <f t="shared" si="154"/>
        <v>3.8103588210316897</v>
      </c>
    </row>
    <row r="162" spans="1:31" x14ac:dyDescent="0.2">
      <c r="A162" s="10" t="str">
        <f t="shared" si="142"/>
        <v>34 Culture, media and sports occupations</v>
      </c>
      <c r="B162" s="11">
        <f t="shared" si="142"/>
        <v>22.448448989730881</v>
      </c>
      <c r="C162" s="11">
        <f t="shared" si="146"/>
        <v>19.858512300221925</v>
      </c>
      <c r="D162" s="11">
        <f t="shared" si="146"/>
        <v>20.723051149864897</v>
      </c>
      <c r="E162" s="11">
        <f t="shared" si="146"/>
        <v>20.672704740666106</v>
      </c>
      <c r="F162" s="11">
        <f t="shared" si="146"/>
        <v>22.738822976872477</v>
      </c>
      <c r="H162" s="40">
        <f t="shared" si="147"/>
        <v>-1.5867732068172602</v>
      </c>
      <c r="I162" s="40">
        <f t="shared" si="148"/>
        <v>0.62076590898481054</v>
      </c>
      <c r="L162" s="10" t="str">
        <f t="shared" ref="L162:Q162" si="169">L17</f>
        <v>34 Culture, media and sports occupations</v>
      </c>
      <c r="M162" s="11">
        <f t="shared" si="169"/>
        <v>12.293731325657351</v>
      </c>
      <c r="N162" s="11">
        <f t="shared" si="169"/>
        <v>10.258494291789139</v>
      </c>
      <c r="O162" s="11">
        <f t="shared" si="169"/>
        <v>10.244518759580663</v>
      </c>
      <c r="P162" s="11">
        <f t="shared" si="169"/>
        <v>10.443457335561895</v>
      </c>
      <c r="Q162" s="11">
        <f t="shared" si="169"/>
        <v>11.821344092933405</v>
      </c>
      <c r="S162" s="40">
        <f t="shared" si="150"/>
        <v>-3.5812340080632943</v>
      </c>
      <c r="T162" s="40">
        <f t="shared" si="151"/>
        <v>0.95899524770099998</v>
      </c>
      <c r="W162" s="10" t="str">
        <f t="shared" ref="W162:AB162" si="170">W17</f>
        <v>34 Culture, media and sports occupations</v>
      </c>
      <c r="X162" s="11">
        <f t="shared" si="170"/>
        <v>10.154717664073546</v>
      </c>
      <c r="Y162" s="11">
        <f t="shared" si="170"/>
        <v>9.6000180084327855</v>
      </c>
      <c r="Z162" s="11">
        <f t="shared" si="170"/>
        <v>10.478532390284252</v>
      </c>
      <c r="AA162" s="11">
        <f t="shared" si="170"/>
        <v>10.229247405104227</v>
      </c>
      <c r="AB162" s="11">
        <f t="shared" si="170"/>
        <v>10.91747888393906</v>
      </c>
      <c r="AD162" s="40">
        <f t="shared" si="153"/>
        <v>0.62977958454482064</v>
      </c>
      <c r="AE162" s="40">
        <f t="shared" si="154"/>
        <v>0.27395084297638927</v>
      </c>
    </row>
    <row r="163" spans="1:31" x14ac:dyDescent="0.2">
      <c r="A163" s="10" t="str">
        <f t="shared" si="142"/>
        <v>35 Business and public service associate professionals</v>
      </c>
      <c r="B163" s="11">
        <f t="shared" si="142"/>
        <v>57.166023212767385</v>
      </c>
      <c r="C163" s="11">
        <f t="shared" si="146"/>
        <v>58.97909494753258</v>
      </c>
      <c r="D163" s="11">
        <f t="shared" si="146"/>
        <v>60.097066683667329</v>
      </c>
      <c r="E163" s="11">
        <f t="shared" si="146"/>
        <v>58.292490305743463</v>
      </c>
      <c r="F163" s="11">
        <f t="shared" si="146"/>
        <v>60.637317723298622</v>
      </c>
      <c r="H163" s="40">
        <f t="shared" si="147"/>
        <v>1.0050431913041669</v>
      </c>
      <c r="I163" s="40">
        <f t="shared" si="148"/>
        <v>5.9680965143238396E-2</v>
      </c>
      <c r="L163" s="10" t="str">
        <f t="shared" ref="L163:Q163" si="171">L18</f>
        <v>35 Business and public service associate professionals</v>
      </c>
      <c r="M163" s="11">
        <f t="shared" si="171"/>
        <v>30.135913725207796</v>
      </c>
      <c r="N163" s="11">
        <f t="shared" si="171"/>
        <v>30.251876431862041</v>
      </c>
      <c r="O163" s="11">
        <f t="shared" si="171"/>
        <v>31.07790018991216</v>
      </c>
      <c r="P163" s="11">
        <f t="shared" si="171"/>
        <v>29.228509198205717</v>
      </c>
      <c r="Q163" s="11">
        <f t="shared" si="171"/>
        <v>29.328547744682947</v>
      </c>
      <c r="S163" s="40">
        <f t="shared" si="150"/>
        <v>0.61748571565183319</v>
      </c>
      <c r="T163" s="40">
        <f t="shared" si="151"/>
        <v>-0.38549235865481535</v>
      </c>
      <c r="W163" s="10" t="str">
        <f t="shared" ref="W163:AB163" si="172">W18</f>
        <v>35 Business and public service associate professionals</v>
      </c>
      <c r="X163" s="11">
        <f t="shared" si="172"/>
        <v>27.030109487559699</v>
      </c>
      <c r="Y163" s="11">
        <f t="shared" si="172"/>
        <v>28.727218515670533</v>
      </c>
      <c r="Z163" s="11">
        <f t="shared" si="172"/>
        <v>29.019166493755165</v>
      </c>
      <c r="AA163" s="11">
        <f t="shared" si="172"/>
        <v>29.063981107537813</v>
      </c>
      <c r="AB163" s="11">
        <f t="shared" si="172"/>
        <v>31.308769978615686</v>
      </c>
      <c r="AD163" s="40">
        <f t="shared" si="153"/>
        <v>1.4302336419144579</v>
      </c>
      <c r="AE163" s="40">
        <f t="shared" si="154"/>
        <v>0.50756191377152593</v>
      </c>
    </row>
    <row r="164" spans="1:31" x14ac:dyDescent="0.2">
      <c r="A164" s="10" t="str">
        <f t="shared" si="142"/>
        <v>41 Administrative occupations</v>
      </c>
      <c r="B164" s="11">
        <f t="shared" si="142"/>
        <v>72.16613856968074</v>
      </c>
      <c r="C164" s="11">
        <f t="shared" si="146"/>
        <v>68.464955203891563</v>
      </c>
      <c r="D164" s="11">
        <f t="shared" si="146"/>
        <v>69.940840134492603</v>
      </c>
      <c r="E164" s="11">
        <f t="shared" si="146"/>
        <v>63.62682297672081</v>
      </c>
      <c r="F164" s="11">
        <f t="shared" si="146"/>
        <v>58.446301695484934</v>
      </c>
      <c r="H164" s="40">
        <f t="shared" si="147"/>
        <v>-0.62446600020442666</v>
      </c>
      <c r="I164" s="40">
        <f t="shared" si="148"/>
        <v>-1.1898073473603499</v>
      </c>
      <c r="L164" s="10" t="str">
        <f t="shared" ref="L164:Q164" si="173">L19</f>
        <v>41 Administrative occupations</v>
      </c>
      <c r="M164" s="11">
        <f t="shared" si="173"/>
        <v>18.298943668710727</v>
      </c>
      <c r="N164" s="11">
        <f t="shared" si="173"/>
        <v>16.543178299919877</v>
      </c>
      <c r="O164" s="11">
        <f t="shared" si="173"/>
        <v>19.198886990863684</v>
      </c>
      <c r="P164" s="11">
        <f t="shared" si="173"/>
        <v>17.967589493741034</v>
      </c>
      <c r="Q164" s="11">
        <f t="shared" si="173"/>
        <v>18.995570472057207</v>
      </c>
      <c r="S164" s="40">
        <f t="shared" si="150"/>
        <v>0.96480397167664211</v>
      </c>
      <c r="T164" s="40">
        <f t="shared" si="151"/>
        <v>-7.0951412176789574E-2</v>
      </c>
      <c r="W164" s="10" t="str">
        <f t="shared" ref="W164:AB164" si="174">W19</f>
        <v>41 Administrative occupations</v>
      </c>
      <c r="X164" s="11">
        <f t="shared" si="174"/>
        <v>53.867194900969992</v>
      </c>
      <c r="Y164" s="11">
        <f t="shared" si="174"/>
        <v>51.921776903971612</v>
      </c>
      <c r="Z164" s="11">
        <f t="shared" si="174"/>
        <v>50.741953143628976</v>
      </c>
      <c r="AA164" s="11">
        <f t="shared" si="174"/>
        <v>45.659233482979793</v>
      </c>
      <c r="AB164" s="11">
        <f t="shared" si="174"/>
        <v>39.450731223427724</v>
      </c>
      <c r="AD164" s="40">
        <f t="shared" si="153"/>
        <v>-1.1882561499764077</v>
      </c>
      <c r="AE164" s="40">
        <f t="shared" si="154"/>
        <v>-1.6640030381590898</v>
      </c>
    </row>
    <row r="165" spans="1:31" x14ac:dyDescent="0.2">
      <c r="A165" s="10" t="str">
        <f t="shared" si="142"/>
        <v>42 Secretarial and related occupations</v>
      </c>
      <c r="B165" s="11">
        <f t="shared" si="142"/>
        <v>21.802106897221897</v>
      </c>
      <c r="C165" s="11">
        <f t="shared" si="146"/>
        <v>19.035170606274182</v>
      </c>
      <c r="D165" s="11">
        <f t="shared" si="146"/>
        <v>18.438489888023401</v>
      </c>
      <c r="E165" s="11">
        <f t="shared" si="146"/>
        <v>18.691494382380792</v>
      </c>
      <c r="F165" s="11">
        <f t="shared" si="146"/>
        <v>14.878254872716308</v>
      </c>
      <c r="H165" s="40">
        <f t="shared" si="147"/>
        <v>-3.2957909952898601</v>
      </c>
      <c r="I165" s="40">
        <f t="shared" si="148"/>
        <v>-1.4200841765729</v>
      </c>
      <c r="L165" s="10" t="str">
        <f t="shared" ref="L165:Q165" si="175">L20</f>
        <v>42 Secretarial and related occupations</v>
      </c>
      <c r="M165" s="11">
        <f t="shared" si="175"/>
        <v>1.0168323182343693</v>
      </c>
      <c r="N165" s="11">
        <f t="shared" si="175"/>
        <v>0.79959009688480764</v>
      </c>
      <c r="O165" s="11">
        <f t="shared" si="175"/>
        <v>0.71911521794111299</v>
      </c>
      <c r="P165" s="11">
        <f t="shared" si="175"/>
        <v>0.97337500303025037</v>
      </c>
      <c r="Q165" s="11">
        <f t="shared" si="175"/>
        <v>1.1229885767190426</v>
      </c>
      <c r="S165" s="40">
        <f>IF(O$151-M$151 &lt;&gt; 0,(EXP(LN(O165/M165)/(O$151-M$151))-1)*100,0)</f>
        <v>-6.6939450177031956</v>
      </c>
      <c r="T165" s="40">
        <f t="shared" si="151"/>
        <v>3.0161046674519465</v>
      </c>
      <c r="W165" s="10" t="str">
        <f t="shared" ref="W165:AB165" si="176">W20</f>
        <v>42 Secretarial and related occupations</v>
      </c>
      <c r="X165" s="11">
        <f t="shared" si="176"/>
        <v>20.785274578987529</v>
      </c>
      <c r="Y165" s="11">
        <f t="shared" si="176"/>
        <v>18.235580509389376</v>
      </c>
      <c r="Z165" s="11">
        <f t="shared" si="176"/>
        <v>17.719374670082292</v>
      </c>
      <c r="AA165" s="11">
        <f t="shared" si="176"/>
        <v>17.718119379350544</v>
      </c>
      <c r="AB165" s="11">
        <f t="shared" si="176"/>
        <v>13.755266295997265</v>
      </c>
      <c r="AD165" s="40">
        <f t="shared" si="153"/>
        <v>-3.1413247051855775</v>
      </c>
      <c r="AE165" s="40">
        <f t="shared" si="154"/>
        <v>-1.6740749925363341</v>
      </c>
    </row>
    <row r="166" spans="1:31" x14ac:dyDescent="0.2">
      <c r="A166" s="10" t="str">
        <f t="shared" si="142"/>
        <v>51 Skilled agricultural and related trades</v>
      </c>
      <c r="B166" s="11">
        <f t="shared" si="142"/>
        <v>8.4039470707917943</v>
      </c>
      <c r="C166" s="11">
        <f t="shared" si="146"/>
        <v>8.8761071523968695</v>
      </c>
      <c r="D166" s="11">
        <f t="shared" si="146"/>
        <v>7.0314570870948216</v>
      </c>
      <c r="E166" s="11">
        <f t="shared" si="146"/>
        <v>7.5692138796838897</v>
      </c>
      <c r="F166" s="11">
        <f t="shared" si="146"/>
        <v>8.8852578157912987</v>
      </c>
      <c r="H166" s="40">
        <f t="shared" si="147"/>
        <v>-3.503312697279104</v>
      </c>
      <c r="I166" s="40">
        <f t="shared" si="148"/>
        <v>1.5722283168687845</v>
      </c>
      <c r="L166" s="10" t="str">
        <f t="shared" ref="L166:Q166" si="177">L21</f>
        <v>51 Skilled agricultural and related trades</v>
      </c>
      <c r="M166" s="11">
        <f t="shared" si="177"/>
        <v>6.5270868214511761</v>
      </c>
      <c r="N166" s="11">
        <f t="shared" si="177"/>
        <v>7.565207012353719</v>
      </c>
      <c r="O166" s="11">
        <f t="shared" si="177"/>
        <v>5.2942190674376768</v>
      </c>
      <c r="P166" s="11">
        <f t="shared" si="177"/>
        <v>5.4978175312106989</v>
      </c>
      <c r="Q166" s="11">
        <f t="shared" si="177"/>
        <v>6.271319943572335</v>
      </c>
      <c r="S166" s="40">
        <f t="shared" si="150"/>
        <v>-4.1004644941733837</v>
      </c>
      <c r="T166" s="40">
        <f t="shared" si="151"/>
        <v>1.1355413182942975</v>
      </c>
      <c r="W166" s="10" t="str">
        <f t="shared" ref="W166:AB166" si="178">W21</f>
        <v>51 Skilled agricultural and related trades</v>
      </c>
      <c r="X166" s="11">
        <f t="shared" si="178"/>
        <v>1.8768602493406097</v>
      </c>
      <c r="Y166" s="11">
        <f t="shared" si="178"/>
        <v>1.3109001400431479</v>
      </c>
      <c r="Z166" s="11">
        <f t="shared" si="178"/>
        <v>1.7372380196571466</v>
      </c>
      <c r="AA166" s="11">
        <f t="shared" si="178"/>
        <v>2.071396348473205</v>
      </c>
      <c r="AB166" s="11">
        <f t="shared" si="178"/>
        <v>2.6139378722189606</v>
      </c>
      <c r="AD166" s="40">
        <f t="shared" si="153"/>
        <v>-1.5341854746711125</v>
      </c>
      <c r="AE166" s="40">
        <f t="shared" si="154"/>
        <v>2.7611752163789083</v>
      </c>
    </row>
    <row r="167" spans="1:31" x14ac:dyDescent="0.2">
      <c r="A167" s="10" t="str">
        <f t="shared" si="142"/>
        <v>52 Skilled metal, electrical and electronic trades</v>
      </c>
      <c r="B167" s="11">
        <f t="shared" si="142"/>
        <v>28.870477861307073</v>
      </c>
      <c r="C167" s="11">
        <f t="shared" si="146"/>
        <v>28.907720779088834</v>
      </c>
      <c r="D167" s="11">
        <f t="shared" si="146"/>
        <v>25.128095818289641</v>
      </c>
      <c r="E167" s="11">
        <f t="shared" si="146"/>
        <v>25.923578569977003</v>
      </c>
      <c r="F167" s="11">
        <f t="shared" si="146"/>
        <v>25.16053680105826</v>
      </c>
      <c r="H167" s="40">
        <f t="shared" si="147"/>
        <v>-2.7384645484242132</v>
      </c>
      <c r="I167" s="40">
        <f t="shared" si="148"/>
        <v>8.6016476722683421E-3</v>
      </c>
      <c r="L167" s="10" t="str">
        <f t="shared" ref="L167:Q167" si="179">L22</f>
        <v>52 Skilled metal, electrical and electronic trades</v>
      </c>
      <c r="M167" s="11">
        <f t="shared" si="179"/>
        <v>28.174687346071202</v>
      </c>
      <c r="N167" s="11">
        <f t="shared" si="179"/>
        <v>27.754568577603521</v>
      </c>
      <c r="O167" s="11">
        <f t="shared" si="179"/>
        <v>24.261976877609595</v>
      </c>
      <c r="P167" s="11">
        <f t="shared" si="179"/>
        <v>23.952911208037818</v>
      </c>
      <c r="Q167" s="11">
        <f t="shared" si="179"/>
        <v>22.642415247289783</v>
      </c>
      <c r="S167" s="40">
        <f t="shared" si="150"/>
        <v>-2.9460052198953535</v>
      </c>
      <c r="T167" s="40">
        <f t="shared" si="151"/>
        <v>-0.45951073166027312</v>
      </c>
      <c r="W167" s="10" t="str">
        <f t="shared" ref="W167:AB167" si="180">W22</f>
        <v>52 Skilled metal, electrical and electronic trades</v>
      </c>
      <c r="X167" s="11">
        <f t="shared" si="180"/>
        <v>0.6957905152358993</v>
      </c>
      <c r="Y167" s="11">
        <f t="shared" si="180"/>
        <v>1.1531522014853466</v>
      </c>
      <c r="Z167" s="11">
        <f t="shared" si="180"/>
        <v>0.86611894068007089</v>
      </c>
      <c r="AA167" s="11">
        <f t="shared" si="180"/>
        <v>1.9706673619391966</v>
      </c>
      <c r="AB167" s="11">
        <f t="shared" si="180"/>
        <v>2.5181215537684758</v>
      </c>
      <c r="AD167" s="40">
        <f t="shared" si="153"/>
        <v>4.4767865612818092</v>
      </c>
      <c r="AE167" s="40">
        <f t="shared" si="154"/>
        <v>7.3742006218822986</v>
      </c>
    </row>
    <row r="168" spans="1:31" x14ac:dyDescent="0.2">
      <c r="A168" s="10" t="str">
        <f t="shared" si="142"/>
        <v>53 Skilled construction and building trades</v>
      </c>
      <c r="B168" s="11">
        <f t="shared" si="142"/>
        <v>24.522418259082531</v>
      </c>
      <c r="C168" s="11">
        <f t="shared" si="146"/>
        <v>22.755820067139542</v>
      </c>
      <c r="D168" s="11">
        <f t="shared" si="146"/>
        <v>20.419196268607529</v>
      </c>
      <c r="E168" s="11">
        <f t="shared" si="146"/>
        <v>21.867085904972658</v>
      </c>
      <c r="F168" s="11">
        <f t="shared" si="146"/>
        <v>20.361165478126061</v>
      </c>
      <c r="H168" s="40">
        <f t="shared" si="147"/>
        <v>-3.5959965470597766</v>
      </c>
      <c r="I168" s="40">
        <f t="shared" si="148"/>
        <v>-1.8971656057709119E-2</v>
      </c>
      <c r="L168" s="10" t="str">
        <f t="shared" ref="L168:Q168" si="181">L23</f>
        <v>53 Skilled construction and building trades</v>
      </c>
      <c r="M168" s="11">
        <f t="shared" si="181"/>
        <v>24.137234773278998</v>
      </c>
      <c r="N168" s="11">
        <f t="shared" si="181"/>
        <v>22.31220471322348</v>
      </c>
      <c r="O168" s="11">
        <f t="shared" si="181"/>
        <v>20.00590119581107</v>
      </c>
      <c r="P168" s="11">
        <f t="shared" si="181"/>
        <v>21.486223121647235</v>
      </c>
      <c r="Q168" s="11">
        <f t="shared" si="181"/>
        <v>19.886417611282361</v>
      </c>
      <c r="S168" s="40">
        <f t="shared" si="150"/>
        <v>-3.6849574160677023</v>
      </c>
      <c r="T168" s="40">
        <f t="shared" si="151"/>
        <v>-3.9927514978366219E-2</v>
      </c>
      <c r="W168" s="10" t="str">
        <f t="shared" ref="W168:AB168" si="182">W23</f>
        <v>53 Skilled construction and building trades</v>
      </c>
      <c r="X168" s="11">
        <f t="shared" si="182"/>
        <v>0.38518348580356071</v>
      </c>
      <c r="Y168" s="11">
        <f t="shared" si="182"/>
        <v>0.44361535391605694</v>
      </c>
      <c r="Z168" s="11">
        <f t="shared" si="182"/>
        <v>0.41329507279645616</v>
      </c>
      <c r="AA168" s="11">
        <f t="shared" si="182"/>
        <v>0.38086278332543916</v>
      </c>
      <c r="AB168" s="11">
        <f t="shared" si="182"/>
        <v>0.47474786684368797</v>
      </c>
      <c r="AD168" s="40">
        <f t="shared" si="153"/>
        <v>1.4188107698109853</v>
      </c>
      <c r="AE168" s="40">
        <f t="shared" si="154"/>
        <v>0.92843046787682848</v>
      </c>
    </row>
    <row r="169" spans="1:31" x14ac:dyDescent="0.2">
      <c r="A169" s="10" t="str">
        <f t="shared" si="142"/>
        <v>54 Textiles, printing and other skilled trades</v>
      </c>
      <c r="B169" s="11">
        <f t="shared" si="142"/>
        <v>19.615673592560057</v>
      </c>
      <c r="C169" s="11">
        <f t="shared" si="146"/>
        <v>17.302381047081514</v>
      </c>
      <c r="D169" s="11">
        <f t="shared" si="146"/>
        <v>15.944815188072862</v>
      </c>
      <c r="E169" s="11">
        <f t="shared" si="146"/>
        <v>16.547072698948412</v>
      </c>
      <c r="F169" s="11">
        <f t="shared" si="146"/>
        <v>17.376454790945417</v>
      </c>
      <c r="H169" s="40">
        <f t="shared" si="147"/>
        <v>-4.059218284995902</v>
      </c>
      <c r="I169" s="40">
        <f t="shared" si="148"/>
        <v>0.5748620742074273</v>
      </c>
      <c r="L169" s="10" t="str">
        <f t="shared" ref="L169:Q169" si="183">L24</f>
        <v>54 Textiles, printing and other skilled trades</v>
      </c>
      <c r="M169" s="11">
        <f t="shared" si="183"/>
        <v>12.274302864450659</v>
      </c>
      <c r="N169" s="11">
        <f t="shared" si="183"/>
        <v>10.874315154262877</v>
      </c>
      <c r="O169" s="11">
        <f t="shared" si="183"/>
        <v>9.0961331920357527</v>
      </c>
      <c r="P169" s="11">
        <f t="shared" si="183"/>
        <v>9.3820565970281873</v>
      </c>
      <c r="Q169" s="11">
        <f t="shared" si="183"/>
        <v>9.68997093403744</v>
      </c>
      <c r="S169" s="40">
        <f t="shared" si="150"/>
        <v>-5.8171137874371119</v>
      </c>
      <c r="T169" s="40">
        <f t="shared" si="151"/>
        <v>0.42250355384423344</v>
      </c>
      <c r="W169" s="10" t="str">
        <f t="shared" ref="W169:AB169" si="184">W24</f>
        <v>54 Textiles, printing and other skilled trades</v>
      </c>
      <c r="X169" s="11">
        <f t="shared" si="184"/>
        <v>7.3413707281093954</v>
      </c>
      <c r="Y169" s="11">
        <f t="shared" si="184"/>
        <v>6.4280658928186174</v>
      </c>
      <c r="Z169" s="11">
        <f t="shared" si="184"/>
        <v>6.848681996037099</v>
      </c>
      <c r="AA169" s="11">
        <f t="shared" si="184"/>
        <v>7.1650161019202452</v>
      </c>
      <c r="AB169" s="11">
        <f t="shared" si="184"/>
        <v>7.6864838569079899</v>
      </c>
      <c r="AD169" s="40">
        <f t="shared" si="153"/>
        <v>-1.3797795348635344</v>
      </c>
      <c r="AE169" s="40">
        <f t="shared" si="154"/>
        <v>0.77234880270833361</v>
      </c>
    </row>
    <row r="170" spans="1:31" x14ac:dyDescent="0.2">
      <c r="A170" s="10" t="str">
        <f t="shared" si="142"/>
        <v>61 Caring personal service occupations</v>
      </c>
      <c r="B170" s="11">
        <f t="shared" si="142"/>
        <v>58.131005767511112</v>
      </c>
      <c r="C170" s="11">
        <f t="shared" si="146"/>
        <v>59.688732187940488</v>
      </c>
      <c r="D170" s="11">
        <f t="shared" si="146"/>
        <v>56.991340768895562</v>
      </c>
      <c r="E170" s="11">
        <f t="shared" si="146"/>
        <v>61.449225038953898</v>
      </c>
      <c r="F170" s="11">
        <f t="shared" si="146"/>
        <v>65.879337343067263</v>
      </c>
      <c r="H170" s="40">
        <f t="shared" si="147"/>
        <v>-0.39521383918822428</v>
      </c>
      <c r="I170" s="40">
        <f t="shared" si="148"/>
        <v>0.97085253593887089</v>
      </c>
      <c r="L170" s="10" t="str">
        <f t="shared" ref="L170:Q170" si="185">L25</f>
        <v>61 Caring personal service occupations</v>
      </c>
      <c r="M170" s="11">
        <f t="shared" si="185"/>
        <v>11.159679897500324</v>
      </c>
      <c r="N170" s="11">
        <f t="shared" si="185"/>
        <v>10.964917009478485</v>
      </c>
      <c r="O170" s="11">
        <f t="shared" si="185"/>
        <v>10.861358444176028</v>
      </c>
      <c r="P170" s="11">
        <f t="shared" si="185"/>
        <v>13.341405463514961</v>
      </c>
      <c r="Q170" s="11">
        <f t="shared" si="185"/>
        <v>15.534562716475095</v>
      </c>
      <c r="S170" s="40">
        <f t="shared" si="150"/>
        <v>-0.54045187342024459</v>
      </c>
      <c r="T170" s="40">
        <f t="shared" si="151"/>
        <v>2.4143923161016323</v>
      </c>
      <c r="W170" s="10" t="str">
        <f t="shared" ref="W170:AB170" si="186">W25</f>
        <v>61 Caring personal service occupations</v>
      </c>
      <c r="X170" s="11">
        <f t="shared" si="186"/>
        <v>46.971325870010809</v>
      </c>
      <c r="Y170" s="11">
        <f t="shared" si="186"/>
        <v>48.72381517846199</v>
      </c>
      <c r="Z170" s="11">
        <f t="shared" si="186"/>
        <v>46.129982324719528</v>
      </c>
      <c r="AA170" s="11">
        <f t="shared" si="186"/>
        <v>48.107819575438938</v>
      </c>
      <c r="AB170" s="11">
        <f t="shared" si="186"/>
        <v>50.344774626592219</v>
      </c>
      <c r="AD170" s="40">
        <f t="shared" si="153"/>
        <v>-0.36083169720422248</v>
      </c>
      <c r="AE170" s="40">
        <f t="shared" si="154"/>
        <v>0.58458016233084997</v>
      </c>
    </row>
    <row r="171" spans="1:31" x14ac:dyDescent="0.2">
      <c r="A171" s="10" t="str">
        <f t="shared" si="142"/>
        <v>62 Leisure, travel and related personal service occupations</v>
      </c>
      <c r="B171" s="11">
        <f t="shared" si="142"/>
        <v>22.488059503441097</v>
      </c>
      <c r="C171" s="11">
        <f t="shared" si="146"/>
        <v>22.764587776774363</v>
      </c>
      <c r="D171" s="11">
        <f t="shared" si="146"/>
        <v>20.996416440378088</v>
      </c>
      <c r="E171" s="11">
        <f t="shared" si="146"/>
        <v>21.256535200466839</v>
      </c>
      <c r="F171" s="11">
        <f t="shared" si="146"/>
        <v>21.871543451721784</v>
      </c>
      <c r="H171" s="40">
        <f t="shared" si="147"/>
        <v>-1.3632761051869058</v>
      </c>
      <c r="I171" s="40">
        <f t="shared" si="148"/>
        <v>0.27260174239143176</v>
      </c>
      <c r="L171" s="10" t="str">
        <f t="shared" ref="L171:Q171" si="187">L26</f>
        <v>62 Leisure, travel and related personal service occupations</v>
      </c>
      <c r="M171" s="11">
        <f t="shared" si="187"/>
        <v>6.5422404659955298</v>
      </c>
      <c r="N171" s="11">
        <f t="shared" si="187"/>
        <v>6.9236658168298266</v>
      </c>
      <c r="O171" s="11">
        <f t="shared" si="187"/>
        <v>6.078502525692854</v>
      </c>
      <c r="P171" s="11">
        <f t="shared" si="187"/>
        <v>6.4128439119646652</v>
      </c>
      <c r="Q171" s="11">
        <f t="shared" si="187"/>
        <v>7.2339990347556036</v>
      </c>
      <c r="S171" s="40">
        <f t="shared" si="150"/>
        <v>-1.4596683298291002</v>
      </c>
      <c r="T171" s="40">
        <f t="shared" si="151"/>
        <v>1.1669809037831325</v>
      </c>
      <c r="W171" s="10" t="str">
        <f t="shared" ref="W171:AB171" si="188">W26</f>
        <v>62 Leisure, travel and related personal service occupations</v>
      </c>
      <c r="X171" s="11">
        <f t="shared" si="188"/>
        <v>15.945819037445562</v>
      </c>
      <c r="Y171" s="11">
        <f t="shared" si="188"/>
        <v>15.840921959944501</v>
      </c>
      <c r="Z171" s="11">
        <f t="shared" si="188"/>
        <v>14.917913914685251</v>
      </c>
      <c r="AA171" s="11">
        <f t="shared" si="188"/>
        <v>14.843691288502178</v>
      </c>
      <c r="AB171" s="11">
        <f t="shared" si="188"/>
        <v>14.637544416966168</v>
      </c>
      <c r="AD171" s="40">
        <f t="shared" si="153"/>
        <v>-1.3238371360939416</v>
      </c>
      <c r="AE171" s="40">
        <f t="shared" si="154"/>
        <v>-0.1264067297450322</v>
      </c>
    </row>
    <row r="172" spans="1:31" x14ac:dyDescent="0.2">
      <c r="A172" s="10" t="str">
        <f t="shared" si="142"/>
        <v>63 Community and civil enforcement occupations</v>
      </c>
      <c r="B172" s="11">
        <f t="shared" si="142"/>
        <v>0.92324802540605289</v>
      </c>
      <c r="C172" s="11">
        <f t="shared" si="146"/>
        <v>0.75004945933320477</v>
      </c>
      <c r="D172" s="11">
        <f t="shared" si="146"/>
        <v>0.94047264745824644</v>
      </c>
      <c r="E172" s="11">
        <f t="shared" si="146"/>
        <v>0.76011914420561344</v>
      </c>
      <c r="F172" s="11">
        <f t="shared" si="146"/>
        <v>0.80008169119102535</v>
      </c>
      <c r="H172" s="40">
        <f t="shared" si="147"/>
        <v>0.37037721451724792</v>
      </c>
      <c r="I172" s="40">
        <f t="shared" si="148"/>
        <v>-1.072004163665452</v>
      </c>
      <c r="L172" s="10" t="str">
        <f t="shared" ref="L172:Q172" si="189">L27</f>
        <v>63 Community and civil enforcement occupations</v>
      </c>
      <c r="M172" s="11">
        <f t="shared" si="189"/>
        <v>0.70489847310324194</v>
      </c>
      <c r="N172" s="11">
        <f t="shared" si="189"/>
        <v>0.49537728596617592</v>
      </c>
      <c r="O172" s="11">
        <f t="shared" si="189"/>
        <v>0.71587013483442929</v>
      </c>
      <c r="P172" s="11">
        <f t="shared" si="189"/>
        <v>0.46517134469765287</v>
      </c>
      <c r="Q172" s="11">
        <f t="shared" si="189"/>
        <v>0.51067070535934178</v>
      </c>
      <c r="S172" s="40">
        <f t="shared" si="150"/>
        <v>0.30937742560452897</v>
      </c>
      <c r="T172" s="40">
        <f t="shared" si="151"/>
        <v>-2.2266610144107579</v>
      </c>
      <c r="W172" s="10" t="str">
        <f t="shared" ref="W172:AB172" si="190">W27</f>
        <v>63 Community and civil enforcement occupations</v>
      </c>
      <c r="X172" s="11">
        <f t="shared" si="190"/>
        <v>0.21834955230281078</v>
      </c>
      <c r="Y172" s="11">
        <f t="shared" si="190"/>
        <v>0.25467217336702896</v>
      </c>
      <c r="Z172" s="11">
        <f t="shared" si="190"/>
        <v>0.22460251262381611</v>
      </c>
      <c r="AA172" s="11">
        <f t="shared" si="190"/>
        <v>0.29494779950796041</v>
      </c>
      <c r="AB172" s="11">
        <f t="shared" si="190"/>
        <v>0.28941098583168323</v>
      </c>
      <c r="AD172" s="40">
        <f t="shared" si="153"/>
        <v>0.56629743156491053</v>
      </c>
      <c r="AE172" s="40">
        <f t="shared" si="154"/>
        <v>1.7044666864976632</v>
      </c>
    </row>
    <row r="173" spans="1:31" x14ac:dyDescent="0.2">
      <c r="A173" s="10" t="str">
        <f t="shared" si="142"/>
        <v>71 Sales occupations</v>
      </c>
      <c r="B173" s="11">
        <f t="shared" si="142"/>
        <v>54.477963592890447</v>
      </c>
      <c r="C173" s="11">
        <f t="shared" si="146"/>
        <v>52.542405994336903</v>
      </c>
      <c r="D173" s="11">
        <f t="shared" si="146"/>
        <v>52.38875275613151</v>
      </c>
      <c r="E173" s="11">
        <f t="shared" si="146"/>
        <v>48.745388094071551</v>
      </c>
      <c r="F173" s="11">
        <f t="shared" si="146"/>
        <v>46.442664895555289</v>
      </c>
      <c r="H173" s="40">
        <f t="shared" si="147"/>
        <v>-0.77903677455052334</v>
      </c>
      <c r="I173" s="40">
        <f t="shared" si="148"/>
        <v>-0.79993923642365239</v>
      </c>
      <c r="L173" s="10" t="str">
        <f t="shared" ref="L173:Q173" si="191">L28</f>
        <v>71 Sales occupations</v>
      </c>
      <c r="M173" s="11">
        <f t="shared" si="191"/>
        <v>23.436538539019487</v>
      </c>
      <c r="N173" s="11">
        <f t="shared" si="191"/>
        <v>23.622904671779839</v>
      </c>
      <c r="O173" s="11">
        <f t="shared" si="191"/>
        <v>23.469168887696629</v>
      </c>
      <c r="P173" s="11">
        <f t="shared" si="191"/>
        <v>22.458689879449679</v>
      </c>
      <c r="Q173" s="11">
        <f t="shared" si="191"/>
        <v>22.293960359269587</v>
      </c>
      <c r="S173" s="40">
        <f t="shared" si="150"/>
        <v>2.7830211775037306E-2</v>
      </c>
      <c r="T173" s="40">
        <f t="shared" si="151"/>
        <v>-0.34189282207814919</v>
      </c>
      <c r="W173" s="10" t="str">
        <f t="shared" ref="W173:AB173" si="192">W28</f>
        <v>71 Sales occupations</v>
      </c>
      <c r="X173" s="11">
        <f t="shared" si="192"/>
        <v>31.041425053870949</v>
      </c>
      <c r="Y173" s="11">
        <f t="shared" si="192"/>
        <v>28.919501322557046</v>
      </c>
      <c r="Z173" s="11">
        <f t="shared" si="192"/>
        <v>28.919583868434842</v>
      </c>
      <c r="AA173" s="11">
        <f t="shared" si="192"/>
        <v>26.286698214621929</v>
      </c>
      <c r="AB173" s="11">
        <f t="shared" si="192"/>
        <v>24.148704536285752</v>
      </c>
      <c r="AD173" s="40">
        <f t="shared" si="153"/>
        <v>-1.4060927884049668</v>
      </c>
      <c r="AE173" s="40">
        <f t="shared" si="154"/>
        <v>-1.1947275840226035</v>
      </c>
    </row>
    <row r="174" spans="1:31" x14ac:dyDescent="0.2">
      <c r="A174" s="10" t="str">
        <f t="shared" si="142"/>
        <v>72 Customer service occupations</v>
      </c>
      <c r="B174" s="11">
        <f t="shared" si="142"/>
        <v>13.172148960692217</v>
      </c>
      <c r="C174" s="11">
        <f t="shared" si="146"/>
        <v>13.5222664882908</v>
      </c>
      <c r="D174" s="11">
        <f t="shared" si="146"/>
        <v>13.765892537376093</v>
      </c>
      <c r="E174" s="11">
        <f t="shared" si="146"/>
        <v>17.548762932493023</v>
      </c>
      <c r="F174" s="11">
        <f t="shared" si="146"/>
        <v>19.873360696539212</v>
      </c>
      <c r="H174" s="40">
        <f t="shared" si="147"/>
        <v>0.88568527041954503</v>
      </c>
      <c r="I174" s="40">
        <f t="shared" si="148"/>
        <v>2.4781152385781713</v>
      </c>
      <c r="L174" s="10" t="str">
        <f t="shared" ref="L174:Q174" si="193">L29</f>
        <v>72 Customer service occupations</v>
      </c>
      <c r="M174" s="11">
        <f t="shared" si="193"/>
        <v>4.7544500675695556</v>
      </c>
      <c r="N174" s="11">
        <f t="shared" si="193"/>
        <v>4.1743849175164458</v>
      </c>
      <c r="O174" s="11">
        <f t="shared" si="193"/>
        <v>4.7853641982697228</v>
      </c>
      <c r="P174" s="11">
        <f t="shared" si="193"/>
        <v>6.6148705921705826</v>
      </c>
      <c r="Q174" s="11">
        <f t="shared" si="193"/>
        <v>7.8724559359145934</v>
      </c>
      <c r="S174" s="40">
        <f t="shared" si="150"/>
        <v>0.12970601956217021</v>
      </c>
      <c r="T174" s="40">
        <f t="shared" si="151"/>
        <v>3.3744034034049353</v>
      </c>
      <c r="W174" s="10" t="str">
        <f t="shared" ref="W174:AB174" si="194">W29</f>
        <v>72 Customer service occupations</v>
      </c>
      <c r="X174" s="11">
        <f t="shared" si="194"/>
        <v>8.4176988931226777</v>
      </c>
      <c r="Y174" s="11">
        <f t="shared" si="194"/>
        <v>9.3478815707743532</v>
      </c>
      <c r="Z174" s="11">
        <f t="shared" si="194"/>
        <v>8.9805283391063746</v>
      </c>
      <c r="AA174" s="11">
        <f t="shared" si="194"/>
        <v>10.933892340322432</v>
      </c>
      <c r="AB174" s="11">
        <f t="shared" si="194"/>
        <v>12.000904760624659</v>
      </c>
      <c r="AD174" s="40">
        <f t="shared" si="153"/>
        <v>1.302858504278781</v>
      </c>
      <c r="AE174" s="40">
        <f>IF(AB$151-Z$151 &lt;&gt; 0,(EXP(LN(AB174/Z174)/(AB$151-Z$151))-1)*100,0)</f>
        <v>1.9516221224020525</v>
      </c>
    </row>
    <row r="175" spans="1:31" x14ac:dyDescent="0.2">
      <c r="A175" s="10" t="str">
        <f t="shared" si="142"/>
        <v>81 Process, plant and machine operatives</v>
      </c>
      <c r="B175" s="11">
        <f t="shared" si="142"/>
        <v>12.743962550817093</v>
      </c>
      <c r="C175" s="11">
        <f t="shared" si="146"/>
        <v>12.497065863849606</v>
      </c>
      <c r="D175" s="11">
        <f t="shared" si="146"/>
        <v>10.939631034552663</v>
      </c>
      <c r="E175" s="11">
        <f t="shared" si="146"/>
        <v>13.448269585660745</v>
      </c>
      <c r="F175" s="11">
        <f t="shared" si="146"/>
        <v>13.418760554653188</v>
      </c>
      <c r="H175" s="40">
        <f t="shared" si="147"/>
        <v>-3.0071685483465949</v>
      </c>
      <c r="I175" s="40">
        <f t="shared" si="148"/>
        <v>1.371058632450084</v>
      </c>
      <c r="L175" s="10" t="str">
        <f t="shared" ref="L175:Q175" si="195">L30</f>
        <v>81 Process, plant and machine operatives</v>
      </c>
      <c r="M175" s="11">
        <f t="shared" si="195"/>
        <v>10.570279497514932</v>
      </c>
      <c r="N175" s="11">
        <f t="shared" si="195"/>
        <v>10.352048184946632</v>
      </c>
      <c r="O175" s="11">
        <f t="shared" si="195"/>
        <v>9.0533218421979722</v>
      </c>
      <c r="P175" s="11">
        <f t="shared" si="195"/>
        <v>11.195263702850259</v>
      </c>
      <c r="Q175" s="11">
        <f t="shared" si="195"/>
        <v>11.171709418478757</v>
      </c>
      <c r="S175" s="40">
        <f t="shared" si="150"/>
        <v>-3.0507848228268908</v>
      </c>
      <c r="T175" s="40">
        <f t="shared" si="151"/>
        <v>1.4115556322310985</v>
      </c>
      <c r="W175" s="10" t="str">
        <f t="shared" ref="W175:AB175" si="196">W30</f>
        <v>81 Process, plant and machine operatives</v>
      </c>
      <c r="X175" s="11">
        <f t="shared" si="196"/>
        <v>2.1736830533021827</v>
      </c>
      <c r="Y175" s="11">
        <f t="shared" si="196"/>
        <v>2.1450176789029536</v>
      </c>
      <c r="Z175" s="11">
        <f t="shared" si="196"/>
        <v>1.8863091923547008</v>
      </c>
      <c r="AA175" s="11">
        <f t="shared" si="196"/>
        <v>2.2530058828104882</v>
      </c>
      <c r="AB175" s="11">
        <f t="shared" si="196"/>
        <v>2.2470511361744152</v>
      </c>
      <c r="AD175" s="40">
        <f t="shared" si="153"/>
        <v>-2.7961800472724119</v>
      </c>
      <c r="AE175" s="40">
        <f t="shared" si="154"/>
        <v>1.1734760953552303</v>
      </c>
    </row>
    <row r="176" spans="1:31" x14ac:dyDescent="0.2">
      <c r="A176" s="10" t="str">
        <f t="shared" si="142"/>
        <v>82 Transport and mobile machine drivers and operatives</v>
      </c>
      <c r="B176" s="11">
        <f t="shared" si="142"/>
        <v>25.119721078559419</v>
      </c>
      <c r="C176" s="11">
        <f t="shared" si="146"/>
        <v>27.244477746533164</v>
      </c>
      <c r="D176" s="11">
        <f t="shared" si="146"/>
        <v>22.703704129983144</v>
      </c>
      <c r="E176" s="11">
        <f t="shared" si="146"/>
        <v>24.559341234596747</v>
      </c>
      <c r="F176" s="11">
        <f t="shared" si="146"/>
        <v>24.629983702384379</v>
      </c>
      <c r="H176" s="40">
        <f t="shared" si="147"/>
        <v>-2.0021875841621517</v>
      </c>
      <c r="I176" s="40">
        <f t="shared" si="148"/>
        <v>0.54438617047769533</v>
      </c>
      <c r="L176" s="10" t="str">
        <f t="shared" ref="L176:Q176" si="197">L31</f>
        <v>82 Transport and mobile machine drivers and operatives</v>
      </c>
      <c r="M176" s="11">
        <f t="shared" si="197"/>
        <v>22.673964175412642</v>
      </c>
      <c r="N176" s="11">
        <f t="shared" si="197"/>
        <v>24.895497161057449</v>
      </c>
      <c r="O176" s="11">
        <f t="shared" si="197"/>
        <v>20.692313596465656</v>
      </c>
      <c r="P176" s="11">
        <f t="shared" si="197"/>
        <v>21.581138746016663</v>
      </c>
      <c r="Q176" s="11">
        <f t="shared" si="197"/>
        <v>21.182261348268732</v>
      </c>
      <c r="S176" s="40">
        <f t="shared" si="150"/>
        <v>-1.8124736126214458</v>
      </c>
      <c r="T176" s="40">
        <f t="shared" si="151"/>
        <v>0.1561337293054077</v>
      </c>
      <c r="W176" s="10" t="str">
        <f t="shared" ref="W176:AB176" si="198">W31</f>
        <v>82 Transport and mobile machine drivers and operatives</v>
      </c>
      <c r="X176" s="11">
        <f t="shared" si="198"/>
        <v>2.4457569031467372</v>
      </c>
      <c r="Y176" s="11">
        <f t="shared" si="198"/>
        <v>2.3489805854756942</v>
      </c>
      <c r="Z176" s="11">
        <f t="shared" si="198"/>
        <v>2.0113905335174942</v>
      </c>
      <c r="AA176" s="11">
        <f t="shared" si="198"/>
        <v>2.9782024885801155</v>
      </c>
      <c r="AB176" s="11">
        <f t="shared" si="198"/>
        <v>3.4477223541156352</v>
      </c>
      <c r="AD176" s="40">
        <f t="shared" si="153"/>
        <v>-3.835091488495479</v>
      </c>
      <c r="AE176" s="40">
        <f t="shared" si="154"/>
        <v>3.6578966466487284</v>
      </c>
    </row>
    <row r="177" spans="1:31" x14ac:dyDescent="0.2">
      <c r="A177" s="10" t="str">
        <f t="shared" si="142"/>
        <v>91 Elementary trades and related occupations</v>
      </c>
      <c r="B177" s="11">
        <f t="shared" si="142"/>
        <v>11.210781757562087</v>
      </c>
      <c r="C177" s="11">
        <f t="shared" si="146"/>
        <v>9.7879247979048163</v>
      </c>
      <c r="D177" s="11">
        <f t="shared" si="146"/>
        <v>8.7182083202628089</v>
      </c>
      <c r="E177" s="11">
        <f t="shared" si="146"/>
        <v>7.4114416150968658</v>
      </c>
      <c r="F177" s="11">
        <f t="shared" si="146"/>
        <v>7.0598733495814647</v>
      </c>
      <c r="H177" s="40">
        <f t="shared" si="147"/>
        <v>-4.9048716777156276</v>
      </c>
      <c r="I177" s="40">
        <f t="shared" si="148"/>
        <v>-1.3967314942990194</v>
      </c>
      <c r="L177" s="10" t="str">
        <f t="shared" ref="L177:Q178" si="199">L32</f>
        <v>91 Elementary trades and related occupations</v>
      </c>
      <c r="M177" s="11">
        <f t="shared" si="199"/>
        <v>9.0274734612371894</v>
      </c>
      <c r="N177" s="11">
        <f t="shared" si="199"/>
        <v>8.0995240509574966</v>
      </c>
      <c r="O177" s="11">
        <f t="shared" si="199"/>
        <v>7.2382321104310012</v>
      </c>
      <c r="P177" s="11">
        <f t="shared" si="199"/>
        <v>6.0999860525690668</v>
      </c>
      <c r="Q177" s="11">
        <f t="shared" si="199"/>
        <v>5.8118965088733869</v>
      </c>
      <c r="S177" s="40">
        <f t="shared" si="150"/>
        <v>-4.3217425566999594</v>
      </c>
      <c r="T177" s="40">
        <f t="shared" si="151"/>
        <v>-1.4524819045375059</v>
      </c>
      <c r="W177" s="10" t="str">
        <f t="shared" ref="W177:AB178" si="200">W32</f>
        <v>91 Elementary trades and related occupations</v>
      </c>
      <c r="X177" s="11">
        <f t="shared" si="200"/>
        <v>2.1833082963248804</v>
      </c>
      <c r="Y177" s="11">
        <f t="shared" si="200"/>
        <v>1.6884007469473084</v>
      </c>
      <c r="Z177" s="11">
        <f t="shared" si="200"/>
        <v>1.4799762098318061</v>
      </c>
      <c r="AA177" s="11">
        <f t="shared" si="200"/>
        <v>1.3114555625277948</v>
      </c>
      <c r="AB177" s="11">
        <f t="shared" si="200"/>
        <v>1.247976840708076</v>
      </c>
      <c r="AD177" s="40">
        <f t="shared" si="153"/>
        <v>-7.4816382787331932</v>
      </c>
      <c r="AE177" s="40">
        <f t="shared" si="154"/>
        <v>-1.1302461818607501</v>
      </c>
    </row>
    <row r="178" spans="1:31" x14ac:dyDescent="0.2">
      <c r="A178" s="10" t="str">
        <f t="shared" si="142"/>
        <v>92 Elementary administration and service occupations</v>
      </c>
      <c r="B178" s="11">
        <f t="shared" si="142"/>
        <v>86.066867113344401</v>
      </c>
      <c r="C178" s="11">
        <f t="shared" si="146"/>
        <v>83.354213239045237</v>
      </c>
      <c r="D178" s="11">
        <f t="shared" si="146"/>
        <v>76.096111817061072</v>
      </c>
      <c r="E178" s="11">
        <f t="shared" si="146"/>
        <v>78.650938916972294</v>
      </c>
      <c r="F178" s="11">
        <f t="shared" si="146"/>
        <v>76.388310986548959</v>
      </c>
      <c r="H178" s="40">
        <f>IF(D$151-B$151 &lt;&gt; 0,(EXP(LN(D178/B178)/(D$151-B$151))-1)*100,0)</f>
        <v>-2.4324736390409107</v>
      </c>
      <c r="I178" s="40">
        <f t="shared" ref="I178" si="201">IF(F$151-D$151 &lt;&gt; 0,(EXP(LN(F178/D178)/(F$151-D$151))-1)*100,0)</f>
        <v>2.5553373789466427E-2</v>
      </c>
      <c r="L178" s="10" t="str">
        <f t="shared" si="199"/>
        <v>92 Elementary administration and service occupations</v>
      </c>
      <c r="M178" s="11">
        <f t="shared" si="199"/>
        <v>40.520995390997307</v>
      </c>
      <c r="N178" s="11">
        <f t="shared" si="199"/>
        <v>38.504727401800302</v>
      </c>
      <c r="O178" s="11">
        <f t="shared" si="199"/>
        <v>35.621751203229472</v>
      </c>
      <c r="P178" s="11">
        <f t="shared" si="199"/>
        <v>38.257323301132317</v>
      </c>
      <c r="Q178" s="11">
        <f t="shared" si="199"/>
        <v>36.425642315923795</v>
      </c>
      <c r="S178" s="40">
        <f t="shared" ref="S178" si="202">IF(O$151-M$151 &lt;&gt; 0,(EXP(LN(O178/M178)/(O$151-M$151))-1)*100,0)</f>
        <v>-2.5443478178612811</v>
      </c>
      <c r="T178" s="40">
        <f t="shared" ref="T178" si="203">IF(Q$151-O$151 &lt;&gt; 0,(EXP(LN(Q178/O178)/(Q$151-O$151))-1)*100,0)</f>
        <v>0.14888769931784562</v>
      </c>
      <c r="W178" s="10" t="str">
        <f t="shared" si="200"/>
        <v>92 Elementary administration and service occupations</v>
      </c>
      <c r="X178" s="11">
        <f t="shared" si="200"/>
        <v>45.545871722346924</v>
      </c>
      <c r="Y178" s="11">
        <f t="shared" si="200"/>
        <v>44.849485837245027</v>
      </c>
      <c r="Z178" s="11">
        <f t="shared" si="200"/>
        <v>40.474360613831635</v>
      </c>
      <c r="AA178" s="11">
        <f t="shared" si="200"/>
        <v>40.393615615840091</v>
      </c>
      <c r="AB178" s="11">
        <f t="shared" si="200"/>
        <v>39.962668670625092</v>
      </c>
      <c r="AD178" s="40">
        <f t="shared" ref="AD178" si="204">IF(Z$151-X$151 &lt;&gt; 0,(EXP(LN(Z178/X178)/(Z$151-X$151))-1)*100,0)</f>
        <v>-2.3333715648744202</v>
      </c>
      <c r="AE178" s="40">
        <f t="shared" ref="AE178" si="205">IF(AB$151-Z$151 &lt;&gt; 0,(EXP(LN(AB178/Z178)/(AB$151-Z$151))-1)*100,0)</f>
        <v>-8.4783820026301804E-2</v>
      </c>
    </row>
    <row r="179" spans="1:31" x14ac:dyDescent="0.2">
      <c r="A179" s="10"/>
      <c r="B179" s="11"/>
      <c r="C179" s="11"/>
      <c r="D179" s="11"/>
      <c r="E179" s="11"/>
      <c r="F179" s="11"/>
      <c r="H179" s="40"/>
      <c r="I179" s="40"/>
      <c r="L179" s="10"/>
      <c r="M179" s="11"/>
      <c r="N179" s="11"/>
      <c r="O179" s="11"/>
      <c r="P179" s="11"/>
      <c r="Q179" s="11"/>
      <c r="S179" s="40"/>
      <c r="T179" s="40"/>
      <c r="W179" s="10"/>
      <c r="X179" s="11"/>
      <c r="Y179" s="11"/>
      <c r="Z179" s="11"/>
      <c r="AA179" s="11"/>
      <c r="AB179" s="11"/>
      <c r="AD179" s="40"/>
      <c r="AE179" s="40"/>
    </row>
    <row r="180" spans="1:31" x14ac:dyDescent="0.2">
      <c r="A180" s="231" t="str">
        <f t="shared" ref="A180:F180" si="206">A35</f>
        <v>All occupations</v>
      </c>
      <c r="B180" s="34">
        <f t="shared" si="206"/>
        <v>865.00500000000022</v>
      </c>
      <c r="C180" s="34">
        <f t="shared" si="206"/>
        <v>882.44900000000052</v>
      </c>
      <c r="D180" s="34">
        <f t="shared" si="206"/>
        <v>864.63999999999987</v>
      </c>
      <c r="E180" s="34">
        <f t="shared" si="206"/>
        <v>889.97999999999979</v>
      </c>
      <c r="F180" s="34">
        <f t="shared" si="206"/>
        <v>925.47799999999995</v>
      </c>
      <c r="H180" s="43">
        <f>IF(D$151-B$151 &lt;&gt; 0,(EXP(LN(D180/B180)/(D$151-B$151))-1)*100,0)</f>
        <v>-8.4406823586569146E-3</v>
      </c>
      <c r="I180" s="43">
        <f t="shared" si="148"/>
        <v>0.45434319276140833</v>
      </c>
      <c r="L180" s="231" t="str">
        <f t="shared" ref="L180:Q180" si="207">L35</f>
        <v>All occupations</v>
      </c>
      <c r="M180" s="34">
        <f t="shared" si="207"/>
        <v>451.48896050555686</v>
      </c>
      <c r="N180" s="34">
        <f t="shared" si="207"/>
        <v>455.42579368363346</v>
      </c>
      <c r="O180" s="34">
        <f t="shared" si="207"/>
        <v>441.09721785832886</v>
      </c>
      <c r="P180" s="34">
        <f t="shared" si="207"/>
        <v>455.15699328692818</v>
      </c>
      <c r="Q180" s="34">
        <f t="shared" si="207"/>
        <v>473.49867150195905</v>
      </c>
      <c r="S180" s="43">
        <f t="shared" ref="S180" si="208">IF(O$151-M$151 &lt;&gt; 0,(EXP(LN(O180/M180)/(O$151-M$151))-1)*100,0)</f>
        <v>-0.46462968192506615</v>
      </c>
      <c r="T180" s="43">
        <f t="shared" ref="T180" si="209">IF(Q$151-O$151 &lt;&gt; 0,(EXP(LN(Q180/O180)/(Q$151-O$151))-1)*100,0)</f>
        <v>0.4736770336640328</v>
      </c>
      <c r="W180" s="231" t="str">
        <f t="shared" ref="W180:AB180" si="210">W35</f>
        <v>All occupations</v>
      </c>
      <c r="X180" s="34">
        <f t="shared" si="210"/>
        <v>413.51603949444313</v>
      </c>
      <c r="Y180" s="34">
        <f t="shared" si="210"/>
        <v>427.02320631636672</v>
      </c>
      <c r="Z180" s="34">
        <f t="shared" si="210"/>
        <v>423.54278214167107</v>
      </c>
      <c r="AA180" s="34">
        <f t="shared" si="210"/>
        <v>434.82300671307161</v>
      </c>
      <c r="AB180" s="34">
        <f t="shared" si="210"/>
        <v>451.97932849804113</v>
      </c>
      <c r="AD180" s="43">
        <f t="shared" ref="AD180" si="211">IF(Z$151-X$151 &lt;&gt; 0,(EXP(LN(Z180/X180)/(Z$151-X$151))-1)*100,0)</f>
        <v>0.48031435091149266</v>
      </c>
      <c r="AE180" s="43">
        <f t="shared" ref="AE180" si="212">IF(AB$151-Z$151 &lt;&gt; 0,(EXP(LN(AB180/Z180)/(AB$151-Z$151))-1)*100,0)</f>
        <v>0.43415249624276786</v>
      </c>
    </row>
    <row r="181" spans="1:31" x14ac:dyDescent="0.2">
      <c r="A181" s="10"/>
    </row>
    <row r="182" spans="1:31" x14ac:dyDescent="0.2">
      <c r="A182" s="10"/>
    </row>
  </sheetData>
  <pageMargins left="0.59055118110236227" right="0.59055118110236227" top="0.78740157480314965" bottom="0.78740157480314965" header="0.51181102362204722" footer="0.51181102362204722"/>
  <pageSetup paperSize="9" scale="76" orientation="landscape" r:id="rId1"/>
  <headerFooter alignWithMargins="0"/>
  <rowBreaks count="4" manualBreakCount="4">
    <brk id="37" max="16383" man="1"/>
    <brk id="74" max="16383" man="1"/>
    <brk id="111" max="16383" man="1"/>
    <brk id="148" max="32" man="1"/>
  </rowBreaks>
  <colBreaks count="2" manualBreakCount="2">
    <brk id="11" max="179" man="1"/>
    <brk id="22" max="179" man="1"/>
  </colBreak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2"/>
  <dimension ref="A1:L103"/>
  <sheetViews>
    <sheetView showGridLines="0" zoomScale="85" zoomScaleNormal="85" workbookViewId="0"/>
  </sheetViews>
  <sheetFormatPr defaultRowHeight="12.75" x14ac:dyDescent="0.2"/>
  <cols>
    <col min="1" max="1" width="54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CONCATENATE("Occupation Table 3  Employment Change by Occupation in Occupation Group (SOC 2020), ",B$5,"-",F$5,", ",Info!B5)</f>
        <v>Occupation Table 3  Employment Change by Occupation in Occupation Group (SOC 2020), 2015-2035, Enterprise M3</v>
      </c>
    </row>
    <row r="2" spans="1:12" ht="12.75" customHeight="1" x14ac:dyDescent="0.2">
      <c r="A2" s="182" t="s">
        <v>521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35">
        <f>'Occ T1'!B6</f>
        <v>2015</v>
      </c>
      <c r="C5" s="35">
        <f>'Occ T1'!C6</f>
        <v>2019</v>
      </c>
      <c r="D5" s="35">
        <f>'Occ T1'!D6</f>
        <v>2020</v>
      </c>
      <c r="E5" s="35">
        <f>'Occ T1'!E6</f>
        <v>2025</v>
      </c>
      <c r="F5" s="35">
        <f>'Occ T1'!F6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'Occ T1'!A8</f>
        <v>Managers, directors and senior officials</v>
      </c>
      <c r="B7" s="31">
        <f>'Occ T1'!B8</f>
        <v>99.823405667280099</v>
      </c>
      <c r="C7" s="31">
        <f>'Occ T1'!C8</f>
        <v>109.9145689063652</v>
      </c>
      <c r="D7" s="31">
        <f>'Occ T1'!D8</f>
        <v>109.92994578235215</v>
      </c>
      <c r="E7" s="31">
        <f>'Occ T1'!E8</f>
        <v>113.69235283021654</v>
      </c>
      <c r="F7" s="31">
        <f>'Occ T1'!F8</f>
        <v>126.94944921209097</v>
      </c>
      <c r="H7" s="31">
        <f>C7-B7</f>
        <v>10.091163239085105</v>
      </c>
      <c r="I7" s="31">
        <f>D7-C7</f>
        <v>1.5376875986945038E-2</v>
      </c>
      <c r="J7" s="31">
        <f>E7-D7</f>
        <v>3.7624070478643858</v>
      </c>
      <c r="K7" s="31">
        <f>F7-E7</f>
        <v>13.257096381874433</v>
      </c>
      <c r="L7" s="31">
        <f>F7-D7</f>
        <v>17.019503429738819</v>
      </c>
    </row>
    <row r="8" spans="1:12" s="30" customFormat="1" x14ac:dyDescent="0.2">
      <c r="A8" s="10" t="str">
        <f>'Occ T2'!A8</f>
        <v>11 Corporate managers and directors</v>
      </c>
      <c r="B8" s="32">
        <f>'Occ T2'!B8</f>
        <v>68.673395206321104</v>
      </c>
      <c r="C8" s="32">
        <f>'Occ T2'!C8</f>
        <v>78.354158175892394</v>
      </c>
      <c r="D8" s="32">
        <f>'Occ T2'!D8</f>
        <v>78.879841298032446</v>
      </c>
      <c r="E8" s="32">
        <f>'Occ T2'!E8</f>
        <v>74.416082347702968</v>
      </c>
      <c r="F8" s="32">
        <f>'Occ T2'!F8</f>
        <v>81.205940364543608</v>
      </c>
      <c r="H8" s="31">
        <f t="shared" ref="H8:H9" si="0">C8-B8</f>
        <v>9.6807629695712905</v>
      </c>
      <c r="I8" s="31">
        <f t="shared" ref="I8:I9" si="1">D8-C8</f>
        <v>0.52568312214005175</v>
      </c>
      <c r="J8" s="31">
        <f t="shared" ref="J8:J9" si="2">E8-D8</f>
        <v>-4.4637589503294777</v>
      </c>
      <c r="K8" s="31">
        <f t="shared" ref="K8:K9" si="3">F8-E8</f>
        <v>6.7898580168406397</v>
      </c>
      <c r="L8" s="31">
        <f t="shared" ref="L8:L49" si="4">F8-D8</f>
        <v>2.3260990665111621</v>
      </c>
    </row>
    <row r="9" spans="1:12" s="30" customFormat="1" x14ac:dyDescent="0.2">
      <c r="A9" s="10" t="str">
        <f>'Occ T2'!A9</f>
        <v>12 Other managers and proprietors</v>
      </c>
      <c r="B9" s="32">
        <f>'Occ T2'!B9</f>
        <v>31.150010460958992</v>
      </c>
      <c r="C9" s="32">
        <f>'Occ T2'!C9</f>
        <v>31.560410730472807</v>
      </c>
      <c r="D9" s="32">
        <f>'Occ T2'!D9</f>
        <v>31.0501044843197</v>
      </c>
      <c r="E9" s="32">
        <f>'Occ T2'!E9</f>
        <v>39.276270482513567</v>
      </c>
      <c r="F9" s="32">
        <f>'Occ T2'!F9</f>
        <v>45.743508847547353</v>
      </c>
      <c r="H9" s="31">
        <f t="shared" si="0"/>
        <v>0.41040026951381492</v>
      </c>
      <c r="I9" s="31">
        <f t="shared" si="1"/>
        <v>-0.51030624615310671</v>
      </c>
      <c r="J9" s="31">
        <f t="shared" si="2"/>
        <v>8.2261659981938671</v>
      </c>
      <c r="K9" s="31">
        <f t="shared" si="3"/>
        <v>6.4672383650337864</v>
      </c>
      <c r="L9" s="31">
        <f t="shared" si="4"/>
        <v>14.693404363227653</v>
      </c>
    </row>
    <row r="10" spans="1:12" x14ac:dyDescent="0.2">
      <c r="B10" s="32"/>
      <c r="C10" s="32"/>
      <c r="D10" s="32"/>
      <c r="E10" s="32"/>
      <c r="F10" s="32"/>
      <c r="H10" s="11"/>
      <c r="I10" s="31"/>
      <c r="J10" s="11"/>
      <c r="K10" s="11"/>
      <c r="L10" s="31"/>
    </row>
    <row r="11" spans="1:12" s="30" customFormat="1" x14ac:dyDescent="0.2">
      <c r="A11" s="30" t="str">
        <f>'Occ T1'!A9</f>
        <v>Professional occupations</v>
      </c>
      <c r="B11" s="31">
        <f>'Occ T1'!B9</f>
        <v>187.40472106146541</v>
      </c>
      <c r="C11" s="31">
        <f>'Occ T1'!C9</f>
        <v>204.98514734387325</v>
      </c>
      <c r="D11" s="31">
        <f>'Occ T1'!D9</f>
        <v>210.18095966500374</v>
      </c>
      <c r="E11" s="31">
        <f>'Occ T1'!E9</f>
        <v>225.95995697383091</v>
      </c>
      <c r="F11" s="31">
        <f>'Occ T1'!F9</f>
        <v>246.52999555946499</v>
      </c>
      <c r="H11" s="31">
        <f>C11-B11</f>
        <v>17.580426282407842</v>
      </c>
      <c r="I11" s="31">
        <f t="shared" ref="I11:I49" si="5">D11-C11</f>
        <v>5.1958123211304894</v>
      </c>
      <c r="J11" s="31">
        <f>E11-D11</f>
        <v>15.778997308827172</v>
      </c>
      <c r="K11" s="31">
        <f>F11-E11</f>
        <v>20.57003858563408</v>
      </c>
      <c r="L11" s="31">
        <f t="shared" si="4"/>
        <v>36.349035894461252</v>
      </c>
    </row>
    <row r="12" spans="1:12" x14ac:dyDescent="0.2">
      <c r="A12" s="10" t="str">
        <f>'Occ T2'!A10</f>
        <v>21 Science, research, engineering and technology professionals</v>
      </c>
      <c r="B12" s="10">
        <f>'Occ T2'!B10</f>
        <v>63.176564041394101</v>
      </c>
      <c r="C12" s="10">
        <f>'Occ T2'!C10</f>
        <v>67.962409440888067</v>
      </c>
      <c r="D12" s="10">
        <f>'Occ T2'!D10</f>
        <v>69.933180691612307</v>
      </c>
      <c r="E12" s="10">
        <f>'Occ T2'!E10</f>
        <v>74.453936611404387</v>
      </c>
      <c r="F12" s="10">
        <f>'Occ T2'!F10</f>
        <v>81.977793168316026</v>
      </c>
      <c r="H12" s="11">
        <f t="shared" ref="H12:K14" si="6">C12-B12</f>
        <v>4.7858453994939651</v>
      </c>
      <c r="I12" s="31">
        <f t="shared" si="5"/>
        <v>1.9707712507242405</v>
      </c>
      <c r="J12" s="11">
        <f t="shared" si="6"/>
        <v>4.5207559197920801</v>
      </c>
      <c r="K12" s="11">
        <f t="shared" si="6"/>
        <v>7.5238565569116389</v>
      </c>
      <c r="L12" s="31">
        <f t="shared" si="4"/>
        <v>12.044612476703719</v>
      </c>
    </row>
    <row r="13" spans="1:12" x14ac:dyDescent="0.2">
      <c r="A13" s="10" t="str">
        <f>'Occ T2'!A11</f>
        <v>22 Health professionals</v>
      </c>
      <c r="B13" s="10">
        <f>'Occ T2'!B11</f>
        <v>28.267194384711377</v>
      </c>
      <c r="C13" s="10">
        <f>'Occ T2'!C11</f>
        <v>33.804261892733194</v>
      </c>
      <c r="D13" s="10">
        <f>'Occ T2'!D11</f>
        <v>33.507088363575704</v>
      </c>
      <c r="E13" s="10">
        <f>'Occ T2'!E11</f>
        <v>35.446328771962605</v>
      </c>
      <c r="F13" s="10">
        <f>'Occ T2'!F11</f>
        <v>37.145736440383374</v>
      </c>
      <c r="H13" s="11">
        <f t="shared" si="6"/>
        <v>5.537067508021817</v>
      </c>
      <c r="I13" s="31">
        <f t="shared" si="5"/>
        <v>-0.29717352915749018</v>
      </c>
      <c r="J13" s="11">
        <f t="shared" si="6"/>
        <v>1.939240408386901</v>
      </c>
      <c r="K13" s="11">
        <f t="shared" si="6"/>
        <v>1.6994076684207684</v>
      </c>
      <c r="L13" s="31">
        <f t="shared" si="4"/>
        <v>3.6386480768076694</v>
      </c>
    </row>
    <row r="14" spans="1:12" x14ac:dyDescent="0.2">
      <c r="A14" s="10" t="str">
        <f>'Occ T2'!A12</f>
        <v>23 Teaching and other educational professionals</v>
      </c>
      <c r="B14" s="10">
        <f>'Occ T2'!B12</f>
        <v>38.222998373704257</v>
      </c>
      <c r="C14" s="10">
        <f>'Occ T2'!C12</f>
        <v>39.126425629130246</v>
      </c>
      <c r="D14" s="10">
        <f>'Occ T2'!D12</f>
        <v>39.418497018336062</v>
      </c>
      <c r="E14" s="10">
        <f>'Occ T2'!E12</f>
        <v>40.742480700690237</v>
      </c>
      <c r="F14" s="10">
        <f>'Occ T2'!F12</f>
        <v>43.903871917542446</v>
      </c>
      <c r="H14" s="11">
        <f t="shared" si="6"/>
        <v>0.90342725542598856</v>
      </c>
      <c r="I14" s="31">
        <f t="shared" si="5"/>
        <v>0.29207138920581599</v>
      </c>
      <c r="J14" s="11">
        <f t="shared" si="6"/>
        <v>1.3239836823541751</v>
      </c>
      <c r="K14" s="11">
        <f t="shared" si="6"/>
        <v>3.1613912168522091</v>
      </c>
      <c r="L14" s="31">
        <f t="shared" si="4"/>
        <v>4.4853748992063842</v>
      </c>
    </row>
    <row r="15" spans="1:12" x14ac:dyDescent="0.2">
      <c r="A15" s="10" t="str">
        <f>'Occ T2'!A13</f>
        <v>24 Business, media and public service professionals</v>
      </c>
      <c r="B15" s="10">
        <f>'Occ T2'!B13</f>
        <v>57.737964261655698</v>
      </c>
      <c r="C15" s="10">
        <f>'Occ T2'!C13</f>
        <v>64.092050381121737</v>
      </c>
      <c r="D15" s="10">
        <f>'Occ T2'!D13</f>
        <v>67.322193591479675</v>
      </c>
      <c r="E15" s="10">
        <f>'Occ T2'!E13</f>
        <v>75.317210889773705</v>
      </c>
      <c r="F15" s="10">
        <f>'Occ T2'!F13</f>
        <v>83.502594033223147</v>
      </c>
      <c r="H15" s="11">
        <f t="shared" ref="H15" si="7">C15-B15</f>
        <v>6.3540861194660394</v>
      </c>
      <c r="I15" s="31">
        <f t="shared" si="5"/>
        <v>3.2301432103579373</v>
      </c>
      <c r="J15" s="11">
        <f t="shared" ref="J15" si="8">E15-D15</f>
        <v>7.9950172982940302</v>
      </c>
      <c r="K15" s="11">
        <f t="shared" ref="K15" si="9">F15-E15</f>
        <v>8.1853831434494424</v>
      </c>
      <c r="L15" s="31">
        <f t="shared" si="4"/>
        <v>16.180400441743473</v>
      </c>
    </row>
    <row r="16" spans="1:12" x14ac:dyDescent="0.2">
      <c r="A16" s="10"/>
      <c r="B16" s="32"/>
      <c r="C16" s="32"/>
      <c r="D16" s="32"/>
      <c r="E16" s="32"/>
      <c r="F16" s="32"/>
      <c r="H16" s="11"/>
      <c r="I16" s="31"/>
      <c r="J16" s="11"/>
      <c r="K16" s="11"/>
      <c r="L16" s="31"/>
    </row>
    <row r="17" spans="1:12" s="30" customFormat="1" x14ac:dyDescent="0.2">
      <c r="A17" s="30" t="str">
        <f>'Occ T1'!A10</f>
        <v>Associate professional occupations</v>
      </c>
      <c r="B17" s="31">
        <f>'Occ T1'!B10</f>
        <v>118.06235267038653</v>
      </c>
      <c r="C17" s="31">
        <f>'Occ T1'!C10</f>
        <v>120.05540533988096</v>
      </c>
      <c r="D17" s="31">
        <f>'Occ T1'!D10</f>
        <v>124.08566971596375</v>
      </c>
      <c r="E17" s="31">
        <f>'Occ T1'!E10</f>
        <v>122.27240002075092</v>
      </c>
      <c r="F17" s="31">
        <f>'Occ T1'!F10</f>
        <v>130.52666710307909</v>
      </c>
      <c r="H17" s="31">
        <f t="shared" ref="H17:K21" si="10">C17-B17</f>
        <v>1.9930526694944319</v>
      </c>
      <c r="I17" s="31">
        <f t="shared" si="5"/>
        <v>4.0302643760827834</v>
      </c>
      <c r="J17" s="31">
        <f t="shared" si="10"/>
        <v>-1.8132696952128242</v>
      </c>
      <c r="K17" s="31">
        <f t="shared" si="10"/>
        <v>8.2542670823281696</v>
      </c>
      <c r="L17" s="31">
        <f t="shared" si="4"/>
        <v>6.4409973871153454</v>
      </c>
    </row>
    <row r="18" spans="1:12" x14ac:dyDescent="0.2">
      <c r="A18" s="10" t="str">
        <f>'Occ T2'!A14</f>
        <v>31 Science, engineering and technology associate professionals</v>
      </c>
      <c r="B18" s="10">
        <f>'Occ T2'!B14</f>
        <v>15.495168489057251</v>
      </c>
      <c r="C18" s="10">
        <f>'Occ T2'!C14</f>
        <v>17.069560549647854</v>
      </c>
      <c r="D18" s="10">
        <f>'Occ T2'!D14</f>
        <v>18.372333308333101</v>
      </c>
      <c r="E18" s="10">
        <f>'Occ T2'!E14</f>
        <v>16.390845416542803</v>
      </c>
      <c r="F18" s="10">
        <f>'Occ T2'!F14</f>
        <v>17.616695063451782</v>
      </c>
      <c r="H18" s="11">
        <f t="shared" si="10"/>
        <v>1.5743920605906023</v>
      </c>
      <c r="I18" s="31">
        <f t="shared" si="5"/>
        <v>1.3027727586852471</v>
      </c>
      <c r="J18" s="11">
        <f t="shared" si="10"/>
        <v>-1.9814878917902981</v>
      </c>
      <c r="K18" s="11">
        <f t="shared" si="10"/>
        <v>1.2258496469089799</v>
      </c>
      <c r="L18" s="31">
        <f t="shared" si="4"/>
        <v>-0.75563824488131814</v>
      </c>
    </row>
    <row r="19" spans="1:12" x14ac:dyDescent="0.2">
      <c r="A19" s="10" t="str">
        <f>'Occ T2'!A15</f>
        <v>32 Health and social care associate professionals</v>
      </c>
      <c r="B19" s="10">
        <f>'Occ T2'!B15</f>
        <v>12.707484419440277</v>
      </c>
      <c r="C19" s="10">
        <f>'Occ T2'!C15</f>
        <v>14.445980344186147</v>
      </c>
      <c r="D19" s="10">
        <f>'Occ T2'!D15</f>
        <v>14.702827358199553</v>
      </c>
      <c r="E19" s="10">
        <f>'Occ T2'!E15</f>
        <v>14.669006530218624</v>
      </c>
      <c r="F19" s="10">
        <f>'Occ T2'!F15</f>
        <v>15.567270685868875</v>
      </c>
      <c r="H19" s="11">
        <f t="shared" si="10"/>
        <v>1.7384959247458696</v>
      </c>
      <c r="I19" s="31">
        <f t="shared" si="5"/>
        <v>0.25684701401340604</v>
      </c>
      <c r="J19" s="11">
        <f t="shared" si="10"/>
        <v>-3.3820827980928669E-2</v>
      </c>
      <c r="K19" s="11">
        <f t="shared" si="10"/>
        <v>0.89826415565025108</v>
      </c>
      <c r="L19" s="31">
        <f t="shared" si="4"/>
        <v>0.86444332766932241</v>
      </c>
    </row>
    <row r="20" spans="1:12" x14ac:dyDescent="0.2">
      <c r="A20" s="10" t="str">
        <f>'Occ T2'!A16</f>
        <v>33 Protective service occupations</v>
      </c>
      <c r="B20" s="10">
        <f>'Occ T2'!B16</f>
        <v>10.245227559390734</v>
      </c>
      <c r="C20" s="10">
        <f>'Occ T2'!C16</f>
        <v>9.7022571982924486</v>
      </c>
      <c r="D20" s="10">
        <f>'Occ T2'!D16</f>
        <v>10.190391215898869</v>
      </c>
      <c r="E20" s="10">
        <f>'Occ T2'!E16</f>
        <v>12.247353027579933</v>
      </c>
      <c r="F20" s="10">
        <f>'Occ T2'!F16</f>
        <v>13.966560653587337</v>
      </c>
      <c r="H20" s="11">
        <f t="shared" si="10"/>
        <v>-0.54297036109828589</v>
      </c>
      <c r="I20" s="31">
        <f t="shared" si="5"/>
        <v>0.48813401760641995</v>
      </c>
      <c r="J20" s="11">
        <f t="shared" si="10"/>
        <v>2.0569618116810648</v>
      </c>
      <c r="K20" s="11">
        <f t="shared" si="10"/>
        <v>1.7192076260074032</v>
      </c>
      <c r="L20" s="31">
        <f t="shared" si="4"/>
        <v>3.776169437688468</v>
      </c>
    </row>
    <row r="21" spans="1:12" x14ac:dyDescent="0.2">
      <c r="A21" s="10" t="str">
        <f>'Occ T2'!A17</f>
        <v>34 Culture, media and sports occupations</v>
      </c>
      <c r="B21" s="10">
        <f>'Occ T2'!B17</f>
        <v>22.448448989730881</v>
      </c>
      <c r="C21" s="10">
        <f>'Occ T2'!C17</f>
        <v>19.858512300221925</v>
      </c>
      <c r="D21" s="10">
        <f>'Occ T2'!D17</f>
        <v>20.723051149864897</v>
      </c>
      <c r="E21" s="10">
        <f>'Occ T2'!E17</f>
        <v>20.672704740666106</v>
      </c>
      <c r="F21" s="10">
        <f>'Occ T2'!F17</f>
        <v>22.738822976872477</v>
      </c>
      <c r="H21" s="11">
        <f t="shared" si="10"/>
        <v>-2.5899366895089564</v>
      </c>
      <c r="I21" s="31">
        <f t="shared" si="5"/>
        <v>0.86453884964297245</v>
      </c>
      <c r="J21" s="11">
        <f t="shared" si="10"/>
        <v>-5.034640919879152E-2</v>
      </c>
      <c r="K21" s="11">
        <f t="shared" si="10"/>
        <v>2.0661182362063713</v>
      </c>
      <c r="L21" s="31">
        <f t="shared" si="4"/>
        <v>2.0157718270075797</v>
      </c>
    </row>
    <row r="22" spans="1:12" x14ac:dyDescent="0.2">
      <c r="A22" s="10" t="str">
        <f>'Occ T2'!A18</f>
        <v>35 Business and public service associate professionals</v>
      </c>
      <c r="B22" s="10">
        <f>'Occ T2'!B18</f>
        <v>57.166023212767385</v>
      </c>
      <c r="C22" s="10">
        <f>'Occ T2'!C18</f>
        <v>58.97909494753258</v>
      </c>
      <c r="D22" s="10">
        <f>'Occ T2'!D18</f>
        <v>60.097066683667329</v>
      </c>
      <c r="E22" s="10">
        <f>'Occ T2'!E18</f>
        <v>58.292490305743463</v>
      </c>
      <c r="F22" s="10">
        <f>'Occ T2'!F18</f>
        <v>60.637317723298622</v>
      </c>
      <c r="H22" s="11">
        <f t="shared" ref="H22" si="11">C22-B22</f>
        <v>1.8130717347651952</v>
      </c>
      <c r="I22" s="31">
        <f t="shared" si="5"/>
        <v>1.1179717361347485</v>
      </c>
      <c r="J22" s="11">
        <f t="shared" ref="J22" si="12">E22-D22</f>
        <v>-1.8045763779238655</v>
      </c>
      <c r="K22" s="11">
        <f t="shared" ref="K22" si="13">F22-E22</f>
        <v>2.3448274175551589</v>
      </c>
      <c r="L22" s="31">
        <f t="shared" si="4"/>
        <v>0.54025103963129339</v>
      </c>
    </row>
    <row r="23" spans="1:12" x14ac:dyDescent="0.2">
      <c r="A23" s="10"/>
      <c r="B23" s="32"/>
      <c r="C23" s="32"/>
      <c r="D23" s="32"/>
      <c r="E23" s="32"/>
      <c r="F23" s="32"/>
      <c r="H23" s="11"/>
      <c r="I23" s="31"/>
      <c r="J23" s="11"/>
      <c r="K23" s="11"/>
      <c r="L23" s="31"/>
    </row>
    <row r="24" spans="1:12" s="30" customFormat="1" x14ac:dyDescent="0.2">
      <c r="A24" s="30" t="str">
        <f>'Occ T1'!A11</f>
        <v>Administrative and secretarial occupations</v>
      </c>
      <c r="B24" s="31">
        <f>'Occ T1'!B11</f>
        <v>93.96824546690263</v>
      </c>
      <c r="C24" s="31">
        <f>'Occ T1'!C11</f>
        <v>87.500125810165741</v>
      </c>
      <c r="D24" s="31">
        <f>'Occ T1'!D11</f>
        <v>88.379330022516001</v>
      </c>
      <c r="E24" s="31">
        <f>'Occ T1'!E11</f>
        <v>82.318317359101599</v>
      </c>
      <c r="F24" s="31">
        <f>'Occ T1'!F11</f>
        <v>73.324556568201245</v>
      </c>
      <c r="H24" s="31">
        <f t="shared" ref="H24:K26" si="14">C24-B24</f>
        <v>-6.4681196567368886</v>
      </c>
      <c r="I24" s="31">
        <f t="shared" si="5"/>
        <v>0.8792042123502597</v>
      </c>
      <c r="J24" s="31">
        <f t="shared" si="14"/>
        <v>-6.0610126634144024</v>
      </c>
      <c r="K24" s="31">
        <f t="shared" si="14"/>
        <v>-8.9937607909003532</v>
      </c>
      <c r="L24" s="31">
        <f t="shared" si="4"/>
        <v>-15.054773454314756</v>
      </c>
    </row>
    <row r="25" spans="1:12" x14ac:dyDescent="0.2">
      <c r="A25" t="str">
        <f>'Occ T2'!A19</f>
        <v>41 Administrative occupations</v>
      </c>
      <c r="B25" s="32">
        <f>'Occ T2'!B19</f>
        <v>72.16613856968074</v>
      </c>
      <c r="C25" s="32">
        <f>'Occ T2'!C19</f>
        <v>68.464955203891563</v>
      </c>
      <c r="D25" s="32">
        <f>'Occ T2'!D19</f>
        <v>69.940840134492603</v>
      </c>
      <c r="E25" s="32">
        <f>'Occ T2'!E19</f>
        <v>63.62682297672081</v>
      </c>
      <c r="F25" s="32">
        <f>'Occ T2'!F19</f>
        <v>58.446301695484934</v>
      </c>
      <c r="H25" s="11">
        <f t="shared" si="14"/>
        <v>-3.7011833657891771</v>
      </c>
      <c r="I25" s="31">
        <f t="shared" si="5"/>
        <v>1.4758849306010404</v>
      </c>
      <c r="J25" s="11">
        <f t="shared" si="14"/>
        <v>-6.3140171577717936</v>
      </c>
      <c r="K25" s="11">
        <f t="shared" si="14"/>
        <v>-5.1805212812358761</v>
      </c>
      <c r="L25" s="31">
        <f t="shared" si="4"/>
        <v>-11.49453843900767</v>
      </c>
    </row>
    <row r="26" spans="1:12" x14ac:dyDescent="0.2">
      <c r="A26" t="str">
        <f>'Occ T2'!A20</f>
        <v>42 Secretarial and related occupations</v>
      </c>
      <c r="B26" s="32">
        <f>'Occ T2'!B20</f>
        <v>21.802106897221897</v>
      </c>
      <c r="C26" s="32">
        <f>'Occ T2'!C20</f>
        <v>19.035170606274182</v>
      </c>
      <c r="D26" s="32">
        <f>'Occ T2'!D20</f>
        <v>18.438489888023401</v>
      </c>
      <c r="E26" s="32">
        <f>'Occ T2'!E20</f>
        <v>18.691494382380792</v>
      </c>
      <c r="F26" s="32">
        <f>'Occ T2'!F20</f>
        <v>14.878254872716308</v>
      </c>
      <c r="H26" s="11">
        <f t="shared" si="14"/>
        <v>-2.7669362909477151</v>
      </c>
      <c r="I26" s="31">
        <f t="shared" si="5"/>
        <v>-0.59668071825078073</v>
      </c>
      <c r="J26" s="11">
        <f t="shared" si="14"/>
        <v>0.25300449435739125</v>
      </c>
      <c r="K26" s="11">
        <f t="shared" si="14"/>
        <v>-3.8132395096644842</v>
      </c>
      <c r="L26" s="31">
        <f t="shared" si="4"/>
        <v>-3.560235015307093</v>
      </c>
    </row>
    <row r="27" spans="1:12" x14ac:dyDescent="0.2">
      <c r="B27" s="32"/>
      <c r="C27" s="32"/>
      <c r="D27" s="32"/>
      <c r="E27" s="32"/>
      <c r="F27" s="32"/>
      <c r="H27" s="11"/>
      <c r="I27" s="31"/>
      <c r="J27" s="11"/>
      <c r="K27" s="11"/>
      <c r="L27" s="31"/>
    </row>
    <row r="28" spans="1:12" s="30" customFormat="1" x14ac:dyDescent="0.2">
      <c r="A28" s="30" t="str">
        <f>'Occ T1'!A12</f>
        <v>Skilled trades occupations</v>
      </c>
      <c r="B28" s="31">
        <f>'Occ T1'!B12</f>
        <v>81.412516783741452</v>
      </c>
      <c r="C28" s="31">
        <f>'Occ T1'!C12</f>
        <v>77.842029045706752</v>
      </c>
      <c r="D28" s="31">
        <f>'Occ T1'!D12</f>
        <v>68.523564362064846</v>
      </c>
      <c r="E28" s="31">
        <f>'Occ T1'!E12</f>
        <v>71.906951053581963</v>
      </c>
      <c r="F28" s="31">
        <f>'Occ T1'!F12</f>
        <v>71.783414885921047</v>
      </c>
      <c r="H28" s="31">
        <f t="shared" ref="H28:K30" si="15">C28-B28</f>
        <v>-3.5704877380347</v>
      </c>
      <c r="I28" s="31">
        <f t="shared" si="5"/>
        <v>-9.3184646836419063</v>
      </c>
      <c r="J28" s="31">
        <f t="shared" si="15"/>
        <v>3.3833866915171171</v>
      </c>
      <c r="K28" s="31">
        <f t="shared" si="15"/>
        <v>-0.12353616766091591</v>
      </c>
      <c r="L28" s="31">
        <f t="shared" si="4"/>
        <v>3.2598505238562012</v>
      </c>
    </row>
    <row r="29" spans="1:12" x14ac:dyDescent="0.2">
      <c r="A29" s="10" t="str">
        <f>'Occ T2'!A21</f>
        <v>51 Skilled agricultural and related trades</v>
      </c>
      <c r="B29" s="10">
        <f>'Occ T2'!B21</f>
        <v>8.4039470707917943</v>
      </c>
      <c r="C29" s="10">
        <f>'Occ T2'!C21</f>
        <v>8.8761071523968695</v>
      </c>
      <c r="D29" s="10">
        <f>'Occ T2'!D21</f>
        <v>7.0314570870948216</v>
      </c>
      <c r="E29" s="10">
        <f>'Occ T2'!E21</f>
        <v>7.5692138796838897</v>
      </c>
      <c r="F29" s="10">
        <f>'Occ T2'!F21</f>
        <v>8.8852578157912987</v>
      </c>
      <c r="H29" s="11">
        <f t="shared" si="15"/>
        <v>0.47216008160507528</v>
      </c>
      <c r="I29" s="31">
        <f t="shared" si="5"/>
        <v>-1.8446500653020479</v>
      </c>
      <c r="J29" s="11">
        <f t="shared" si="15"/>
        <v>0.53775679258906806</v>
      </c>
      <c r="K29" s="11">
        <f t="shared" si="15"/>
        <v>1.316043936107409</v>
      </c>
      <c r="L29" s="31">
        <f t="shared" si="4"/>
        <v>1.8538007286964771</v>
      </c>
    </row>
    <row r="30" spans="1:12" x14ac:dyDescent="0.2">
      <c r="A30" s="10" t="str">
        <f>'Occ T2'!A22</f>
        <v>52 Skilled metal, electrical and electronic trades</v>
      </c>
      <c r="B30" s="10">
        <f>'Occ T2'!B22</f>
        <v>28.870477861307073</v>
      </c>
      <c r="C30" s="10">
        <f>'Occ T2'!C22</f>
        <v>28.907720779088834</v>
      </c>
      <c r="D30" s="10">
        <f>'Occ T2'!D22</f>
        <v>25.128095818289641</v>
      </c>
      <c r="E30" s="10">
        <f>'Occ T2'!E22</f>
        <v>25.923578569977003</v>
      </c>
      <c r="F30" s="10">
        <f>'Occ T2'!F22</f>
        <v>25.16053680105826</v>
      </c>
      <c r="H30" s="11">
        <f t="shared" si="15"/>
        <v>3.7242917781760809E-2</v>
      </c>
      <c r="I30" s="31">
        <f t="shared" si="5"/>
        <v>-3.7796249607991932</v>
      </c>
      <c r="J30" s="11">
        <f t="shared" si="15"/>
        <v>0.79548275168736282</v>
      </c>
      <c r="K30" s="11">
        <f t="shared" si="15"/>
        <v>-0.7630417689187432</v>
      </c>
      <c r="L30" s="31">
        <f t="shared" si="4"/>
        <v>3.2440982768619619E-2</v>
      </c>
    </row>
    <row r="31" spans="1:12" x14ac:dyDescent="0.2">
      <c r="A31" s="10" t="str">
        <f>'Occ T2'!A23</f>
        <v>53 Skilled construction and building trades</v>
      </c>
      <c r="B31" s="10">
        <f>'Occ T2'!B23</f>
        <v>24.522418259082531</v>
      </c>
      <c r="C31" s="10">
        <f>'Occ T2'!C23</f>
        <v>22.755820067139542</v>
      </c>
      <c r="D31" s="10">
        <f>'Occ T2'!D23</f>
        <v>20.419196268607529</v>
      </c>
      <c r="E31" s="10">
        <f>'Occ T2'!E23</f>
        <v>21.867085904972658</v>
      </c>
      <c r="F31" s="10">
        <f>'Occ T2'!F23</f>
        <v>20.361165478126061</v>
      </c>
      <c r="H31" s="11">
        <f t="shared" ref="H31:H32" si="16">C31-B31</f>
        <v>-1.7665981919429896</v>
      </c>
      <c r="I31" s="31">
        <f t="shared" si="5"/>
        <v>-2.3366237985320133</v>
      </c>
      <c r="J31" s="11">
        <f t="shared" ref="J31:J32" si="17">E31-D31</f>
        <v>1.4478896363651295</v>
      </c>
      <c r="K31" s="11">
        <f t="shared" ref="K31:K32" si="18">F31-E31</f>
        <v>-1.5059204268465969</v>
      </c>
      <c r="L31" s="31">
        <f t="shared" si="4"/>
        <v>-5.803079048146742E-2</v>
      </c>
    </row>
    <row r="32" spans="1:12" x14ac:dyDescent="0.2">
      <c r="A32" s="10" t="str">
        <f>'Occ T2'!A24</f>
        <v>54 Textiles, printing and other skilled trades</v>
      </c>
      <c r="B32" s="10">
        <f>'Occ T2'!B24</f>
        <v>19.615673592560057</v>
      </c>
      <c r="C32" s="10">
        <f>'Occ T2'!C24</f>
        <v>17.302381047081514</v>
      </c>
      <c r="D32" s="10">
        <f>'Occ T2'!D24</f>
        <v>15.944815188072862</v>
      </c>
      <c r="E32" s="10">
        <f>'Occ T2'!E24</f>
        <v>16.547072698948412</v>
      </c>
      <c r="F32" s="10">
        <f>'Occ T2'!F24</f>
        <v>17.376454790945417</v>
      </c>
      <c r="H32" s="11">
        <f t="shared" si="16"/>
        <v>-2.3132925454785429</v>
      </c>
      <c r="I32" s="31">
        <f t="shared" si="5"/>
        <v>-1.3575658590086519</v>
      </c>
      <c r="J32" s="11">
        <f t="shared" si="17"/>
        <v>0.60225751087554968</v>
      </c>
      <c r="K32" s="11">
        <f t="shared" si="18"/>
        <v>0.82938209199700452</v>
      </c>
      <c r="L32" s="31">
        <f t="shared" si="4"/>
        <v>1.4316396028725542</v>
      </c>
    </row>
    <row r="33" spans="1:12" x14ac:dyDescent="0.2">
      <c r="A33" s="10"/>
      <c r="B33" s="32"/>
      <c r="C33" s="32"/>
      <c r="D33" s="32"/>
      <c r="E33" s="32"/>
      <c r="F33" s="32"/>
      <c r="H33" s="11"/>
      <c r="I33" s="31"/>
      <c r="J33" s="11"/>
      <c r="K33" s="11"/>
      <c r="L33" s="31"/>
    </row>
    <row r="34" spans="1:12" s="30" customFormat="1" x14ac:dyDescent="0.2">
      <c r="A34" s="30" t="str">
        <f>'Occ T1'!A13</f>
        <v>Caring, leisure and other service occupations</v>
      </c>
      <c r="B34" s="31">
        <f>'Occ T1'!B13</f>
        <v>81.542313296358259</v>
      </c>
      <c r="C34" s="31">
        <f>'Occ T1'!C13</f>
        <v>83.203369424048049</v>
      </c>
      <c r="D34" s="31">
        <f>'Occ T1'!D13</f>
        <v>78.928229856731903</v>
      </c>
      <c r="E34" s="31">
        <f>'Occ T1'!E13</f>
        <v>83.465879383626358</v>
      </c>
      <c r="F34" s="31">
        <f>'Occ T1'!F13</f>
        <v>88.550962485980079</v>
      </c>
      <c r="H34" s="31">
        <f t="shared" ref="H34:K36" si="19">C34-B34</f>
        <v>1.6610561276897897</v>
      </c>
      <c r="I34" s="31">
        <f t="shared" si="5"/>
        <v>-4.2751395673161454</v>
      </c>
      <c r="J34" s="31">
        <f t="shared" si="19"/>
        <v>4.5376495268944552</v>
      </c>
      <c r="K34" s="31">
        <f t="shared" si="19"/>
        <v>5.0850831023537211</v>
      </c>
      <c r="L34" s="31">
        <f t="shared" si="4"/>
        <v>9.6227326292481763</v>
      </c>
    </row>
    <row r="35" spans="1:12" x14ac:dyDescent="0.2">
      <c r="A35" s="10" t="str">
        <f>'Occ T2'!A25</f>
        <v>61 Caring personal service occupations</v>
      </c>
      <c r="B35" s="10">
        <f>'Occ T2'!B25</f>
        <v>58.131005767511112</v>
      </c>
      <c r="C35" s="10">
        <f>'Occ T2'!C25</f>
        <v>59.688732187940488</v>
      </c>
      <c r="D35" s="10">
        <f>'Occ T2'!D25</f>
        <v>56.991340768895562</v>
      </c>
      <c r="E35" s="10">
        <f>'Occ T2'!E25</f>
        <v>61.449225038953898</v>
      </c>
      <c r="F35" s="10">
        <f>'Occ T2'!F25</f>
        <v>65.879337343067263</v>
      </c>
      <c r="G35" s="10"/>
      <c r="H35" s="11">
        <f t="shared" si="19"/>
        <v>1.5577264204293755</v>
      </c>
      <c r="I35" s="31">
        <f t="shared" si="5"/>
        <v>-2.6973914190449264</v>
      </c>
      <c r="J35" s="11">
        <f t="shared" si="19"/>
        <v>4.4578842700583365</v>
      </c>
      <c r="K35" s="11">
        <f t="shared" si="19"/>
        <v>4.430112304113365</v>
      </c>
      <c r="L35" s="31">
        <f t="shared" si="4"/>
        <v>8.8879965741717015</v>
      </c>
    </row>
    <row r="36" spans="1:12" x14ac:dyDescent="0.2">
      <c r="A36" s="10" t="str">
        <f>'Occ T2'!A26</f>
        <v>62 Leisure, travel and related personal service occupations</v>
      </c>
      <c r="B36" s="10">
        <f>'Occ T2'!B26</f>
        <v>22.488059503441097</v>
      </c>
      <c r="C36" s="10">
        <f>'Occ T2'!C26</f>
        <v>22.764587776774363</v>
      </c>
      <c r="D36" s="10">
        <f>'Occ T2'!D26</f>
        <v>20.996416440378088</v>
      </c>
      <c r="E36" s="10">
        <f>'Occ T2'!E26</f>
        <v>21.256535200466839</v>
      </c>
      <c r="F36" s="10">
        <f>'Occ T2'!F26</f>
        <v>21.871543451721784</v>
      </c>
      <c r="G36" s="10"/>
      <c r="H36" s="11">
        <f t="shared" si="19"/>
        <v>0.27652827333326613</v>
      </c>
      <c r="I36" s="31">
        <f t="shared" si="5"/>
        <v>-1.768171336396275</v>
      </c>
      <c r="J36" s="11">
        <f t="shared" si="19"/>
        <v>0.26011876008875134</v>
      </c>
      <c r="K36" s="11">
        <f t="shared" si="19"/>
        <v>0.61500825125494529</v>
      </c>
      <c r="L36" s="31">
        <f t="shared" si="4"/>
        <v>0.87512701134369664</v>
      </c>
    </row>
    <row r="37" spans="1:12" x14ac:dyDescent="0.2">
      <c r="A37" s="10" t="str">
        <f>'Occ T2'!A27</f>
        <v>63 Community and civil enforcement occupations</v>
      </c>
      <c r="B37" s="10">
        <f>'Occ T2'!B27</f>
        <v>0.92324802540605289</v>
      </c>
      <c r="C37" s="10">
        <f>'Occ T2'!C27</f>
        <v>0.75004945933320477</v>
      </c>
      <c r="D37" s="10">
        <f>'Occ T2'!D27</f>
        <v>0.94047264745824644</v>
      </c>
      <c r="E37" s="10">
        <f>'Occ T2'!E27</f>
        <v>0.76011914420561344</v>
      </c>
      <c r="F37" s="10">
        <f>'Occ T2'!F27</f>
        <v>0.80008169119102535</v>
      </c>
      <c r="G37" s="10"/>
      <c r="H37" s="11">
        <f t="shared" ref="H37" si="20">C37-B37</f>
        <v>-0.17319856607284811</v>
      </c>
      <c r="I37" s="31">
        <f t="shared" ref="I37" si="21">D37-C37</f>
        <v>0.19042318812504166</v>
      </c>
      <c r="J37" s="11">
        <f t="shared" ref="J37" si="22">E37-D37</f>
        <v>-0.180353503252633</v>
      </c>
      <c r="K37" s="11">
        <f t="shared" ref="K37" si="23">F37-E37</f>
        <v>3.9962546985411906E-2</v>
      </c>
      <c r="L37" s="31">
        <f t="shared" ref="L37" si="24">F37-D37</f>
        <v>-0.14039095626722109</v>
      </c>
    </row>
    <row r="38" spans="1:12" x14ac:dyDescent="0.2">
      <c r="I38" s="31"/>
      <c r="L38" s="31"/>
    </row>
    <row r="39" spans="1:12" s="30" customFormat="1" x14ac:dyDescent="0.2">
      <c r="A39" s="30" t="str">
        <f>'Occ T1'!A14</f>
        <v>Sales and customer service occupations</v>
      </c>
      <c r="B39" s="31">
        <f>'Occ T1'!B14</f>
        <v>67.650112553582659</v>
      </c>
      <c r="C39" s="31">
        <f>'Occ T1'!C14</f>
        <v>66.064672482627699</v>
      </c>
      <c r="D39" s="31">
        <f>'Occ T1'!D14</f>
        <v>66.154645293507599</v>
      </c>
      <c r="E39" s="31">
        <f>'Occ T1'!E14</f>
        <v>66.294151026564577</v>
      </c>
      <c r="F39" s="31">
        <f>'Occ T1'!F14</f>
        <v>66.316025592094505</v>
      </c>
      <c r="H39" s="31">
        <f>C39-B39</f>
        <v>-1.5854400709549594</v>
      </c>
      <c r="I39" s="31">
        <f t="shared" si="5"/>
        <v>8.9972810879899612E-2</v>
      </c>
      <c r="J39" s="31">
        <f>E39-D39</f>
        <v>0.13950573305697844</v>
      </c>
      <c r="K39" s="31">
        <f>F39-E39</f>
        <v>2.1874565529927281E-2</v>
      </c>
      <c r="L39" s="31">
        <f t="shared" si="4"/>
        <v>0.16138029858690572</v>
      </c>
    </row>
    <row r="40" spans="1:12" s="30" customFormat="1" x14ac:dyDescent="0.2">
      <c r="A40" s="126" t="str">
        <f>'Occ T2'!A28</f>
        <v>71 Sales occupations</v>
      </c>
      <c r="B40" s="126">
        <f>'Occ T2'!B28</f>
        <v>54.477963592890447</v>
      </c>
      <c r="C40" s="126">
        <f>'Occ T2'!C28</f>
        <v>52.542405994336903</v>
      </c>
      <c r="D40" s="126">
        <f>'Occ T2'!D28</f>
        <v>52.38875275613151</v>
      </c>
      <c r="E40" s="126">
        <f>'Occ T2'!E28</f>
        <v>48.745388094071551</v>
      </c>
      <c r="F40" s="126">
        <f>'Occ T2'!F28</f>
        <v>46.442664895555289</v>
      </c>
      <c r="G40"/>
      <c r="H40" s="11">
        <f>C40-B40</f>
        <v>-1.9355575985535438</v>
      </c>
      <c r="I40" s="31">
        <f t="shared" si="5"/>
        <v>-0.15365323820539345</v>
      </c>
      <c r="J40" s="11">
        <f t="shared" ref="J40" si="25">E40-D40</f>
        <v>-3.6433646620599589</v>
      </c>
      <c r="K40" s="11">
        <f t="shared" ref="K40" si="26">F40-E40</f>
        <v>-2.3027231985162615</v>
      </c>
      <c r="L40" s="31">
        <f t="shared" si="4"/>
        <v>-5.9460878605762204</v>
      </c>
    </row>
    <row r="41" spans="1:12" s="30" customFormat="1" x14ac:dyDescent="0.2">
      <c r="A41" s="126" t="str">
        <f>'Occ T2'!A29</f>
        <v>72 Customer service occupations</v>
      </c>
      <c r="B41" s="126">
        <f>'Occ T2'!B29</f>
        <v>13.172148960692217</v>
      </c>
      <c r="C41" s="126">
        <f>'Occ T2'!C29</f>
        <v>13.5222664882908</v>
      </c>
      <c r="D41" s="126">
        <f>'Occ T2'!D29</f>
        <v>13.765892537376093</v>
      </c>
      <c r="E41" s="126">
        <f>'Occ T2'!E29</f>
        <v>17.548762932493023</v>
      </c>
      <c r="F41" s="126">
        <f>'Occ T2'!F29</f>
        <v>19.873360696539212</v>
      </c>
      <c r="G41"/>
      <c r="H41" s="11">
        <f t="shared" ref="H41" si="27">C41-B41</f>
        <v>0.35011752759858261</v>
      </c>
      <c r="I41" s="31">
        <f t="shared" si="5"/>
        <v>0.24362604908529306</v>
      </c>
      <c r="J41" s="11">
        <f t="shared" ref="J41" si="28">E41-D41</f>
        <v>3.7828703951169302</v>
      </c>
      <c r="K41" s="11">
        <f t="shared" ref="K41" si="29">F41-E41</f>
        <v>2.3245977640461888</v>
      </c>
      <c r="L41" s="31">
        <f t="shared" si="4"/>
        <v>6.107468159163119</v>
      </c>
    </row>
    <row r="42" spans="1:12" x14ac:dyDescent="0.2">
      <c r="B42" s="32"/>
      <c r="C42" s="32"/>
      <c r="D42" s="32"/>
      <c r="E42" s="32"/>
      <c r="F42" s="32"/>
      <c r="H42" s="11"/>
      <c r="I42" s="31"/>
      <c r="J42" s="11"/>
      <c r="K42" s="11"/>
      <c r="L42" s="31"/>
    </row>
    <row r="43" spans="1:12" s="30" customFormat="1" x14ac:dyDescent="0.2">
      <c r="A43" s="30" t="str">
        <f>'Occ T1'!A15</f>
        <v>Process, plant and machine operatives</v>
      </c>
      <c r="B43" s="31">
        <f>'Occ T1'!B15</f>
        <v>37.86368362937651</v>
      </c>
      <c r="C43" s="31">
        <f>'Occ T1'!C15</f>
        <v>39.74154361038277</v>
      </c>
      <c r="D43" s="31">
        <f>'Occ T1'!D15</f>
        <v>33.643335164535806</v>
      </c>
      <c r="E43" s="31">
        <f>'Occ T1'!E15</f>
        <v>38.00761082025749</v>
      </c>
      <c r="F43" s="31">
        <f>'Occ T1'!F15</f>
        <v>38.048744257037569</v>
      </c>
      <c r="H43" s="31">
        <f t="shared" ref="H43:K45" si="30">C43-B43</f>
        <v>1.8778599810062602</v>
      </c>
      <c r="I43" s="31">
        <f t="shared" si="5"/>
        <v>-6.0982084458469643</v>
      </c>
      <c r="J43" s="31">
        <f t="shared" si="30"/>
        <v>4.3642756557216842</v>
      </c>
      <c r="K43" s="31">
        <f t="shared" si="30"/>
        <v>4.113343678007908E-2</v>
      </c>
      <c r="L43" s="31">
        <f t="shared" si="4"/>
        <v>4.4054090925017633</v>
      </c>
    </row>
    <row r="44" spans="1:12" x14ac:dyDescent="0.2">
      <c r="A44" s="10" t="str">
        <f>'Occ T2'!A30</f>
        <v>81 Process, plant and machine operatives</v>
      </c>
      <c r="B44" s="10">
        <f>'Occ T2'!B30</f>
        <v>12.743962550817093</v>
      </c>
      <c r="C44" s="10">
        <f>'Occ T2'!C30</f>
        <v>12.497065863849606</v>
      </c>
      <c r="D44" s="10">
        <f>'Occ T2'!D30</f>
        <v>10.939631034552663</v>
      </c>
      <c r="E44" s="10">
        <f>'Occ T2'!E30</f>
        <v>13.448269585660745</v>
      </c>
      <c r="F44" s="10">
        <f>'Occ T2'!F30</f>
        <v>13.418760554653188</v>
      </c>
      <c r="H44" s="11">
        <f t="shared" si="30"/>
        <v>-0.2468966869674869</v>
      </c>
      <c r="I44" s="31">
        <f t="shared" si="5"/>
        <v>-1.5574348292969429</v>
      </c>
      <c r="J44" s="11">
        <f t="shared" si="30"/>
        <v>2.5086385511080813</v>
      </c>
      <c r="K44" s="11">
        <f t="shared" si="30"/>
        <v>-2.950903100755653E-2</v>
      </c>
      <c r="L44" s="31">
        <f t="shared" si="4"/>
        <v>2.4791295201005248</v>
      </c>
    </row>
    <row r="45" spans="1:12" x14ac:dyDescent="0.2">
      <c r="A45" s="10" t="str">
        <f>'Occ T2'!A31</f>
        <v>82 Transport and mobile machine drivers and operatives</v>
      </c>
      <c r="B45" s="10">
        <f>'Occ T2'!B31</f>
        <v>25.119721078559419</v>
      </c>
      <c r="C45" s="10">
        <f>'Occ T2'!C31</f>
        <v>27.244477746533164</v>
      </c>
      <c r="D45" s="10">
        <f>'Occ T2'!D31</f>
        <v>22.703704129983144</v>
      </c>
      <c r="E45" s="10">
        <f>'Occ T2'!E31</f>
        <v>24.559341234596747</v>
      </c>
      <c r="F45" s="10">
        <f>'Occ T2'!F31</f>
        <v>24.629983702384379</v>
      </c>
      <c r="H45" s="11">
        <f t="shared" si="30"/>
        <v>2.1247566679737453</v>
      </c>
      <c r="I45" s="31">
        <f t="shared" si="5"/>
        <v>-4.5407736165500197</v>
      </c>
      <c r="J45" s="11">
        <f t="shared" si="30"/>
        <v>1.8556371046136029</v>
      </c>
      <c r="K45" s="11">
        <f t="shared" si="30"/>
        <v>7.0642467787632057E-2</v>
      </c>
      <c r="L45" s="31">
        <f t="shared" si="4"/>
        <v>1.9262795724012349</v>
      </c>
    </row>
    <row r="46" spans="1:12" x14ac:dyDescent="0.2">
      <c r="B46" s="32"/>
      <c r="C46" s="32"/>
      <c r="D46" s="32"/>
      <c r="E46" s="32"/>
      <c r="F46" s="32"/>
      <c r="H46" s="11"/>
      <c r="I46" s="31"/>
      <c r="J46" s="11"/>
      <c r="K46" s="11"/>
      <c r="L46" s="31"/>
    </row>
    <row r="47" spans="1:12" s="30" customFormat="1" x14ac:dyDescent="0.2">
      <c r="A47" s="30" t="str">
        <f>'Occ T1'!A16</f>
        <v>Elementary occupations</v>
      </c>
      <c r="B47" s="31">
        <f>'Occ T1'!B16</f>
        <v>97.277648870906489</v>
      </c>
      <c r="C47" s="31">
        <f>'Occ T1'!C16</f>
        <v>93.142138036950058</v>
      </c>
      <c r="D47" s="31">
        <f>'Occ T1'!D16</f>
        <v>84.814320137323875</v>
      </c>
      <c r="E47" s="31">
        <f>'Occ T1'!E16</f>
        <v>86.062380532069156</v>
      </c>
      <c r="F47" s="31">
        <f>'Occ T1'!F16</f>
        <v>83.448184336130424</v>
      </c>
      <c r="H47" s="31">
        <f t="shared" ref="H47:K49" si="31">C47-B47</f>
        <v>-4.135510833956431</v>
      </c>
      <c r="I47" s="31">
        <f t="shared" si="5"/>
        <v>-8.3278178996261829</v>
      </c>
      <c r="J47" s="31">
        <f t="shared" si="31"/>
        <v>1.2480603947452806</v>
      </c>
      <c r="K47" s="31">
        <f t="shared" si="31"/>
        <v>-2.6141961959387316</v>
      </c>
      <c r="L47" s="31">
        <f t="shared" si="4"/>
        <v>-1.366135801193451</v>
      </c>
    </row>
    <row r="48" spans="1:12" x14ac:dyDescent="0.2">
      <c r="A48" s="10" t="str">
        <f>'Occ T2'!A32</f>
        <v>91 Elementary trades and related occupations</v>
      </c>
      <c r="B48" s="10">
        <f>'Occ T2'!B32</f>
        <v>11.210781757562087</v>
      </c>
      <c r="C48" s="10">
        <f>'Occ T2'!C32</f>
        <v>9.7879247979048163</v>
      </c>
      <c r="D48" s="10">
        <f>'Occ T2'!D32</f>
        <v>8.7182083202628089</v>
      </c>
      <c r="E48" s="10">
        <f>'Occ T2'!E32</f>
        <v>7.4114416150968658</v>
      </c>
      <c r="F48" s="10">
        <f>'Occ T2'!F32</f>
        <v>7.0598733495814647</v>
      </c>
      <c r="H48" s="11">
        <f t="shared" si="31"/>
        <v>-1.4228569596572704</v>
      </c>
      <c r="I48" s="31">
        <f t="shared" si="5"/>
        <v>-1.0697164776420074</v>
      </c>
      <c r="J48" s="11">
        <f t="shared" si="31"/>
        <v>-1.3067667051659431</v>
      </c>
      <c r="K48" s="11">
        <f t="shared" si="31"/>
        <v>-0.3515682655154011</v>
      </c>
      <c r="L48" s="31">
        <f t="shared" si="4"/>
        <v>-1.6583349706813442</v>
      </c>
    </row>
    <row r="49" spans="1:12" x14ac:dyDescent="0.2">
      <c r="A49" s="10" t="str">
        <f>'Occ T2'!A33</f>
        <v>92 Elementary administration and service occupations</v>
      </c>
      <c r="B49" s="10">
        <f>'Occ T2'!B33</f>
        <v>86.066867113344401</v>
      </c>
      <c r="C49" s="10">
        <f>'Occ T2'!C33</f>
        <v>83.354213239045237</v>
      </c>
      <c r="D49" s="10">
        <f>'Occ T2'!D33</f>
        <v>76.096111817061072</v>
      </c>
      <c r="E49" s="10">
        <f>'Occ T2'!E33</f>
        <v>78.650938916972294</v>
      </c>
      <c r="F49" s="10">
        <f>'Occ T2'!F33</f>
        <v>76.388310986548959</v>
      </c>
      <c r="H49" s="11">
        <f t="shared" si="31"/>
        <v>-2.7126538742991642</v>
      </c>
      <c r="I49" s="31">
        <f t="shared" si="5"/>
        <v>-7.2581014219841649</v>
      </c>
      <c r="J49" s="11">
        <f t="shared" si="31"/>
        <v>2.5548270999112219</v>
      </c>
      <c r="K49" s="11">
        <f t="shared" si="31"/>
        <v>-2.262627930423335</v>
      </c>
      <c r="L49" s="31">
        <f t="shared" si="4"/>
        <v>0.29219916948788693</v>
      </c>
    </row>
    <row r="50" spans="1:12" x14ac:dyDescent="0.2">
      <c r="B50" s="32"/>
      <c r="C50" s="32"/>
      <c r="D50" s="32"/>
      <c r="E50" s="32"/>
      <c r="F50" s="32"/>
      <c r="H50" s="11"/>
      <c r="I50" s="31"/>
      <c r="J50" s="11"/>
      <c r="K50" s="11"/>
      <c r="L50" s="31"/>
    </row>
    <row r="51" spans="1:12" x14ac:dyDescent="0.2">
      <c r="A51" s="39" t="str">
        <f>'Occ T1'!A18</f>
        <v>All occupations</v>
      </c>
      <c r="B51" s="34">
        <f>'Occ T1'!B18</f>
        <v>865.00499999999988</v>
      </c>
      <c r="C51" s="34">
        <f>'Occ T1'!C18</f>
        <v>882.44900000000052</v>
      </c>
      <c r="D51" s="34">
        <f>'Occ T1'!D18</f>
        <v>864.63999999999965</v>
      </c>
      <c r="E51" s="34">
        <f>'Occ T1'!E18</f>
        <v>889.97999999999945</v>
      </c>
      <c r="F51" s="34">
        <f>'Occ T1'!F18</f>
        <v>925.47800000000007</v>
      </c>
      <c r="G51" s="24"/>
      <c r="H51" s="34">
        <f>C51-B51</f>
        <v>17.444000000000642</v>
      </c>
      <c r="I51" s="205">
        <f>D51-C51</f>
        <v>-17.809000000000879</v>
      </c>
      <c r="J51" s="34">
        <f>E51-D51</f>
        <v>25.339999999999804</v>
      </c>
      <c r="K51" s="34">
        <f>F51-E51</f>
        <v>35.498000000000616</v>
      </c>
      <c r="L51" s="205">
        <f>F51-D51</f>
        <v>60.83800000000042</v>
      </c>
    </row>
    <row r="53" spans="1:12" ht="15.75" x14ac:dyDescent="0.25">
      <c r="A53" s="19" t="str">
        <f>CONCATENATE(A1," (Continued)")</f>
        <v>Occupation Table 3  Employment Change by Occupation in Occupation Group (SOC 2020), 2015-2035, Enterprise M3 (Continued)</v>
      </c>
    </row>
    <row r="55" spans="1:12" x14ac:dyDescent="0.2">
      <c r="L55" s="16" t="s">
        <v>22</v>
      </c>
    </row>
    <row r="56" spans="1:12" x14ac:dyDescent="0.2">
      <c r="A56" s="36"/>
      <c r="B56" s="28" t="s">
        <v>15</v>
      </c>
      <c r="C56" s="28"/>
      <c r="D56" s="28"/>
      <c r="E56" s="28"/>
      <c r="F56" s="28"/>
      <c r="G56" s="28"/>
      <c r="H56" s="28" t="s">
        <v>14</v>
      </c>
      <c r="I56" s="28"/>
      <c r="J56" s="28"/>
      <c r="K56" s="28"/>
      <c r="L56" s="28"/>
    </row>
    <row r="57" spans="1:12" x14ac:dyDescent="0.2">
      <c r="A57" s="24"/>
      <c r="B57" s="37" t="str">
        <f>H5</f>
        <v>2015-2019</v>
      </c>
      <c r="C57" s="37" t="str">
        <f>I5</f>
        <v>2019-2020</v>
      </c>
      <c r="D57" s="37" t="str">
        <f>J5</f>
        <v>2020-2025</v>
      </c>
      <c r="E57" s="37" t="str">
        <f>K5</f>
        <v>2025-2035</v>
      </c>
      <c r="F57" s="37" t="str">
        <f>L5</f>
        <v>2020-2035</v>
      </c>
      <c r="G57" s="1"/>
      <c r="H57" s="42">
        <f>B5</f>
        <v>2015</v>
      </c>
      <c r="I57" s="42">
        <f>C5</f>
        <v>2019</v>
      </c>
      <c r="J57" s="42">
        <f>D5</f>
        <v>2020</v>
      </c>
      <c r="K57" s="42">
        <f>E5</f>
        <v>2025</v>
      </c>
      <c r="L57" s="42">
        <f>F5</f>
        <v>2035</v>
      </c>
    </row>
    <row r="59" spans="1:12" s="30" customFormat="1" x14ac:dyDescent="0.2">
      <c r="A59" s="30" t="str">
        <f>A7</f>
        <v>Managers, directors and senior officials</v>
      </c>
      <c r="B59" s="44">
        <f>IF(AND(C$5-B$5 &lt;&gt; 0,C7 &lt;&gt; 0,B7 &lt;&gt; 0),(EXP(LN(C7/B7)/(C$5-B$5))-1)*100,0)</f>
        <v>2.4367331079079291</v>
      </c>
      <c r="C59" s="44">
        <f>IF(AND(D$5-C$5 &lt;&gt; 0,D7 &lt;&gt; 0,C7 &lt;&gt; 0),(EXP(LN(D7/C7)/(D$5-C$5))-1)*100,0)</f>
        <v>1.3989843330097784E-2</v>
      </c>
      <c r="D59" s="44">
        <f>IF(AND(E$5-D$5 &lt;&gt; 0,E7 &lt;&gt; 0,D7 &lt;&gt; 0),(EXP(LN(E7/D7)/(E$5-D$5))-1)*100,0)</f>
        <v>0.67532681027486774</v>
      </c>
      <c r="E59" s="44">
        <f>IF(AND(F$5-E$5 &lt;&gt; 0,F7 &lt;&gt; 0,E7 &lt;&gt; 0),(EXP(LN(F7/E7)/(F$5-E$5))-1)*100,0)</f>
        <v>1.1090329613217209</v>
      </c>
      <c r="F59" s="44">
        <f>IF(AND(F$5-D$5 &lt;&gt; 0,F7 &lt;&gt; 0,D7 &lt;&gt; 0),(EXP(LN(F7/D7)/(F$5-D$5))-1)*100,0)</f>
        <v>0.96425704162383941</v>
      </c>
      <c r="H59" s="44">
        <f>(B7/B$51)*100</f>
        <v>11.540211405399981</v>
      </c>
      <c r="I59" s="44">
        <f>(C7/C$51)*100</f>
        <v>12.455628473301589</v>
      </c>
      <c r="J59" s="44">
        <f>(D7/D$51)*100</f>
        <v>12.713955609542953</v>
      </c>
      <c r="K59" s="44">
        <f>(E7/E$51)*100</f>
        <v>12.774708738422955</v>
      </c>
      <c r="L59" s="44">
        <f>(F7/F$51)*100</f>
        <v>13.717176336130191</v>
      </c>
    </row>
    <row r="60" spans="1:12" s="30" customFormat="1" x14ac:dyDescent="0.2">
      <c r="A60" s="30" t="str">
        <f>A8</f>
        <v>11 Corporate managers and directors</v>
      </c>
      <c r="B60" s="44">
        <f t="shared" ref="B60:E60" si="32">IF(AND(C$5-B$5 &lt;&gt; 0,C8 &lt;&gt; 0,B8 &lt;&gt; 0),(EXP(LN(C8/B8)/(C$5-B$5))-1)*100,0)</f>
        <v>3.3518803379938955</v>
      </c>
      <c r="C60" s="44">
        <f t="shared" si="32"/>
        <v>0.67090647692236161</v>
      </c>
      <c r="D60" s="44">
        <f t="shared" si="32"/>
        <v>-1.1583116984548059</v>
      </c>
      <c r="E60" s="44">
        <f t="shared" si="32"/>
        <v>0.87698641579319059</v>
      </c>
      <c r="F60" s="44">
        <f>IF(AND(F$5-D$5 &lt;&gt; 0,F8 &lt;&gt; 0,D8 &lt;&gt; 0),(EXP(LN(F8/D8)/(F$5-D$5))-1)*100,0)</f>
        <v>0.19393917482022349</v>
      </c>
      <c r="H60" s="44">
        <f t="shared" ref="H60:L60" si="33">(B8/B$51)*100</f>
        <v>7.9390749424941021</v>
      </c>
      <c r="I60" s="44">
        <f t="shared" si="33"/>
        <v>8.8791712808210264</v>
      </c>
      <c r="J60" s="44">
        <f t="shared" si="33"/>
        <v>9.1228535920189291</v>
      </c>
      <c r="K60" s="44">
        <f t="shared" si="33"/>
        <v>8.3615454670557785</v>
      </c>
      <c r="L60" s="44">
        <f t="shared" si="33"/>
        <v>8.774486304865551</v>
      </c>
    </row>
    <row r="61" spans="1:12" s="30" customFormat="1" x14ac:dyDescent="0.2">
      <c r="A61" s="30" t="str">
        <f>A9</f>
        <v>12 Other managers and proprietors</v>
      </c>
      <c r="B61" s="44">
        <f t="shared" ref="B61:E61" si="34">IF(AND(C$5-B$5 &lt;&gt; 0,C9 &lt;&gt; 0,B9 &lt;&gt; 0),(EXP(LN(C9/B9)/(C$5-B$5))-1)*100,0)</f>
        <v>0.32775918733383147</v>
      </c>
      <c r="C61" s="44">
        <f>IF(AND(D$5-C$5 &lt;&gt; 0,D9 &lt;&gt; 0,C9 &lt;&gt; 0),(EXP(LN(D9/C9)/(D$5-C$5))-1)*100,0)</f>
        <v>-1.6169189004260565</v>
      </c>
      <c r="D61" s="44">
        <f t="shared" si="34"/>
        <v>4.8125857494619728</v>
      </c>
      <c r="E61" s="44">
        <f t="shared" si="34"/>
        <v>1.5359702745163961</v>
      </c>
      <c r="F61" s="44">
        <f>IF(AND(F$5-D$5 &lt;&gt; 0,F9 &lt;&gt; 0,D9 &lt;&gt; 0),(EXP(LN(F9/D9)/(F$5-D$5))-1)*100,0)</f>
        <v>2.6166329715860082</v>
      </c>
      <c r="H61" s="44">
        <f t="shared" ref="H61:L61" si="35">(B9/B$51)*100</f>
        <v>3.6011364629058789</v>
      </c>
      <c r="I61" s="44">
        <f t="shared" si="35"/>
        <v>3.5764571924805617</v>
      </c>
      <c r="J61" s="44">
        <f t="shared" si="35"/>
        <v>3.5911020175240225</v>
      </c>
      <c r="K61" s="44">
        <f t="shared" si="35"/>
        <v>4.4131632713671758</v>
      </c>
      <c r="L61" s="44">
        <f t="shared" si="35"/>
        <v>4.9426900312646387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A11</f>
        <v>Professional occupations</v>
      </c>
      <c r="B63" s="44">
        <f t="shared" ref="B63:E67" si="36">IF(AND(C$5-B$5 &lt;&gt; 0,C11 &lt;&gt; 0,B11 &lt;&gt; 0),(EXP(LN(C11/B11)/(C$5-B$5))-1)*100,0)</f>
        <v>2.2669883793781098</v>
      </c>
      <c r="C63" s="44">
        <f t="shared" si="36"/>
        <v>2.5347262416111738</v>
      </c>
      <c r="D63" s="44">
        <f t="shared" si="36"/>
        <v>1.4583096690333974</v>
      </c>
      <c r="E63" s="44">
        <f t="shared" si="36"/>
        <v>0.87506520417817146</v>
      </c>
      <c r="F63" s="44">
        <f>IF(AND(F$5-D$5 &lt;&gt; 0,F11 &lt;&gt; 0,D11 &lt;&gt; 0),(EXP(LN(F11/D11)/(F$5-D$5))-1)*100,0)</f>
        <v>1.0691065323153781</v>
      </c>
      <c r="H63" s="44">
        <f>(B11/B$51)*100</f>
        <v>21.665160439704444</v>
      </c>
      <c r="I63" s="44">
        <f>(C11/C$51)*100</f>
        <v>23.229121155315845</v>
      </c>
      <c r="J63" s="44">
        <f>(D11/D$51)*100</f>
        <v>24.308493669620169</v>
      </c>
      <c r="K63" s="44">
        <f>(E11/E$51)*100</f>
        <v>25.389329757278933</v>
      </c>
      <c r="L63" s="44">
        <f>(F11/F$51)*100</f>
        <v>26.638125980246418</v>
      </c>
    </row>
    <row r="64" spans="1:12" x14ac:dyDescent="0.2">
      <c r="A64" t="str">
        <f>A12</f>
        <v>21 Science, research, engineering and technology professionals</v>
      </c>
      <c r="B64" s="49">
        <f t="shared" si="36"/>
        <v>1.8422982158332823</v>
      </c>
      <c r="C64" s="44">
        <f t="shared" si="36"/>
        <v>2.8997960298013936</v>
      </c>
      <c r="D64" s="49">
        <f t="shared" si="36"/>
        <v>1.2606886970293552</v>
      </c>
      <c r="E64" s="49">
        <f t="shared" si="36"/>
        <v>0.96732626543567513</v>
      </c>
      <c r="F64" s="44">
        <f>IF(AND(F$5-D$5 &lt;&gt; 0,F12 &lt;&gt; 0,D12 &lt;&gt; 0),(EXP(LN(F12/D12)/(F$5-D$5))-1)*100,0)</f>
        <v>1.0650191874393977</v>
      </c>
      <c r="H64" s="40">
        <f t="shared" ref="H64:L67" si="37">(B12/B$11)*100</f>
        <v>33.711298031106331</v>
      </c>
      <c r="I64" s="40">
        <f t="shared" si="37"/>
        <v>33.154796979938055</v>
      </c>
      <c r="J64" s="40">
        <f t="shared" si="37"/>
        <v>33.272842984005344</v>
      </c>
      <c r="K64" s="40">
        <f t="shared" si="37"/>
        <v>32.950057881285183</v>
      </c>
      <c r="L64" s="40">
        <f t="shared" si="37"/>
        <v>33.252664846027763</v>
      </c>
    </row>
    <row r="65" spans="1:12" x14ac:dyDescent="0.2">
      <c r="A65" t="str">
        <f>A13</f>
        <v>22 Health professionals</v>
      </c>
      <c r="B65" s="49">
        <f t="shared" si="36"/>
        <v>4.5736310556607096</v>
      </c>
      <c r="C65" s="44">
        <f t="shared" si="36"/>
        <v>-0.87910077758973637</v>
      </c>
      <c r="D65" s="49">
        <f t="shared" si="36"/>
        <v>1.1316083410251698</v>
      </c>
      <c r="E65" s="49">
        <f t="shared" si="36"/>
        <v>0.46939132205487955</v>
      </c>
      <c r="F65" s="44">
        <f>IF(AND(F$5-D$5 &lt;&gt; 0,F13 &lt;&gt; 0,D13 &lt;&gt; 0),(EXP(LN(F13/D13)/(F$5-D$5))-1)*100,0)</f>
        <v>0.68964711587993222</v>
      </c>
      <c r="H65" s="40">
        <f t="shared" si="37"/>
        <v>15.083501752039769</v>
      </c>
      <c r="I65" s="40">
        <f t="shared" si="37"/>
        <v>16.491078661433349</v>
      </c>
      <c r="J65" s="40">
        <f t="shared" si="37"/>
        <v>15.942018923588927</v>
      </c>
      <c r="K65" s="40">
        <f t="shared" si="37"/>
        <v>15.686995716709109</v>
      </c>
      <c r="L65" s="40">
        <f t="shared" si="37"/>
        <v>15.067430783051924</v>
      </c>
    </row>
    <row r="66" spans="1:12" x14ac:dyDescent="0.2">
      <c r="A66" t="str">
        <f>A14</f>
        <v>23 Teaching and other educational professionals</v>
      </c>
      <c r="B66" s="49">
        <f t="shared" si="36"/>
        <v>0.58572620399577335</v>
      </c>
      <c r="C66" s="44">
        <f t="shared" si="36"/>
        <v>0.74648114288355938</v>
      </c>
      <c r="D66" s="49">
        <f t="shared" si="36"/>
        <v>0.66291011397709987</v>
      </c>
      <c r="E66" s="49">
        <f t="shared" si="36"/>
        <v>0.75011149408308331</v>
      </c>
      <c r="F66" s="44">
        <f>IF(AND(F$5-D$5 &lt;&gt; 0,F14 &lt;&gt; 0,D14 &lt;&gt; 0),(EXP(LN(F14/D14)/(F$5-D$5))-1)*100,0)</f>
        <v>0.7210359772727104</v>
      </c>
      <c r="H66" s="40">
        <f t="shared" si="37"/>
        <v>20.39596342995425</v>
      </c>
      <c r="I66" s="40">
        <f t="shared" si="37"/>
        <v>19.087444205649508</v>
      </c>
      <c r="J66" s="40">
        <f t="shared" si="37"/>
        <v>18.754551830557396</v>
      </c>
      <c r="K66" s="40">
        <f t="shared" si="37"/>
        <v>18.030841059776243</v>
      </c>
      <c r="L66" s="40">
        <f t="shared" si="37"/>
        <v>17.808734315639285</v>
      </c>
    </row>
    <row r="67" spans="1:12" x14ac:dyDescent="0.2">
      <c r="A67" t="str">
        <f>A15</f>
        <v>24 Business, media and public service professionals</v>
      </c>
      <c r="B67" s="49">
        <f t="shared" si="36"/>
        <v>2.644497868424911</v>
      </c>
      <c r="C67" s="44">
        <f t="shared" si="36"/>
        <v>5.03985001439331</v>
      </c>
      <c r="D67" s="49">
        <f t="shared" si="36"/>
        <v>2.269749959926104</v>
      </c>
      <c r="E67" s="49">
        <f t="shared" si="36"/>
        <v>1.0370305198336149</v>
      </c>
      <c r="F67" s="44">
        <f>IF(AND(F$5-D$5 &lt;&gt; 0,F15 &lt;&gt; 0,D15 &lt;&gt; 0),(EXP(LN(F15/D15)/(F$5-D$5))-1)*100,0)</f>
        <v>1.446277124175066</v>
      </c>
      <c r="H67" s="40">
        <f t="shared" si="37"/>
        <v>30.809236786899664</v>
      </c>
      <c r="I67" s="40">
        <f t="shared" si="37"/>
        <v>31.266680152979077</v>
      </c>
      <c r="J67" s="40">
        <f t="shared" si="37"/>
        <v>32.030586261848335</v>
      </c>
      <c r="K67" s="40">
        <f t="shared" si="37"/>
        <v>33.332105342229468</v>
      </c>
      <c r="L67" s="40">
        <f t="shared" si="37"/>
        <v>33.871170055281027</v>
      </c>
    </row>
    <row r="68" spans="1:12" x14ac:dyDescent="0.2">
      <c r="B68" s="40"/>
      <c r="C68" s="44"/>
      <c r="D68" s="40"/>
      <c r="E68" s="40"/>
      <c r="F68" s="44"/>
      <c r="H68" s="40"/>
      <c r="I68" s="40"/>
      <c r="J68" s="40"/>
      <c r="K68" s="40"/>
      <c r="L68" s="40"/>
    </row>
    <row r="69" spans="1:12" s="30" customFormat="1" x14ac:dyDescent="0.2">
      <c r="A69" s="30" t="str">
        <f t="shared" ref="A69:A74" si="38">A17</f>
        <v>Associate professional occupations</v>
      </c>
      <c r="B69" s="44">
        <f t="shared" ref="B69:E74" si="39">IF(AND(C$5-B$5 &lt;&gt; 0,C17 &lt;&gt; 0,B17 &lt;&gt; 0),(EXP(LN(C17/B17)/(C$5-B$5))-1)*100,0)</f>
        <v>0.41938823198097719</v>
      </c>
      <c r="C69" s="44">
        <f t="shared" si="39"/>
        <v>3.3570036806530812</v>
      </c>
      <c r="D69" s="44">
        <f t="shared" si="39"/>
        <v>-0.29398439778722807</v>
      </c>
      <c r="E69" s="44">
        <f t="shared" si="39"/>
        <v>0.65540049751693363</v>
      </c>
      <c r="F69" s="44">
        <f t="shared" ref="F69:F74" si="40">IF(AND(F$5-D$5 &lt;&gt; 0,F17 &lt;&gt; 0,D17 &lt;&gt; 0),(EXP(LN(F17/D17)/(F$5-D$5))-1)*100,0)</f>
        <v>0.33793866045672694</v>
      </c>
      <c r="H69" s="44">
        <f>(B17/B$51)*100</f>
        <v>13.648748003813452</v>
      </c>
      <c r="I69" s="44">
        <f>(C17/C$51)*100</f>
        <v>13.604798162826508</v>
      </c>
      <c r="J69" s="44">
        <f>(D17/D$51)*100</f>
        <v>14.351136856491001</v>
      </c>
      <c r="K69" s="44">
        <f>(E17/E$51)*100</f>
        <v>13.738780649087731</v>
      </c>
      <c r="L69" s="44">
        <f>(F17/F$51)*100</f>
        <v>14.103702854425398</v>
      </c>
    </row>
    <row r="70" spans="1:12" x14ac:dyDescent="0.2">
      <c r="A70" t="str">
        <f t="shared" si="38"/>
        <v>31 Science, engineering and technology associate professionals</v>
      </c>
      <c r="B70" s="49">
        <f t="shared" si="39"/>
        <v>2.4487135619122524</v>
      </c>
      <c r="C70" s="44">
        <f t="shared" si="39"/>
        <v>7.632140000886678</v>
      </c>
      <c r="D70" s="49">
        <f t="shared" si="39"/>
        <v>-2.2566076807682744</v>
      </c>
      <c r="E70" s="49">
        <f t="shared" si="39"/>
        <v>0.72384783360326388</v>
      </c>
      <c r="F70" s="44">
        <f t="shared" si="40"/>
        <v>-0.27960087272583811</v>
      </c>
      <c r="H70" s="40">
        <f t="shared" ref="H70:L74" si="41">(B18/B$17)*100</f>
        <v>13.124563536623382</v>
      </c>
      <c r="I70" s="40">
        <f t="shared" si="41"/>
        <v>14.21806915009228</v>
      </c>
      <c r="J70" s="40">
        <f t="shared" si="41"/>
        <v>14.806168472465828</v>
      </c>
      <c r="K70" s="40">
        <f t="shared" si="41"/>
        <v>13.405188263059451</v>
      </c>
      <c r="L70" s="40">
        <f t="shared" si="41"/>
        <v>13.496625214171434</v>
      </c>
    </row>
    <row r="71" spans="1:12" x14ac:dyDescent="0.2">
      <c r="A71" t="str">
        <f t="shared" si="38"/>
        <v>32 Health and social care associate professionals</v>
      </c>
      <c r="B71" s="49">
        <f t="shared" si="39"/>
        <v>3.2575600179258091</v>
      </c>
      <c r="C71" s="44">
        <f t="shared" si="39"/>
        <v>1.7779825798861504</v>
      </c>
      <c r="D71" s="49">
        <f t="shared" si="39"/>
        <v>-4.604827264402811E-2</v>
      </c>
      <c r="E71" s="49">
        <f t="shared" si="39"/>
        <v>0.59610777972736173</v>
      </c>
      <c r="F71" s="44">
        <f t="shared" si="40"/>
        <v>0.38159867251259527</v>
      </c>
      <c r="H71" s="40">
        <f t="shared" si="41"/>
        <v>10.763367095451489</v>
      </c>
      <c r="I71" s="40">
        <f t="shared" si="41"/>
        <v>12.032761293245466</v>
      </c>
      <c r="J71" s="40">
        <f t="shared" si="41"/>
        <v>11.848932589762232</v>
      </c>
      <c r="K71" s="40">
        <f t="shared" si="41"/>
        <v>11.996989122425942</v>
      </c>
      <c r="L71" s="40">
        <f t="shared" si="41"/>
        <v>11.926505925088197</v>
      </c>
    </row>
    <row r="72" spans="1:12" x14ac:dyDescent="0.2">
      <c r="A72" t="str">
        <f t="shared" si="38"/>
        <v>33 Protective service occupations</v>
      </c>
      <c r="B72" s="49">
        <f t="shared" si="39"/>
        <v>-1.3521115763078351</v>
      </c>
      <c r="C72" s="44">
        <f t="shared" si="39"/>
        <v>5.0311387095812066</v>
      </c>
      <c r="D72" s="49">
        <f t="shared" si="39"/>
        <v>3.7457407351483285</v>
      </c>
      <c r="E72" s="49">
        <f t="shared" si="39"/>
        <v>1.3222262485831804</v>
      </c>
      <c r="F72" s="44">
        <f t="shared" si="40"/>
        <v>2.1237077952086736</v>
      </c>
      <c r="H72" s="40">
        <f t="shared" si="41"/>
        <v>8.6778107734257741</v>
      </c>
      <c r="I72" s="40">
        <f t="shared" si="41"/>
        <v>8.0814830209643844</v>
      </c>
      <c r="J72" s="40">
        <f t="shared" si="41"/>
        <v>8.2123836211103303</v>
      </c>
      <c r="K72" s="40">
        <f t="shared" si="41"/>
        <v>10.016449358564508</v>
      </c>
      <c r="L72" s="40">
        <f t="shared" si="41"/>
        <v>10.700158797862899</v>
      </c>
    </row>
    <row r="73" spans="1:12" x14ac:dyDescent="0.2">
      <c r="A73" t="str">
        <f t="shared" si="38"/>
        <v>34 Culture, media and sports occupations</v>
      </c>
      <c r="B73" s="49">
        <f t="shared" si="39"/>
        <v>-3.0182330273154978</v>
      </c>
      <c r="C73" s="44">
        <f t="shared" si="39"/>
        <v>4.3534925304213878</v>
      </c>
      <c r="D73" s="49">
        <f t="shared" si="39"/>
        <v>-4.8637053182265522E-2</v>
      </c>
      <c r="E73" s="49">
        <f t="shared" si="39"/>
        <v>0.95714671209736757</v>
      </c>
      <c r="F73" s="44">
        <f t="shared" si="40"/>
        <v>0.62076590898481054</v>
      </c>
      <c r="H73" s="40">
        <f t="shared" si="41"/>
        <v>19.014062046013763</v>
      </c>
      <c r="I73" s="40">
        <f t="shared" si="41"/>
        <v>16.541123028989656</v>
      </c>
      <c r="J73" s="40">
        <f t="shared" si="41"/>
        <v>16.700599833405949</v>
      </c>
      <c r="K73" s="40">
        <f t="shared" si="41"/>
        <v>16.907090019626448</v>
      </c>
      <c r="L73" s="40">
        <f t="shared" si="41"/>
        <v>17.420825553536311</v>
      </c>
    </row>
    <row r="74" spans="1:12" x14ac:dyDescent="0.2">
      <c r="A74" t="str">
        <f t="shared" si="38"/>
        <v>35 Business and public service associate professionals</v>
      </c>
      <c r="B74" s="49">
        <f t="shared" si="39"/>
        <v>0.7836378965435653</v>
      </c>
      <c r="C74" s="44">
        <f t="shared" si="39"/>
        <v>1.8955389822941315</v>
      </c>
      <c r="D74" s="49">
        <f t="shared" si="39"/>
        <v>-0.60789995083455617</v>
      </c>
      <c r="E74" s="49">
        <f t="shared" si="39"/>
        <v>0.39515100821916338</v>
      </c>
      <c r="F74" s="44">
        <f t="shared" si="40"/>
        <v>5.9680965143238396E-2</v>
      </c>
      <c r="H74" s="40">
        <f t="shared" si="41"/>
        <v>48.420196548485592</v>
      </c>
      <c r="I74" s="40">
        <f t="shared" si="41"/>
        <v>49.126563506708209</v>
      </c>
      <c r="J74" s="40">
        <f t="shared" si="41"/>
        <v>48.431915483255658</v>
      </c>
      <c r="K74" s="40">
        <f t="shared" si="41"/>
        <v>47.67428323632366</v>
      </c>
      <c r="L74" s="40">
        <f t="shared" si="41"/>
        <v>46.455884509341161</v>
      </c>
    </row>
    <row r="75" spans="1:12" x14ac:dyDescent="0.2">
      <c r="A75" s="30"/>
      <c r="B75" s="40"/>
      <c r="C75" s="44"/>
      <c r="D75" s="40"/>
      <c r="E75" s="40"/>
      <c r="F75" s="44"/>
      <c r="H75" s="40"/>
      <c r="I75" s="40"/>
      <c r="J75" s="40"/>
      <c r="K75" s="40"/>
      <c r="L75" s="40"/>
    </row>
    <row r="76" spans="1:12" s="30" customFormat="1" x14ac:dyDescent="0.2">
      <c r="A76" s="30" t="str">
        <f>A24</f>
        <v>Administrative and secretarial occupations</v>
      </c>
      <c r="B76" s="44">
        <f t="shared" ref="B76:E78" si="42">IF(AND(C$5-B$5 &lt;&gt; 0,C24 &lt;&gt; 0,B24 &lt;&gt; 0),(EXP(LN(C24/B24)/(C$5-B$5))-1)*100,0)</f>
        <v>-1.7671170697121985</v>
      </c>
      <c r="C76" s="44">
        <f t="shared" si="42"/>
        <v>1.0048033693776937</v>
      </c>
      <c r="D76" s="44">
        <f t="shared" si="42"/>
        <v>-1.4108423680839755</v>
      </c>
      <c r="E76" s="44">
        <f t="shared" si="42"/>
        <v>-1.1503135516762852</v>
      </c>
      <c r="F76" s="44">
        <f>IF(AND(F$5-D$5 &lt;&gt; 0,F24 &lt;&gt; 0,D24 &lt;&gt; 0),(EXP(LN(F24/D24)/(F$5-D$5))-1)*100,0)</f>
        <v>-1.2372328969751711</v>
      </c>
      <c r="H76" s="44">
        <f>(B24/B$51)*100</f>
        <v>10.863318185085941</v>
      </c>
      <c r="I76" s="44">
        <f>(C24/C$51)*100</f>
        <v>9.9156014466746178</v>
      </c>
      <c r="J76" s="44">
        <f>(D24/D$51)*100</f>
        <v>10.221517628436811</v>
      </c>
      <c r="K76" s="44">
        <f>(E24/E$51)*100</f>
        <v>9.2494569944382619</v>
      </c>
      <c r="L76" s="44">
        <f>(F24/F$51)*100</f>
        <v>7.9228848841572939</v>
      </c>
    </row>
    <row r="77" spans="1:12" x14ac:dyDescent="0.2">
      <c r="A77" t="str">
        <f>A25</f>
        <v>41 Administrative occupations</v>
      </c>
      <c r="B77" s="49">
        <f t="shared" si="42"/>
        <v>-1.3075988997870436</v>
      </c>
      <c r="C77" s="44">
        <f t="shared" si="42"/>
        <v>2.1556793927722362</v>
      </c>
      <c r="D77" s="49">
        <f t="shared" si="42"/>
        <v>-1.8745008957173126</v>
      </c>
      <c r="E77" s="49">
        <f t="shared" si="42"/>
        <v>-0.84567104797660386</v>
      </c>
      <c r="F77" s="44">
        <f>IF(AND(F$5-D$5 &lt;&gt; 0,F25 &lt;&gt; 0,D25 &lt;&gt; 0),(EXP(LN(F25/D25)/(F$5-D$5))-1)*100,0)</f>
        <v>-1.1898073473603499</v>
      </c>
      <c r="H77" s="40">
        <f t="shared" ref="H77:L78" si="43">(B25/B$24)*100</f>
        <v>76.798431439372777</v>
      </c>
      <c r="I77" s="40">
        <f t="shared" si="43"/>
        <v>78.245550586325351</v>
      </c>
      <c r="J77" s="40">
        <f t="shared" si="43"/>
        <v>79.137101533440116</v>
      </c>
      <c r="K77" s="40">
        <f t="shared" si="43"/>
        <v>77.293638910472524</v>
      </c>
      <c r="L77" s="40">
        <f t="shared" si="43"/>
        <v>79.709042142140163</v>
      </c>
    </row>
    <row r="78" spans="1:12" x14ac:dyDescent="0.2">
      <c r="A78" t="str">
        <f>A26</f>
        <v>42 Secretarial and related occupations</v>
      </c>
      <c r="B78" s="49">
        <f t="shared" si="42"/>
        <v>-3.3360412313618859</v>
      </c>
      <c r="C78" s="44">
        <f t="shared" si="42"/>
        <v>-3.1346223818666918</v>
      </c>
      <c r="D78" s="49">
        <f t="shared" si="42"/>
        <v>0.27293685675988666</v>
      </c>
      <c r="E78" s="49">
        <f t="shared" si="42"/>
        <v>-2.2558448923696517</v>
      </c>
      <c r="F78" s="44">
        <f>IF(AND(F$5-D$5 &lt;&gt; 0,F26 &lt;&gt; 0,D26 &lt;&gt; 0),(EXP(LN(F26/D26)/(F$5-D$5))-1)*100,0)</f>
        <v>-1.4200841765729</v>
      </c>
      <c r="H78" s="40">
        <f t="shared" si="43"/>
        <v>23.201568560627223</v>
      </c>
      <c r="I78" s="40">
        <f t="shared" si="43"/>
        <v>21.754449413674649</v>
      </c>
      <c r="J78" s="40">
        <f t="shared" si="43"/>
        <v>20.862898466559894</v>
      </c>
      <c r="K78" s="40">
        <f t="shared" si="43"/>
        <v>22.706361089527483</v>
      </c>
      <c r="L78" s="40">
        <f t="shared" si="43"/>
        <v>20.29095785785983</v>
      </c>
    </row>
    <row r="79" spans="1:12" x14ac:dyDescent="0.2">
      <c r="B79" s="40"/>
      <c r="C79" s="44"/>
      <c r="D79" s="40"/>
      <c r="E79" s="40"/>
      <c r="F79" s="44"/>
      <c r="H79" s="40"/>
      <c r="I79" s="40"/>
      <c r="J79" s="40"/>
      <c r="K79" s="40"/>
      <c r="L79" s="40"/>
    </row>
    <row r="80" spans="1:12" s="30" customFormat="1" x14ac:dyDescent="0.2">
      <c r="A80" s="30" t="str">
        <f>A28</f>
        <v>Skilled trades occupations</v>
      </c>
      <c r="B80" s="44">
        <f t="shared" ref="B80:E84" si="44">IF(AND(C$5-B$5 &lt;&gt; 0,C28 &lt;&gt; 0,B28 &lt;&gt; 0),(EXP(LN(C28/B28)/(C$5-B$5))-1)*100,0)</f>
        <v>-1.114926250497994</v>
      </c>
      <c r="C80" s="44">
        <f t="shared" si="44"/>
        <v>-11.970994073356378</v>
      </c>
      <c r="D80" s="44">
        <f t="shared" si="44"/>
        <v>0.96856543246808258</v>
      </c>
      <c r="E80" s="44">
        <f t="shared" si="44"/>
        <v>-1.7193299914253224E-2</v>
      </c>
      <c r="F80" s="44">
        <f>IF(AND(F$5-D$5 &lt;&gt; 0,F28 &lt;&gt; 0,D28 &lt;&gt; 0),(EXP(LN(F28/D28)/(F$5-D$5))-1)*100,0)</f>
        <v>0.31031894563411377</v>
      </c>
      <c r="H80" s="44">
        <f>(B28/B$51)*100</f>
        <v>9.4117972478472911</v>
      </c>
      <c r="I80" s="44">
        <f>(C28/C$51)*100</f>
        <v>8.8211362974751761</v>
      </c>
      <c r="J80" s="44">
        <f>(D28/D$51)*100</f>
        <v>7.9250976547539871</v>
      </c>
      <c r="K80" s="44">
        <f>(E28/E$51)*100</f>
        <v>8.0796142670152147</v>
      </c>
      <c r="L80" s="44">
        <f>(F28/F$51)*100</f>
        <v>7.7563610248888732</v>
      </c>
    </row>
    <row r="81" spans="1:12" x14ac:dyDescent="0.2">
      <c r="A81" t="str">
        <f>A29</f>
        <v>51 Skilled agricultural and related trades</v>
      </c>
      <c r="B81" s="49">
        <f t="shared" si="44"/>
        <v>1.3759196399276252</v>
      </c>
      <c r="C81" s="44">
        <f t="shared" si="44"/>
        <v>-20.782196898151749</v>
      </c>
      <c r="D81" s="49">
        <f t="shared" si="44"/>
        <v>1.4848208240534788</v>
      </c>
      <c r="E81" s="49">
        <f t="shared" si="44"/>
        <v>1.6159602903060177</v>
      </c>
      <c r="F81" s="44">
        <f>IF(AND(F$5-D$5 &lt;&gt; 0,F29 &lt;&gt; 0,D29 &lt;&gt; 0),(EXP(LN(F29/D29)/(F$5-D$5))-1)*100,0)</f>
        <v>1.5722283168687845</v>
      </c>
      <c r="H81" s="40">
        <f t="shared" ref="H81:L84" si="45">(B29/B$28)*100</f>
        <v>10.322671995407603</v>
      </c>
      <c r="I81" s="40">
        <f t="shared" si="45"/>
        <v>11.402718121832432</v>
      </c>
      <c r="J81" s="40">
        <f t="shared" si="45"/>
        <v>10.261370891248454</v>
      </c>
      <c r="K81" s="40">
        <f t="shared" si="45"/>
        <v>10.526400812132387</v>
      </c>
      <c r="L81" s="40">
        <f t="shared" si="45"/>
        <v>12.377870055237471</v>
      </c>
    </row>
    <row r="82" spans="1:12" x14ac:dyDescent="0.2">
      <c r="A82" t="str">
        <f>A30</f>
        <v>52 Skilled metal, electrical and electronic trades</v>
      </c>
      <c r="B82" s="49">
        <f t="shared" si="44"/>
        <v>3.2234411951614916E-2</v>
      </c>
      <c r="C82" s="44">
        <f t="shared" si="44"/>
        <v>-13.07479406516644</v>
      </c>
      <c r="D82" s="49">
        <f t="shared" si="44"/>
        <v>0.62527369790634779</v>
      </c>
      <c r="E82" s="49">
        <f t="shared" si="44"/>
        <v>-0.29831572141953977</v>
      </c>
      <c r="F82" s="44">
        <f>IF(AND(F$5-D$5 &lt;&gt; 0,F30 &lt;&gt; 0,D30 &lt;&gt; 0),(EXP(LN(F30/D30)/(F$5-D$5))-1)*100,0)</f>
        <v>8.6016476722683421E-3</v>
      </c>
      <c r="H82" s="40">
        <f t="shared" si="45"/>
        <v>35.461964574804391</v>
      </c>
      <c r="I82" s="40">
        <f t="shared" si="45"/>
        <v>37.136391655611902</v>
      </c>
      <c r="J82" s="40">
        <f t="shared" si="45"/>
        <v>36.67073663231789</v>
      </c>
      <c r="K82" s="40">
        <f t="shared" si="45"/>
        <v>36.05156134441004</v>
      </c>
      <c r="L82" s="40">
        <f t="shared" si="45"/>
        <v>35.050626723517745</v>
      </c>
    </row>
    <row r="83" spans="1:12" x14ac:dyDescent="0.2">
      <c r="A83" t="str">
        <f>A31</f>
        <v>53 Skilled construction and building trades</v>
      </c>
      <c r="B83" s="49">
        <f t="shared" si="44"/>
        <v>-1.8518091155279359</v>
      </c>
      <c r="C83" s="44">
        <f t="shared" si="44"/>
        <v>-10.268246943586124</v>
      </c>
      <c r="D83" s="49">
        <f t="shared" si="44"/>
        <v>1.3795720221640106</v>
      </c>
      <c r="E83" s="49">
        <f t="shared" si="44"/>
        <v>-0.71099186827694449</v>
      </c>
      <c r="F83" s="44">
        <f>IF(AND(F$5-D$5 &lt;&gt; 0,F31 &lt;&gt; 0,D31 &lt;&gt; 0),(EXP(LN(F31/D31)/(F$5-D$5))-1)*100,0)</f>
        <v>-1.8971656057709119E-2</v>
      </c>
      <c r="H83" s="40">
        <f t="shared" si="45"/>
        <v>30.121189256711201</v>
      </c>
      <c r="I83" s="40">
        <f t="shared" si="45"/>
        <v>29.233333645218746</v>
      </c>
      <c r="J83" s="40">
        <f t="shared" si="45"/>
        <v>29.798794704718755</v>
      </c>
      <c r="K83" s="40">
        <f t="shared" si="45"/>
        <v>30.410253229452387</v>
      </c>
      <c r="L83" s="40">
        <f t="shared" si="45"/>
        <v>28.364721169206337</v>
      </c>
    </row>
    <row r="84" spans="1:12" x14ac:dyDescent="0.2">
      <c r="A84" t="str">
        <f>A32</f>
        <v>54 Textiles, printing and other skilled trades</v>
      </c>
      <c r="B84" s="49">
        <f t="shared" si="44"/>
        <v>-3.0884228248643231</v>
      </c>
      <c r="C84" s="44">
        <f t="shared" si="44"/>
        <v>-7.8461216136355922</v>
      </c>
      <c r="D84" s="49">
        <f t="shared" si="44"/>
        <v>0.74426599671166827</v>
      </c>
      <c r="E84" s="49">
        <f t="shared" si="44"/>
        <v>0.49026696421030636</v>
      </c>
      <c r="F84" s="44">
        <f>IF(AND(F$5-D$5 &lt;&gt; 0,F32 &lt;&gt; 0,D32 &lt;&gt; 0),(EXP(LN(F32/D32)/(F$5-D$5))-1)*100,0)</f>
        <v>0.5748620742074273</v>
      </c>
      <c r="H84" s="40">
        <f t="shared" si="45"/>
        <v>24.094174173076809</v>
      </c>
      <c r="I84" s="40">
        <f t="shared" si="45"/>
        <v>22.22755657733693</v>
      </c>
      <c r="J84" s="40">
        <f t="shared" si="45"/>
        <v>23.269097771714907</v>
      </c>
      <c r="K84" s="40">
        <f t="shared" si="45"/>
        <v>23.011784614005183</v>
      </c>
      <c r="L84" s="40">
        <f t="shared" si="45"/>
        <v>24.206782052038427</v>
      </c>
    </row>
    <row r="85" spans="1:12" x14ac:dyDescent="0.2">
      <c r="A85" s="30"/>
      <c r="B85" s="40"/>
      <c r="C85" s="44"/>
      <c r="D85" s="40"/>
      <c r="E85" s="40"/>
      <c r="F85" s="44"/>
      <c r="H85" s="40"/>
      <c r="I85" s="40"/>
      <c r="J85" s="40"/>
      <c r="K85" s="40"/>
      <c r="L85" s="40"/>
    </row>
    <row r="86" spans="1:12" s="30" customFormat="1" x14ac:dyDescent="0.2">
      <c r="A86" s="30" t="str">
        <f>A34</f>
        <v>Caring, leisure and other service occupations</v>
      </c>
      <c r="B86" s="44">
        <f t="shared" ref="B86:E89" si="46">IF(AND(C$5-B$5 &lt;&gt; 0,C34 &lt;&gt; 0,B34 &lt;&gt; 0),(EXP(LN(C34/B34)/(C$5-B$5))-1)*100,0)</f>
        <v>0.50541739195446578</v>
      </c>
      <c r="C86" s="44">
        <f t="shared" si="46"/>
        <v>-5.1381808175673616</v>
      </c>
      <c r="D86" s="44">
        <f t="shared" si="46"/>
        <v>1.1242519717474586</v>
      </c>
      <c r="E86" s="44">
        <f t="shared" si="46"/>
        <v>0.59315539469848577</v>
      </c>
      <c r="F86" s="44">
        <f>IF(AND(F$5-D$5 &lt;&gt; 0,F34 &lt;&gt; 0,D34 &lt;&gt; 0),(EXP(LN(F34/D34)/(F$5-D$5))-1)*100,0)</f>
        <v>0.76987694172052645</v>
      </c>
      <c r="H86" s="44">
        <f>(B34/B$51)*100</f>
        <v>9.426802538292641</v>
      </c>
      <c r="I86" s="44">
        <f>(C34/C$51)*100</f>
        <v>9.4286887314788714</v>
      </c>
      <c r="J86" s="44">
        <f>(D34/D$51)*100</f>
        <v>9.128449974177915</v>
      </c>
      <c r="K86" s="44">
        <f>(E34/E$51)*100</f>
        <v>9.3783994453388182</v>
      </c>
      <c r="L86" s="44">
        <f>(F34/F$51)*100</f>
        <v>9.5681326283261274</v>
      </c>
    </row>
    <row r="87" spans="1:12" x14ac:dyDescent="0.2">
      <c r="A87" t="str">
        <f>A35</f>
        <v>61 Caring personal service occupations</v>
      </c>
      <c r="B87" s="49">
        <f t="shared" si="46"/>
        <v>0.66329206291986242</v>
      </c>
      <c r="C87" s="44">
        <f t="shared" si="46"/>
        <v>-4.5190965198451778</v>
      </c>
      <c r="D87" s="49">
        <f t="shared" si="46"/>
        <v>1.5176386242997886</v>
      </c>
      <c r="E87" s="49">
        <f t="shared" si="46"/>
        <v>0.6985648807819933</v>
      </c>
      <c r="F87" s="44">
        <f>IF(AND(F$5-D$5 &lt;&gt; 0,F35 &lt;&gt; 0,D35 &lt;&gt; 0),(EXP(LN(F35/D35)/(F$5-D$5))-1)*100,0)</f>
        <v>0.97085253593887089</v>
      </c>
      <c r="H87" s="40">
        <f t="shared" ref="H87:L89" si="47">(B35/B$34)*100</f>
        <v>71.289375316394526</v>
      </c>
      <c r="I87" s="40">
        <f t="shared" si="47"/>
        <v>71.738359397124142</v>
      </c>
      <c r="J87" s="40">
        <f t="shared" si="47"/>
        <v>72.206536080112897</v>
      </c>
      <c r="K87" s="40">
        <f t="shared" si="47"/>
        <v>73.621970430001241</v>
      </c>
      <c r="L87" s="40">
        <f t="shared" si="47"/>
        <v>74.397087839104714</v>
      </c>
    </row>
    <row r="88" spans="1:12" x14ac:dyDescent="0.2">
      <c r="A88" t="str">
        <f>A36</f>
        <v>62 Leisure, travel and related personal service occupations</v>
      </c>
      <c r="B88" s="49">
        <f t="shared" si="46"/>
        <v>0.30600928669137772</v>
      </c>
      <c r="C88" s="44">
        <f t="shared" si="46"/>
        <v>-7.7672012062535822</v>
      </c>
      <c r="D88" s="49">
        <f t="shared" si="46"/>
        <v>0.24655563913744682</v>
      </c>
      <c r="E88" s="49">
        <f t="shared" si="46"/>
        <v>0.28562733164971821</v>
      </c>
      <c r="F88" s="44">
        <f>IF(AND(F$5-D$5 &lt;&gt; 0,F36 &lt;&gt; 0,D36 &lt;&gt; 0),(EXP(LN(F36/D36)/(F$5-D$5))-1)*100,0)</f>
        <v>0.27260174239143176</v>
      </c>
      <c r="H88" s="40">
        <f t="shared" si="47"/>
        <v>27.578392854407074</v>
      </c>
      <c r="I88" s="40">
        <f t="shared" si="47"/>
        <v>27.360175356305671</v>
      </c>
      <c r="J88" s="40">
        <f t="shared" si="47"/>
        <v>26.601909707705516</v>
      </c>
      <c r="K88" s="40">
        <f t="shared" si="47"/>
        <v>25.467335104405276</v>
      </c>
      <c r="L88" s="40">
        <f t="shared" si="47"/>
        <v>24.699385345681161</v>
      </c>
    </row>
    <row r="89" spans="1:12" x14ac:dyDescent="0.2">
      <c r="A89" t="str">
        <f>A37</f>
        <v>63 Community and civil enforcement occupations</v>
      </c>
      <c r="B89" s="49">
        <f t="shared" si="46"/>
        <v>-5.0613878558777747</v>
      </c>
      <c r="C89" s="44">
        <f t="shared" si="46"/>
        <v>25.388084179719051</v>
      </c>
      <c r="D89" s="49">
        <f t="shared" si="46"/>
        <v>-4.1687616286705254</v>
      </c>
      <c r="E89" s="49">
        <f t="shared" si="46"/>
        <v>0.51370141195103969</v>
      </c>
      <c r="F89" s="44">
        <f>IF(AND(F$5-D$5 &lt;&gt; 0,F37 &lt;&gt; 0,D37 &lt;&gt; 0),(EXP(LN(F37/D37)/(F$5-D$5))-1)*100,0)</f>
        <v>-1.072004163665452</v>
      </c>
      <c r="H89" s="40">
        <f t="shared" si="47"/>
        <v>1.1322318291984068</v>
      </c>
      <c r="I89" s="40">
        <f t="shared" si="47"/>
        <v>0.90146524657019467</v>
      </c>
      <c r="J89" s="40">
        <f t="shared" si="47"/>
        <v>1.1915542121815774</v>
      </c>
      <c r="K89" s="40">
        <f t="shared" si="47"/>
        <v>0.91069446559347866</v>
      </c>
      <c r="L89" s="40">
        <f t="shared" si="47"/>
        <v>0.90352681521411926</v>
      </c>
    </row>
    <row r="90" spans="1:12" x14ac:dyDescent="0.2">
      <c r="B90" s="40"/>
      <c r="C90" s="44"/>
      <c r="D90" s="40"/>
      <c r="E90" s="40"/>
      <c r="F90" s="44"/>
      <c r="H90" s="40"/>
      <c r="I90" s="40"/>
      <c r="J90" s="40"/>
      <c r="K90" s="40"/>
      <c r="L90" s="40"/>
    </row>
    <row r="91" spans="1:12" s="30" customFormat="1" x14ac:dyDescent="0.2">
      <c r="A91" s="30" t="str">
        <f>A39</f>
        <v>Sales and customer service occupations</v>
      </c>
      <c r="B91" s="44">
        <f t="shared" ref="B91:E93" si="48">IF(AND(C$5-B$5 &lt;&gt; 0,C39 &lt;&gt; 0,B39 &lt;&gt; 0),(EXP(LN(C39/B39)/(C$5-B$5))-1)*100,0)</f>
        <v>-0.59111773417415137</v>
      </c>
      <c r="C91" s="44">
        <f t="shared" si="48"/>
        <v>0.13618899102778581</v>
      </c>
      <c r="D91" s="44">
        <f t="shared" si="48"/>
        <v>4.2140111622224197E-2</v>
      </c>
      <c r="E91" s="44">
        <f t="shared" si="48"/>
        <v>3.2991324074194139E-3</v>
      </c>
      <c r="F91" s="44">
        <f t="shared" ref="F91:F93" si="49">IF(AND(F$5-D$5 &lt;&gt; 0,F39 &lt;&gt; 0,D39 &lt;&gt; 0),(EXP(LN(F39/D39)/(F$5-D$5))-1)*100,0)</f>
        <v>1.6244449649605031E-2</v>
      </c>
      <c r="H91" s="44">
        <f>(B39/B$51)*100</f>
        <v>7.8207770537260091</v>
      </c>
      <c r="I91" s="44">
        <f>(C39/C$51)*100</f>
        <v>7.4865145161508089</v>
      </c>
      <c r="J91" s="44">
        <f>(D39/D$51)*100</f>
        <v>7.6511201533016768</v>
      </c>
      <c r="K91" s="44">
        <f>(E39/E$51)*100</f>
        <v>7.4489484063197624</v>
      </c>
      <c r="L91" s="44">
        <f>(F39/F$51)*100</f>
        <v>7.1655971932444089</v>
      </c>
    </row>
    <row r="92" spans="1:12" s="30" customFormat="1" x14ac:dyDescent="0.2">
      <c r="A92" t="str">
        <f>A40</f>
        <v>71 Sales occupations</v>
      </c>
      <c r="B92" s="49">
        <f t="shared" si="48"/>
        <v>-0.90031530514602665</v>
      </c>
      <c r="C92" s="44">
        <f t="shared" si="48"/>
        <v>-0.29243662389947245</v>
      </c>
      <c r="D92" s="49">
        <f t="shared" si="48"/>
        <v>-1.4312850468535254</v>
      </c>
      <c r="E92" s="49">
        <f t="shared" si="48"/>
        <v>-0.48275150076948492</v>
      </c>
      <c r="F92" s="44">
        <f t="shared" si="49"/>
        <v>-0.79993923642365239</v>
      </c>
      <c r="G92"/>
      <c r="H92" s="40">
        <f>(B40/B$34)*100</f>
        <v>66.809440878743715</v>
      </c>
      <c r="I92" s="40">
        <f t="shared" ref="H92:L93" si="50">(C40/C$34)*100</f>
        <v>63.149372865602615</v>
      </c>
      <c r="J92" s="40">
        <f t="shared" si="50"/>
        <v>66.375177615443761</v>
      </c>
      <c r="K92" s="40">
        <f t="shared" si="50"/>
        <v>58.401574935822232</v>
      </c>
      <c r="L92" s="40">
        <f t="shared" si="50"/>
        <v>52.447385767160206</v>
      </c>
    </row>
    <row r="93" spans="1:12" s="30" customFormat="1" x14ac:dyDescent="0.2">
      <c r="A93" t="str">
        <f>A41</f>
        <v>72 Customer service occupations</v>
      </c>
      <c r="B93" s="49">
        <f t="shared" si="48"/>
        <v>0.65798081717145518</v>
      </c>
      <c r="C93" s="44">
        <f t="shared" si="48"/>
        <v>1.8016657880263853</v>
      </c>
      <c r="D93" s="49">
        <f t="shared" si="48"/>
        <v>4.9756147096529979</v>
      </c>
      <c r="E93" s="49">
        <f t="shared" si="48"/>
        <v>1.2517366268002261</v>
      </c>
      <c r="F93" s="44">
        <f t="shared" si="49"/>
        <v>2.4781152385781713</v>
      </c>
      <c r="G93"/>
      <c r="H93" s="40">
        <f t="shared" si="50"/>
        <v>16.153759230277437</v>
      </c>
      <c r="I93" s="40">
        <f t="shared" si="50"/>
        <v>16.252065970278476</v>
      </c>
      <c r="J93" s="40">
        <f t="shared" si="50"/>
        <v>17.441025299013443</v>
      </c>
      <c r="K93" s="40">
        <f t="shared" si="50"/>
        <v>21.025074032749718</v>
      </c>
      <c r="L93" s="40">
        <f t="shared" si="50"/>
        <v>22.442851143132046</v>
      </c>
    </row>
    <row r="94" spans="1:12" x14ac:dyDescent="0.2">
      <c r="C94" s="44"/>
      <c r="F94" s="44"/>
    </row>
    <row r="95" spans="1:12" s="30" customFormat="1" x14ac:dyDescent="0.2">
      <c r="A95" s="30" t="str">
        <f>A43</f>
        <v>Process, plant and machine operatives</v>
      </c>
      <c r="B95" s="44">
        <f t="shared" ref="B95:E97" si="51">IF(AND(C$5-B$5 &lt;&gt; 0,C43 &lt;&gt; 0,B43 &lt;&gt; 0),(EXP(LN(C43/B43)/(C$5-B$5))-1)*100,0)</f>
        <v>1.2174675779490496</v>
      </c>
      <c r="C95" s="44">
        <f t="shared" si="51"/>
        <v>-15.344669310363079</v>
      </c>
      <c r="D95" s="44">
        <f t="shared" si="51"/>
        <v>2.4694265238534241</v>
      </c>
      <c r="E95" s="44">
        <f t="shared" si="51"/>
        <v>1.0817154054376665E-2</v>
      </c>
      <c r="F95" s="44">
        <f>IF(AND(F$5-D$5 &lt;&gt; 0,F43 &lt;&gt; 0,D43 &lt;&gt; 0),(EXP(LN(F43/D43)/(F$5-D$5))-1)*100,0)</f>
        <v>0.82372817954072808</v>
      </c>
      <c r="H95" s="44">
        <f>(B43/B$51)*100</f>
        <v>4.3772791636321768</v>
      </c>
      <c r="I95" s="44">
        <f>(C43/C$51)*100</f>
        <v>4.5035513225560626</v>
      </c>
      <c r="J95" s="44">
        <f>(D43/D$51)*100</f>
        <v>3.8910222941959449</v>
      </c>
      <c r="K95" s="44">
        <f>(E43/E$51)*100</f>
        <v>4.270614038546654</v>
      </c>
      <c r="L95" s="44">
        <f>(F43/F$51)*100</f>
        <v>4.111253239627259</v>
      </c>
    </row>
    <row r="96" spans="1:12" x14ac:dyDescent="0.2">
      <c r="A96" t="str">
        <f>A44</f>
        <v>81 Process, plant and machine operatives</v>
      </c>
      <c r="B96" s="49">
        <f t="shared" si="51"/>
        <v>-0.4878995884958881</v>
      </c>
      <c r="C96" s="44">
        <f t="shared" si="51"/>
        <v>-12.462403945570543</v>
      </c>
      <c r="D96" s="49">
        <f t="shared" si="51"/>
        <v>4.2156031513086445</v>
      </c>
      <c r="E96" s="49">
        <f t="shared" si="51"/>
        <v>-2.1964319741007987E-2</v>
      </c>
      <c r="F96" s="44">
        <f>IF(AND(F$5-D$5 &lt;&gt; 0,F44 &lt;&gt; 0,D44 &lt;&gt; 0),(EXP(LN(F44/D44)/(F$5-D$5))-1)*100,0)</f>
        <v>1.371058632450084</v>
      </c>
      <c r="H96" s="40">
        <f>(B44/B$43)*100</f>
        <v>33.657482128679369</v>
      </c>
      <c r="I96" s="40">
        <f t="shared" ref="H96:L97" si="52">(C44/C$43)*100</f>
        <v>31.445849175784545</v>
      </c>
      <c r="J96" s="40">
        <f t="shared" si="52"/>
        <v>32.516487979123944</v>
      </c>
      <c r="K96" s="40">
        <f t="shared" si="52"/>
        <v>35.383096425763803</v>
      </c>
      <c r="L96" s="40">
        <f t="shared" si="52"/>
        <v>35.267288886074674</v>
      </c>
    </row>
    <row r="97" spans="1:12" x14ac:dyDescent="0.2">
      <c r="A97" t="str">
        <f>A45</f>
        <v>82 Transport and mobile machine drivers and operatives</v>
      </c>
      <c r="B97" s="49">
        <f t="shared" si="51"/>
        <v>2.0506836867862033</v>
      </c>
      <c r="C97" s="44">
        <f t="shared" si="51"/>
        <v>-16.666766963913737</v>
      </c>
      <c r="D97" s="49">
        <f t="shared" si="51"/>
        <v>1.5836934060534213</v>
      </c>
      <c r="E97" s="49">
        <f t="shared" si="51"/>
        <v>2.872682747145916E-2</v>
      </c>
      <c r="F97" s="44">
        <f>IF(AND(F$5-D$5 &lt;&gt; 0,F45 &lt;&gt; 0,D45 &lt;&gt; 0),(EXP(LN(F45/D45)/(F$5-D$5))-1)*100,0)</f>
        <v>0.54438617047769533</v>
      </c>
      <c r="H97" s="40">
        <f t="shared" si="52"/>
        <v>66.342517871320638</v>
      </c>
      <c r="I97" s="40">
        <f t="shared" si="52"/>
        <v>68.554150824215455</v>
      </c>
      <c r="J97" s="40">
        <f t="shared" si="52"/>
        <v>67.483512020876063</v>
      </c>
      <c r="K97" s="40">
        <f t="shared" si="52"/>
        <v>64.616903574236204</v>
      </c>
      <c r="L97" s="40">
        <f t="shared" si="52"/>
        <v>64.732711113925319</v>
      </c>
    </row>
    <row r="98" spans="1:12" x14ac:dyDescent="0.2">
      <c r="C98" s="44"/>
      <c r="F98" s="44"/>
    </row>
    <row r="99" spans="1:12" s="30" customFormat="1" x14ac:dyDescent="0.2">
      <c r="A99" s="30" t="str">
        <f>A47</f>
        <v>Elementary occupations</v>
      </c>
      <c r="B99" s="44">
        <f t="shared" ref="B99:E101" si="53">IF(AND(C$5-B$5 &lt;&gt; 0,C47 &lt;&gt; 0,B47 &lt;&gt; 0),(EXP(LN(C47/B47)/(C$5-B$5))-1)*100,0)</f>
        <v>-1.0801875404681249</v>
      </c>
      <c r="C99" s="44">
        <f t="shared" si="53"/>
        <v>-8.9409778164234233</v>
      </c>
      <c r="D99" s="44">
        <f t="shared" si="53"/>
        <v>0.29258700769196899</v>
      </c>
      <c r="E99" s="44">
        <f t="shared" si="53"/>
        <v>-0.30798969533881726</v>
      </c>
      <c r="F99" s="44">
        <f>IF(AND(F$5-D$5 &lt;&gt; 0,F47 &lt;&gt; 0,D47 &lt;&gt; 0),(EXP(LN(F47/D47)/(F$5-D$5))-1)*100,0)</f>
        <v>-0.10819812836684317</v>
      </c>
      <c r="H99" s="44">
        <f>(B47/B$51)*100</f>
        <v>11.245905962498078</v>
      </c>
      <c r="I99" s="44">
        <f>(C47/C$51)*100</f>
        <v>10.554959894220515</v>
      </c>
      <c r="J99" s="44">
        <f>(D47/D$51)*100</f>
        <v>9.8092061594795421</v>
      </c>
      <c r="K99" s="44">
        <f>(E47/E$51)*100</f>
        <v>9.6701477035516756</v>
      </c>
      <c r="L99" s="44">
        <f>(F47/F$51)*100</f>
        <v>9.0167658589540132</v>
      </c>
    </row>
    <row r="100" spans="1:12" x14ac:dyDescent="0.2">
      <c r="A100" t="str">
        <f>A48</f>
        <v>91 Elementary trades and related occupations</v>
      </c>
      <c r="B100" s="49">
        <f t="shared" si="53"/>
        <v>-3.3362406122738775</v>
      </c>
      <c r="C100" s="44">
        <f t="shared" si="53"/>
        <v>-10.928940503006201</v>
      </c>
      <c r="D100" s="49">
        <f t="shared" si="53"/>
        <v>-3.1956016970361212</v>
      </c>
      <c r="E100" s="49">
        <f t="shared" si="53"/>
        <v>-0.48479961610221611</v>
      </c>
      <c r="F100" s="44">
        <f>IF(AND(F$5-D$5 &lt;&gt; 0,F48 &lt;&gt; 0,D48 &lt;&gt; 0),(EXP(LN(F48/D48)/(F$5-D$5))-1)*100,0)</f>
        <v>-1.3967314942990194</v>
      </c>
      <c r="H100" s="40">
        <f t="shared" ref="H100:L101" si="54">(B48/B$47)*100</f>
        <v>11.524519648331029</v>
      </c>
      <c r="I100" s="40">
        <f t="shared" si="54"/>
        <v>10.508589349776239</v>
      </c>
      <c r="J100" s="40">
        <f t="shared" si="54"/>
        <v>10.279170199262404</v>
      </c>
      <c r="K100" s="40">
        <f t="shared" si="54"/>
        <v>8.6117088201332788</v>
      </c>
      <c r="L100" s="40">
        <f t="shared" si="54"/>
        <v>8.4601880864707599</v>
      </c>
    </row>
    <row r="101" spans="1:12" x14ac:dyDescent="0.2">
      <c r="A101" t="str">
        <f>A49</f>
        <v>92 Elementary administration and service occupations</v>
      </c>
      <c r="B101" s="49">
        <f t="shared" si="53"/>
        <v>-0.79743751296854626</v>
      </c>
      <c r="C101" s="44">
        <f t="shared" si="53"/>
        <v>-8.7075399550220816</v>
      </c>
      <c r="D101" s="49">
        <f t="shared" si="53"/>
        <v>0.66263370387436016</v>
      </c>
      <c r="E101" s="49">
        <f t="shared" si="53"/>
        <v>-0.29147319404383421</v>
      </c>
      <c r="F101" s="44">
        <f>IF(AND(F$5-D$5 &lt;&gt; 0,F49 &lt;&gt; 0,D49 &lt;&gt; 0),(EXP(LN(F49/D49)/(F$5-D$5))-1)*100,0)</f>
        <v>2.5553373789466427E-2</v>
      </c>
      <c r="H101" s="40">
        <f t="shared" si="54"/>
        <v>88.475480351668963</v>
      </c>
      <c r="I101" s="40">
        <f t="shared" si="54"/>
        <v>89.491410650223756</v>
      </c>
      <c r="J101" s="40">
        <f t="shared" si="54"/>
        <v>89.720829800737604</v>
      </c>
      <c r="K101" s="40">
        <f t="shared" si="54"/>
        <v>91.388291179866727</v>
      </c>
      <c r="L101" s="40">
        <f t="shared" si="54"/>
        <v>91.539811913529235</v>
      </c>
    </row>
    <row r="102" spans="1:12" x14ac:dyDescent="0.2">
      <c r="A102" s="13"/>
      <c r="C102" s="44"/>
      <c r="F102" s="44"/>
    </row>
    <row r="103" spans="1:12" x14ac:dyDescent="0.2">
      <c r="A103" s="39" t="str">
        <f t="shared" ref="A103" si="55">A51</f>
        <v>All occupations</v>
      </c>
      <c r="B103" s="50">
        <f>IF(AND(C$5-B$5 &lt;&gt; 0,C51 &lt;&gt; 0,B51 &lt;&gt; 0),(EXP(LN(C51/B51)/(C$5-B$5))-1)*100,0)</f>
        <v>0.50039053026922353</v>
      </c>
      <c r="C103" s="206">
        <f t="shared" ref="C103" si="56">IF(AND(D$5-C$5 &lt;&gt; 0,D51 &lt;&gt; 0,C51 &lt;&gt; 0),(EXP(LN(D51/C51)/(D$5-C$5))-1)*100,0)</f>
        <v>-2.0181336258527027</v>
      </c>
      <c r="D103" s="50">
        <f>IF(AND(E$5-D$5 &lt;&gt; 0,E51 &lt;&gt; 0,D51 &lt;&gt; 0),(EXP(LN(E51/D51)/(E$5-D$5))-1)*100,0)</f>
        <v>0.57938709657918697</v>
      </c>
      <c r="E103" s="50">
        <f>IF(AND(F$5-E$5 &lt;&gt; 0,F51 &lt;&gt; 0,E51 &lt;&gt; 0),(EXP(LN(F51/E51)/(F$5-E$5))-1)*100,0)</f>
        <v>0.39187955008854747</v>
      </c>
      <c r="F103" s="206">
        <f>IF(AND(F$5-D$5 &lt;&gt; 0,F51 &lt;&gt; 0,D51 &lt;&gt; 0),(EXP(LN(F51/D51)/(F$5-D$5))-1)*100,0)</f>
        <v>0.45434319276140833</v>
      </c>
      <c r="G103" s="24"/>
      <c r="H103" s="43">
        <f>(B51/B$51)*100</f>
        <v>100</v>
      </c>
      <c r="I103" s="43">
        <f>(C51/C$51)*100</f>
        <v>100</v>
      </c>
      <c r="J103" s="43">
        <f>(D51/D$51)*100</f>
        <v>100</v>
      </c>
      <c r="K103" s="43">
        <f>(E51/E$51)*100</f>
        <v>100</v>
      </c>
      <c r="L103" s="43">
        <f>(F51/F$51)*100</f>
        <v>100</v>
      </c>
    </row>
  </sheetData>
  <phoneticPr fontId="4" type="noConversion"/>
  <pageMargins left="0.55118110236220474" right="0.55118110236220474" top="0.59055118110236227" bottom="0.59055118110236227" header="0.51181102362204722" footer="0.51181102362204722"/>
  <pageSetup paperSize="9" scale="77" orientation="landscape" r:id="rId1"/>
  <headerFooter alignWithMargins="0"/>
  <rowBreaks count="1" manualBreakCount="1">
    <brk id="52" max="11" man="1"/>
  </rowBreak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40"/>
  <dimension ref="A1:U1312"/>
  <sheetViews>
    <sheetView showGridLines="0" zoomScale="85" zoomScaleNormal="85" workbookViewId="0"/>
  </sheetViews>
  <sheetFormatPr defaultRowHeight="12.75" x14ac:dyDescent="0.2"/>
  <cols>
    <col min="1" max="1" width="35.5703125" style="91" customWidth="1"/>
    <col min="2" max="13" width="5.7109375" style="91" customWidth="1"/>
    <col min="14" max="15" width="7.7109375" style="91" customWidth="1"/>
    <col min="16" max="16" width="5.7109375" style="91" customWidth="1"/>
    <col min="17" max="18" width="7.7109375" style="91" customWidth="1"/>
    <col min="19" max="19" width="5.7109375" style="91" customWidth="1"/>
    <col min="20" max="21" width="7.7109375" style="91" customWidth="1"/>
    <col min="22" max="254" width="9.140625" style="91"/>
    <col min="255" max="255" width="33.140625" style="91" bestFit="1" customWidth="1"/>
    <col min="256" max="258" width="7.140625" style="91" customWidth="1"/>
    <col min="259" max="259" width="5" style="91" customWidth="1"/>
    <col min="260" max="262" width="7.140625" style="91" customWidth="1"/>
    <col min="263" max="263" width="5" style="91" customWidth="1"/>
    <col min="264" max="266" width="7.140625" style="91" customWidth="1"/>
    <col min="267" max="510" width="9.140625" style="91"/>
    <col min="511" max="511" width="33.140625" style="91" bestFit="1" customWidth="1"/>
    <col min="512" max="514" width="7.140625" style="91" customWidth="1"/>
    <col min="515" max="515" width="5" style="91" customWidth="1"/>
    <col min="516" max="518" width="7.140625" style="91" customWidth="1"/>
    <col min="519" max="519" width="5" style="91" customWidth="1"/>
    <col min="520" max="522" width="7.140625" style="91" customWidth="1"/>
    <col min="523" max="766" width="9.140625" style="91"/>
    <col min="767" max="767" width="33.140625" style="91" bestFit="1" customWidth="1"/>
    <col min="768" max="770" width="7.140625" style="91" customWidth="1"/>
    <col min="771" max="771" width="5" style="91" customWidth="1"/>
    <col min="772" max="774" width="7.140625" style="91" customWidth="1"/>
    <col min="775" max="775" width="5" style="91" customWidth="1"/>
    <col min="776" max="778" width="7.140625" style="91" customWidth="1"/>
    <col min="779" max="1022" width="9.140625" style="91"/>
    <col min="1023" max="1023" width="33.140625" style="91" bestFit="1" customWidth="1"/>
    <col min="1024" max="1026" width="7.140625" style="91" customWidth="1"/>
    <col min="1027" max="1027" width="5" style="91" customWidth="1"/>
    <col min="1028" max="1030" width="7.140625" style="91" customWidth="1"/>
    <col min="1031" max="1031" width="5" style="91" customWidth="1"/>
    <col min="1032" max="1034" width="7.140625" style="91" customWidth="1"/>
    <col min="1035" max="1278" width="9.140625" style="91"/>
    <col min="1279" max="1279" width="33.140625" style="91" bestFit="1" customWidth="1"/>
    <col min="1280" max="1282" width="7.140625" style="91" customWidth="1"/>
    <col min="1283" max="1283" width="5" style="91" customWidth="1"/>
    <col min="1284" max="1286" width="7.140625" style="91" customWidth="1"/>
    <col min="1287" max="1287" width="5" style="91" customWidth="1"/>
    <col min="1288" max="1290" width="7.140625" style="91" customWidth="1"/>
    <col min="1291" max="1534" width="9.140625" style="91"/>
    <col min="1535" max="1535" width="33.140625" style="91" bestFit="1" customWidth="1"/>
    <col min="1536" max="1538" width="7.140625" style="91" customWidth="1"/>
    <col min="1539" max="1539" width="5" style="91" customWidth="1"/>
    <col min="1540" max="1542" width="7.140625" style="91" customWidth="1"/>
    <col min="1543" max="1543" width="5" style="91" customWidth="1"/>
    <col min="1544" max="1546" width="7.140625" style="91" customWidth="1"/>
    <col min="1547" max="1790" width="9.140625" style="91"/>
    <col min="1791" max="1791" width="33.140625" style="91" bestFit="1" customWidth="1"/>
    <col min="1792" max="1794" width="7.140625" style="91" customWidth="1"/>
    <col min="1795" max="1795" width="5" style="91" customWidth="1"/>
    <col min="1796" max="1798" width="7.140625" style="91" customWidth="1"/>
    <col min="1799" max="1799" width="5" style="91" customWidth="1"/>
    <col min="1800" max="1802" width="7.140625" style="91" customWidth="1"/>
    <col min="1803" max="2046" width="9.140625" style="91"/>
    <col min="2047" max="2047" width="33.140625" style="91" bestFit="1" customWidth="1"/>
    <col min="2048" max="2050" width="7.140625" style="91" customWidth="1"/>
    <col min="2051" max="2051" width="5" style="91" customWidth="1"/>
    <col min="2052" max="2054" width="7.140625" style="91" customWidth="1"/>
    <col min="2055" max="2055" width="5" style="91" customWidth="1"/>
    <col min="2056" max="2058" width="7.140625" style="91" customWidth="1"/>
    <col min="2059" max="2302" width="9.140625" style="91"/>
    <col min="2303" max="2303" width="33.140625" style="91" bestFit="1" customWidth="1"/>
    <col min="2304" max="2306" width="7.140625" style="91" customWidth="1"/>
    <col min="2307" max="2307" width="5" style="91" customWidth="1"/>
    <col min="2308" max="2310" width="7.140625" style="91" customWidth="1"/>
    <col min="2311" max="2311" width="5" style="91" customWidth="1"/>
    <col min="2312" max="2314" width="7.140625" style="91" customWidth="1"/>
    <col min="2315" max="2558" width="9.140625" style="91"/>
    <col min="2559" max="2559" width="33.140625" style="91" bestFit="1" customWidth="1"/>
    <col min="2560" max="2562" width="7.140625" style="91" customWidth="1"/>
    <col min="2563" max="2563" width="5" style="91" customWidth="1"/>
    <col min="2564" max="2566" width="7.140625" style="91" customWidth="1"/>
    <col min="2567" max="2567" width="5" style="91" customWidth="1"/>
    <col min="2568" max="2570" width="7.140625" style="91" customWidth="1"/>
    <col min="2571" max="2814" width="9.140625" style="91"/>
    <col min="2815" max="2815" width="33.140625" style="91" bestFit="1" customWidth="1"/>
    <col min="2816" max="2818" width="7.140625" style="91" customWidth="1"/>
    <col min="2819" max="2819" width="5" style="91" customWidth="1"/>
    <col min="2820" max="2822" width="7.140625" style="91" customWidth="1"/>
    <col min="2823" max="2823" width="5" style="91" customWidth="1"/>
    <col min="2824" max="2826" width="7.140625" style="91" customWidth="1"/>
    <col min="2827" max="3070" width="9.140625" style="91"/>
    <col min="3071" max="3071" width="33.140625" style="91" bestFit="1" customWidth="1"/>
    <col min="3072" max="3074" width="7.140625" style="91" customWidth="1"/>
    <col min="3075" max="3075" width="5" style="91" customWidth="1"/>
    <col min="3076" max="3078" width="7.140625" style="91" customWidth="1"/>
    <col min="3079" max="3079" width="5" style="91" customWidth="1"/>
    <col min="3080" max="3082" width="7.140625" style="91" customWidth="1"/>
    <col min="3083" max="3326" width="9.140625" style="91"/>
    <col min="3327" max="3327" width="33.140625" style="91" bestFit="1" customWidth="1"/>
    <col min="3328" max="3330" width="7.140625" style="91" customWidth="1"/>
    <col min="3331" max="3331" width="5" style="91" customWidth="1"/>
    <col min="3332" max="3334" width="7.140625" style="91" customWidth="1"/>
    <col min="3335" max="3335" width="5" style="91" customWidth="1"/>
    <col min="3336" max="3338" width="7.140625" style="91" customWidth="1"/>
    <col min="3339" max="3582" width="9.140625" style="91"/>
    <col min="3583" max="3583" width="33.140625" style="91" bestFit="1" customWidth="1"/>
    <col min="3584" max="3586" width="7.140625" style="91" customWidth="1"/>
    <col min="3587" max="3587" width="5" style="91" customWidth="1"/>
    <col min="3588" max="3590" width="7.140625" style="91" customWidth="1"/>
    <col min="3591" max="3591" width="5" style="91" customWidth="1"/>
    <col min="3592" max="3594" width="7.140625" style="91" customWidth="1"/>
    <col min="3595" max="3838" width="9.140625" style="91"/>
    <col min="3839" max="3839" width="33.140625" style="91" bestFit="1" customWidth="1"/>
    <col min="3840" max="3842" width="7.140625" style="91" customWidth="1"/>
    <col min="3843" max="3843" width="5" style="91" customWidth="1"/>
    <col min="3844" max="3846" width="7.140625" style="91" customWidth="1"/>
    <col min="3847" max="3847" width="5" style="91" customWidth="1"/>
    <col min="3848" max="3850" width="7.140625" style="91" customWidth="1"/>
    <col min="3851" max="4094" width="9.140625" style="91"/>
    <col min="4095" max="4095" width="33.140625" style="91" bestFit="1" customWidth="1"/>
    <col min="4096" max="4098" width="7.140625" style="91" customWidth="1"/>
    <col min="4099" max="4099" width="5" style="91" customWidth="1"/>
    <col min="4100" max="4102" width="7.140625" style="91" customWidth="1"/>
    <col min="4103" max="4103" width="5" style="91" customWidth="1"/>
    <col min="4104" max="4106" width="7.140625" style="91" customWidth="1"/>
    <col min="4107" max="4350" width="9.140625" style="91"/>
    <col min="4351" max="4351" width="33.140625" style="91" bestFit="1" customWidth="1"/>
    <col min="4352" max="4354" width="7.140625" style="91" customWidth="1"/>
    <col min="4355" max="4355" width="5" style="91" customWidth="1"/>
    <col min="4356" max="4358" width="7.140625" style="91" customWidth="1"/>
    <col min="4359" max="4359" width="5" style="91" customWidth="1"/>
    <col min="4360" max="4362" width="7.140625" style="91" customWidth="1"/>
    <col min="4363" max="4606" width="9.140625" style="91"/>
    <col min="4607" max="4607" width="33.140625" style="91" bestFit="1" customWidth="1"/>
    <col min="4608" max="4610" width="7.140625" style="91" customWidth="1"/>
    <col min="4611" max="4611" width="5" style="91" customWidth="1"/>
    <col min="4612" max="4614" width="7.140625" style="91" customWidth="1"/>
    <col min="4615" max="4615" width="5" style="91" customWidth="1"/>
    <col min="4616" max="4618" width="7.140625" style="91" customWidth="1"/>
    <col min="4619" max="4862" width="9.140625" style="91"/>
    <col min="4863" max="4863" width="33.140625" style="91" bestFit="1" customWidth="1"/>
    <col min="4864" max="4866" width="7.140625" style="91" customWidth="1"/>
    <col min="4867" max="4867" width="5" style="91" customWidth="1"/>
    <col min="4868" max="4870" width="7.140625" style="91" customWidth="1"/>
    <col min="4871" max="4871" width="5" style="91" customWidth="1"/>
    <col min="4872" max="4874" width="7.140625" style="91" customWidth="1"/>
    <col min="4875" max="5118" width="9.140625" style="91"/>
    <col min="5119" max="5119" width="33.140625" style="91" bestFit="1" customWidth="1"/>
    <col min="5120" max="5122" width="7.140625" style="91" customWidth="1"/>
    <col min="5123" max="5123" width="5" style="91" customWidth="1"/>
    <col min="5124" max="5126" width="7.140625" style="91" customWidth="1"/>
    <col min="5127" max="5127" width="5" style="91" customWidth="1"/>
    <col min="5128" max="5130" width="7.140625" style="91" customWidth="1"/>
    <col min="5131" max="5374" width="9.140625" style="91"/>
    <col min="5375" max="5375" width="33.140625" style="91" bestFit="1" customWidth="1"/>
    <col min="5376" max="5378" width="7.140625" style="91" customWidth="1"/>
    <col min="5379" max="5379" width="5" style="91" customWidth="1"/>
    <col min="5380" max="5382" width="7.140625" style="91" customWidth="1"/>
    <col min="5383" max="5383" width="5" style="91" customWidth="1"/>
    <col min="5384" max="5386" width="7.140625" style="91" customWidth="1"/>
    <col min="5387" max="5630" width="9.140625" style="91"/>
    <col min="5631" max="5631" width="33.140625" style="91" bestFit="1" customWidth="1"/>
    <col min="5632" max="5634" width="7.140625" style="91" customWidth="1"/>
    <col min="5635" max="5635" width="5" style="91" customWidth="1"/>
    <col min="5636" max="5638" width="7.140625" style="91" customWidth="1"/>
    <col min="5639" max="5639" width="5" style="91" customWidth="1"/>
    <col min="5640" max="5642" width="7.140625" style="91" customWidth="1"/>
    <col min="5643" max="5886" width="9.140625" style="91"/>
    <col min="5887" max="5887" width="33.140625" style="91" bestFit="1" customWidth="1"/>
    <col min="5888" max="5890" width="7.140625" style="91" customWidth="1"/>
    <col min="5891" max="5891" width="5" style="91" customWidth="1"/>
    <col min="5892" max="5894" width="7.140625" style="91" customWidth="1"/>
    <col min="5895" max="5895" width="5" style="91" customWidth="1"/>
    <col min="5896" max="5898" width="7.140625" style="91" customWidth="1"/>
    <col min="5899" max="6142" width="9.140625" style="91"/>
    <col min="6143" max="6143" width="33.140625" style="91" bestFit="1" customWidth="1"/>
    <col min="6144" max="6146" width="7.140625" style="91" customWidth="1"/>
    <col min="6147" max="6147" width="5" style="91" customWidth="1"/>
    <col min="6148" max="6150" width="7.140625" style="91" customWidth="1"/>
    <col min="6151" max="6151" width="5" style="91" customWidth="1"/>
    <col min="6152" max="6154" width="7.140625" style="91" customWidth="1"/>
    <col min="6155" max="6398" width="9.140625" style="91"/>
    <col min="6399" max="6399" width="33.140625" style="91" bestFit="1" customWidth="1"/>
    <col min="6400" max="6402" width="7.140625" style="91" customWidth="1"/>
    <col min="6403" max="6403" width="5" style="91" customWidth="1"/>
    <col min="6404" max="6406" width="7.140625" style="91" customWidth="1"/>
    <col min="6407" max="6407" width="5" style="91" customWidth="1"/>
    <col min="6408" max="6410" width="7.140625" style="91" customWidth="1"/>
    <col min="6411" max="6654" width="9.140625" style="91"/>
    <col min="6655" max="6655" width="33.140625" style="91" bestFit="1" customWidth="1"/>
    <col min="6656" max="6658" width="7.140625" style="91" customWidth="1"/>
    <col min="6659" max="6659" width="5" style="91" customWidth="1"/>
    <col min="6660" max="6662" width="7.140625" style="91" customWidth="1"/>
    <col min="6663" max="6663" width="5" style="91" customWidth="1"/>
    <col min="6664" max="6666" width="7.140625" style="91" customWidth="1"/>
    <col min="6667" max="6910" width="9.140625" style="91"/>
    <col min="6911" max="6911" width="33.140625" style="91" bestFit="1" customWidth="1"/>
    <col min="6912" max="6914" width="7.140625" style="91" customWidth="1"/>
    <col min="6915" max="6915" width="5" style="91" customWidth="1"/>
    <col min="6916" max="6918" width="7.140625" style="91" customWidth="1"/>
    <col min="6919" max="6919" width="5" style="91" customWidth="1"/>
    <col min="6920" max="6922" width="7.140625" style="91" customWidth="1"/>
    <col min="6923" max="7166" width="9.140625" style="91"/>
    <col min="7167" max="7167" width="33.140625" style="91" bestFit="1" customWidth="1"/>
    <col min="7168" max="7170" width="7.140625" style="91" customWidth="1"/>
    <col min="7171" max="7171" width="5" style="91" customWidth="1"/>
    <col min="7172" max="7174" width="7.140625" style="91" customWidth="1"/>
    <col min="7175" max="7175" width="5" style="91" customWidth="1"/>
    <col min="7176" max="7178" width="7.140625" style="91" customWidth="1"/>
    <col min="7179" max="7422" width="9.140625" style="91"/>
    <col min="7423" max="7423" width="33.140625" style="91" bestFit="1" customWidth="1"/>
    <col min="7424" max="7426" width="7.140625" style="91" customWidth="1"/>
    <col min="7427" max="7427" width="5" style="91" customWidth="1"/>
    <col min="7428" max="7430" width="7.140625" style="91" customWidth="1"/>
    <col min="7431" max="7431" width="5" style="91" customWidth="1"/>
    <col min="7432" max="7434" width="7.140625" style="91" customWidth="1"/>
    <col min="7435" max="7678" width="9.140625" style="91"/>
    <col min="7679" max="7679" width="33.140625" style="91" bestFit="1" customWidth="1"/>
    <col min="7680" max="7682" width="7.140625" style="91" customWidth="1"/>
    <col min="7683" max="7683" width="5" style="91" customWidth="1"/>
    <col min="7684" max="7686" width="7.140625" style="91" customWidth="1"/>
    <col min="7687" max="7687" width="5" style="91" customWidth="1"/>
    <col min="7688" max="7690" width="7.140625" style="91" customWidth="1"/>
    <col min="7691" max="7934" width="9.140625" style="91"/>
    <col min="7935" max="7935" width="33.140625" style="91" bestFit="1" customWidth="1"/>
    <col min="7936" max="7938" width="7.140625" style="91" customWidth="1"/>
    <col min="7939" max="7939" width="5" style="91" customWidth="1"/>
    <col min="7940" max="7942" width="7.140625" style="91" customWidth="1"/>
    <col min="7943" max="7943" width="5" style="91" customWidth="1"/>
    <col min="7944" max="7946" width="7.140625" style="91" customWidth="1"/>
    <col min="7947" max="8190" width="9.140625" style="91"/>
    <col min="8191" max="8191" width="33.140625" style="91" bestFit="1" customWidth="1"/>
    <col min="8192" max="8194" width="7.140625" style="91" customWidth="1"/>
    <col min="8195" max="8195" width="5" style="91" customWidth="1"/>
    <col min="8196" max="8198" width="7.140625" style="91" customWidth="1"/>
    <col min="8199" max="8199" width="5" style="91" customWidth="1"/>
    <col min="8200" max="8202" width="7.140625" style="91" customWidth="1"/>
    <col min="8203" max="8446" width="9.140625" style="91"/>
    <col min="8447" max="8447" width="33.140625" style="91" bestFit="1" customWidth="1"/>
    <col min="8448" max="8450" width="7.140625" style="91" customWidth="1"/>
    <col min="8451" max="8451" width="5" style="91" customWidth="1"/>
    <col min="8452" max="8454" width="7.140625" style="91" customWidth="1"/>
    <col min="8455" max="8455" width="5" style="91" customWidth="1"/>
    <col min="8456" max="8458" width="7.140625" style="91" customWidth="1"/>
    <col min="8459" max="8702" width="9.140625" style="91"/>
    <col min="8703" max="8703" width="33.140625" style="91" bestFit="1" customWidth="1"/>
    <col min="8704" max="8706" width="7.140625" style="91" customWidth="1"/>
    <col min="8707" max="8707" width="5" style="91" customWidth="1"/>
    <col min="8708" max="8710" width="7.140625" style="91" customWidth="1"/>
    <col min="8711" max="8711" width="5" style="91" customWidth="1"/>
    <col min="8712" max="8714" width="7.140625" style="91" customWidth="1"/>
    <col min="8715" max="8958" width="9.140625" style="91"/>
    <col min="8959" max="8959" width="33.140625" style="91" bestFit="1" customWidth="1"/>
    <col min="8960" max="8962" width="7.140625" style="91" customWidth="1"/>
    <col min="8963" max="8963" width="5" style="91" customWidth="1"/>
    <col min="8964" max="8966" width="7.140625" style="91" customWidth="1"/>
    <col min="8967" max="8967" width="5" style="91" customWidth="1"/>
    <col min="8968" max="8970" width="7.140625" style="91" customWidth="1"/>
    <col min="8971" max="9214" width="9.140625" style="91"/>
    <col min="9215" max="9215" width="33.140625" style="91" bestFit="1" customWidth="1"/>
    <col min="9216" max="9218" width="7.140625" style="91" customWidth="1"/>
    <col min="9219" max="9219" width="5" style="91" customWidth="1"/>
    <col min="9220" max="9222" width="7.140625" style="91" customWidth="1"/>
    <col min="9223" max="9223" width="5" style="91" customWidth="1"/>
    <col min="9224" max="9226" width="7.140625" style="91" customWidth="1"/>
    <col min="9227" max="9470" width="9.140625" style="91"/>
    <col min="9471" max="9471" width="33.140625" style="91" bestFit="1" customWidth="1"/>
    <col min="9472" max="9474" width="7.140625" style="91" customWidth="1"/>
    <col min="9475" max="9475" width="5" style="91" customWidth="1"/>
    <col min="9476" max="9478" width="7.140625" style="91" customWidth="1"/>
    <col min="9479" max="9479" width="5" style="91" customWidth="1"/>
    <col min="9480" max="9482" width="7.140625" style="91" customWidth="1"/>
    <col min="9483" max="9726" width="9.140625" style="91"/>
    <col min="9727" max="9727" width="33.140625" style="91" bestFit="1" customWidth="1"/>
    <col min="9728" max="9730" width="7.140625" style="91" customWidth="1"/>
    <col min="9731" max="9731" width="5" style="91" customWidth="1"/>
    <col min="9732" max="9734" width="7.140625" style="91" customWidth="1"/>
    <col min="9735" max="9735" width="5" style="91" customWidth="1"/>
    <col min="9736" max="9738" width="7.140625" style="91" customWidth="1"/>
    <col min="9739" max="9982" width="9.140625" style="91"/>
    <col min="9983" max="9983" width="33.140625" style="91" bestFit="1" customWidth="1"/>
    <col min="9984" max="9986" width="7.140625" style="91" customWidth="1"/>
    <col min="9987" max="9987" width="5" style="91" customWidth="1"/>
    <col min="9988" max="9990" width="7.140625" style="91" customWidth="1"/>
    <col min="9991" max="9991" width="5" style="91" customWidth="1"/>
    <col min="9992" max="9994" width="7.140625" style="91" customWidth="1"/>
    <col min="9995" max="10238" width="9.140625" style="91"/>
    <col min="10239" max="10239" width="33.140625" style="91" bestFit="1" customWidth="1"/>
    <col min="10240" max="10242" width="7.140625" style="91" customWidth="1"/>
    <col min="10243" max="10243" width="5" style="91" customWidth="1"/>
    <col min="10244" max="10246" width="7.140625" style="91" customWidth="1"/>
    <col min="10247" max="10247" width="5" style="91" customWidth="1"/>
    <col min="10248" max="10250" width="7.140625" style="91" customWidth="1"/>
    <col min="10251" max="10494" width="9.140625" style="91"/>
    <col min="10495" max="10495" width="33.140625" style="91" bestFit="1" customWidth="1"/>
    <col min="10496" max="10498" width="7.140625" style="91" customWidth="1"/>
    <col min="10499" max="10499" width="5" style="91" customWidth="1"/>
    <col min="10500" max="10502" width="7.140625" style="91" customWidth="1"/>
    <col min="10503" max="10503" width="5" style="91" customWidth="1"/>
    <col min="10504" max="10506" width="7.140625" style="91" customWidth="1"/>
    <col min="10507" max="10750" width="9.140625" style="91"/>
    <col min="10751" max="10751" width="33.140625" style="91" bestFit="1" customWidth="1"/>
    <col min="10752" max="10754" width="7.140625" style="91" customWidth="1"/>
    <col min="10755" max="10755" width="5" style="91" customWidth="1"/>
    <col min="10756" max="10758" width="7.140625" style="91" customWidth="1"/>
    <col min="10759" max="10759" width="5" style="91" customWidth="1"/>
    <col min="10760" max="10762" width="7.140625" style="91" customWidth="1"/>
    <col min="10763" max="11006" width="9.140625" style="91"/>
    <col min="11007" max="11007" width="33.140625" style="91" bestFit="1" customWidth="1"/>
    <col min="11008" max="11010" width="7.140625" style="91" customWidth="1"/>
    <col min="11011" max="11011" width="5" style="91" customWidth="1"/>
    <col min="11012" max="11014" width="7.140625" style="91" customWidth="1"/>
    <col min="11015" max="11015" width="5" style="91" customWidth="1"/>
    <col min="11016" max="11018" width="7.140625" style="91" customWidth="1"/>
    <col min="11019" max="11262" width="9.140625" style="91"/>
    <col min="11263" max="11263" width="33.140625" style="91" bestFit="1" customWidth="1"/>
    <col min="11264" max="11266" width="7.140625" style="91" customWidth="1"/>
    <col min="11267" max="11267" width="5" style="91" customWidth="1"/>
    <col min="11268" max="11270" width="7.140625" style="91" customWidth="1"/>
    <col min="11271" max="11271" width="5" style="91" customWidth="1"/>
    <col min="11272" max="11274" width="7.140625" style="91" customWidth="1"/>
    <col min="11275" max="11518" width="9.140625" style="91"/>
    <col min="11519" max="11519" width="33.140625" style="91" bestFit="1" customWidth="1"/>
    <col min="11520" max="11522" width="7.140625" style="91" customWidth="1"/>
    <col min="11523" max="11523" width="5" style="91" customWidth="1"/>
    <col min="11524" max="11526" width="7.140625" style="91" customWidth="1"/>
    <col min="11527" max="11527" width="5" style="91" customWidth="1"/>
    <col min="11528" max="11530" width="7.140625" style="91" customWidth="1"/>
    <col min="11531" max="11774" width="9.140625" style="91"/>
    <col min="11775" max="11775" width="33.140625" style="91" bestFit="1" customWidth="1"/>
    <col min="11776" max="11778" width="7.140625" style="91" customWidth="1"/>
    <col min="11779" max="11779" width="5" style="91" customWidth="1"/>
    <col min="11780" max="11782" width="7.140625" style="91" customWidth="1"/>
    <col min="11783" max="11783" width="5" style="91" customWidth="1"/>
    <col min="11784" max="11786" width="7.140625" style="91" customWidth="1"/>
    <col min="11787" max="12030" width="9.140625" style="91"/>
    <col min="12031" max="12031" width="33.140625" style="91" bestFit="1" customWidth="1"/>
    <col min="12032" max="12034" width="7.140625" style="91" customWidth="1"/>
    <col min="12035" max="12035" width="5" style="91" customWidth="1"/>
    <col min="12036" max="12038" width="7.140625" style="91" customWidth="1"/>
    <col min="12039" max="12039" width="5" style="91" customWidth="1"/>
    <col min="12040" max="12042" width="7.140625" style="91" customWidth="1"/>
    <col min="12043" max="12286" width="9.140625" style="91"/>
    <col min="12287" max="12287" width="33.140625" style="91" bestFit="1" customWidth="1"/>
    <col min="12288" max="12290" width="7.140625" style="91" customWidth="1"/>
    <col min="12291" max="12291" width="5" style="91" customWidth="1"/>
    <col min="12292" max="12294" width="7.140625" style="91" customWidth="1"/>
    <col min="12295" max="12295" width="5" style="91" customWidth="1"/>
    <col min="12296" max="12298" width="7.140625" style="91" customWidth="1"/>
    <col min="12299" max="12542" width="9.140625" style="91"/>
    <col min="12543" max="12543" width="33.140625" style="91" bestFit="1" customWidth="1"/>
    <col min="12544" max="12546" width="7.140625" style="91" customWidth="1"/>
    <col min="12547" max="12547" width="5" style="91" customWidth="1"/>
    <col min="12548" max="12550" width="7.140625" style="91" customWidth="1"/>
    <col min="12551" max="12551" width="5" style="91" customWidth="1"/>
    <col min="12552" max="12554" width="7.140625" style="91" customWidth="1"/>
    <col min="12555" max="12798" width="9.140625" style="91"/>
    <col min="12799" max="12799" width="33.140625" style="91" bestFit="1" customWidth="1"/>
    <col min="12800" max="12802" width="7.140625" style="91" customWidth="1"/>
    <col min="12803" max="12803" width="5" style="91" customWidth="1"/>
    <col min="12804" max="12806" width="7.140625" style="91" customWidth="1"/>
    <col min="12807" max="12807" width="5" style="91" customWidth="1"/>
    <col min="12808" max="12810" width="7.140625" style="91" customWidth="1"/>
    <col min="12811" max="13054" width="9.140625" style="91"/>
    <col min="13055" max="13055" width="33.140625" style="91" bestFit="1" customWidth="1"/>
    <col min="13056" max="13058" width="7.140625" style="91" customWidth="1"/>
    <col min="13059" max="13059" width="5" style="91" customWidth="1"/>
    <col min="13060" max="13062" width="7.140625" style="91" customWidth="1"/>
    <col min="13063" max="13063" width="5" style="91" customWidth="1"/>
    <col min="13064" max="13066" width="7.140625" style="91" customWidth="1"/>
    <col min="13067" max="13310" width="9.140625" style="91"/>
    <col min="13311" max="13311" width="33.140625" style="91" bestFit="1" customWidth="1"/>
    <col min="13312" max="13314" width="7.140625" style="91" customWidth="1"/>
    <col min="13315" max="13315" width="5" style="91" customWidth="1"/>
    <col min="13316" max="13318" width="7.140625" style="91" customWidth="1"/>
    <col min="13319" max="13319" width="5" style="91" customWidth="1"/>
    <col min="13320" max="13322" width="7.140625" style="91" customWidth="1"/>
    <col min="13323" max="13566" width="9.140625" style="91"/>
    <col min="13567" max="13567" width="33.140625" style="91" bestFit="1" customWidth="1"/>
    <col min="13568" max="13570" width="7.140625" style="91" customWidth="1"/>
    <col min="13571" max="13571" width="5" style="91" customWidth="1"/>
    <col min="13572" max="13574" width="7.140625" style="91" customWidth="1"/>
    <col min="13575" max="13575" width="5" style="91" customWidth="1"/>
    <col min="13576" max="13578" width="7.140625" style="91" customWidth="1"/>
    <col min="13579" max="13822" width="9.140625" style="91"/>
    <col min="13823" max="13823" width="33.140625" style="91" bestFit="1" customWidth="1"/>
    <col min="13824" max="13826" width="7.140625" style="91" customWidth="1"/>
    <col min="13827" max="13827" width="5" style="91" customWidth="1"/>
    <col min="13828" max="13830" width="7.140625" style="91" customWidth="1"/>
    <col min="13831" max="13831" width="5" style="91" customWidth="1"/>
    <col min="13832" max="13834" width="7.140625" style="91" customWidth="1"/>
    <col min="13835" max="14078" width="9.140625" style="91"/>
    <col min="14079" max="14079" width="33.140625" style="91" bestFit="1" customWidth="1"/>
    <col min="14080" max="14082" width="7.140625" style="91" customWidth="1"/>
    <col min="14083" max="14083" width="5" style="91" customWidth="1"/>
    <col min="14084" max="14086" width="7.140625" style="91" customWidth="1"/>
    <col min="14087" max="14087" width="5" style="91" customWidth="1"/>
    <col min="14088" max="14090" width="7.140625" style="91" customWidth="1"/>
    <col min="14091" max="14334" width="9.140625" style="91"/>
    <col min="14335" max="14335" width="33.140625" style="91" bestFit="1" customWidth="1"/>
    <col min="14336" max="14338" width="7.140625" style="91" customWidth="1"/>
    <col min="14339" max="14339" width="5" style="91" customWidth="1"/>
    <col min="14340" max="14342" width="7.140625" style="91" customWidth="1"/>
    <col min="14343" max="14343" width="5" style="91" customWidth="1"/>
    <col min="14344" max="14346" width="7.140625" style="91" customWidth="1"/>
    <col min="14347" max="14590" width="9.140625" style="91"/>
    <col min="14591" max="14591" width="33.140625" style="91" bestFit="1" customWidth="1"/>
    <col min="14592" max="14594" width="7.140625" style="91" customWidth="1"/>
    <col min="14595" max="14595" width="5" style="91" customWidth="1"/>
    <col min="14596" max="14598" width="7.140625" style="91" customWidth="1"/>
    <col min="14599" max="14599" width="5" style="91" customWidth="1"/>
    <col min="14600" max="14602" width="7.140625" style="91" customWidth="1"/>
    <col min="14603" max="14846" width="9.140625" style="91"/>
    <col min="14847" max="14847" width="33.140625" style="91" bestFit="1" customWidth="1"/>
    <col min="14848" max="14850" width="7.140625" style="91" customWidth="1"/>
    <col min="14851" max="14851" width="5" style="91" customWidth="1"/>
    <col min="14852" max="14854" width="7.140625" style="91" customWidth="1"/>
    <col min="14855" max="14855" width="5" style="91" customWidth="1"/>
    <col min="14856" max="14858" width="7.140625" style="91" customWidth="1"/>
    <col min="14859" max="15102" width="9.140625" style="91"/>
    <col min="15103" max="15103" width="33.140625" style="91" bestFit="1" customWidth="1"/>
    <col min="15104" max="15106" width="7.140625" style="91" customWidth="1"/>
    <col min="15107" max="15107" width="5" style="91" customWidth="1"/>
    <col min="15108" max="15110" width="7.140625" style="91" customWidth="1"/>
    <col min="15111" max="15111" width="5" style="91" customWidth="1"/>
    <col min="15112" max="15114" width="7.140625" style="91" customWidth="1"/>
    <col min="15115" max="15358" width="9.140625" style="91"/>
    <col min="15359" max="15359" width="33.140625" style="91" bestFit="1" customWidth="1"/>
    <col min="15360" max="15362" width="7.140625" style="91" customWidth="1"/>
    <col min="15363" max="15363" width="5" style="91" customWidth="1"/>
    <col min="15364" max="15366" width="7.140625" style="91" customWidth="1"/>
    <col min="15367" max="15367" width="5" style="91" customWidth="1"/>
    <col min="15368" max="15370" width="7.140625" style="91" customWidth="1"/>
    <col min="15371" max="15614" width="9.140625" style="91"/>
    <col min="15615" max="15615" width="33.140625" style="91" bestFit="1" customWidth="1"/>
    <col min="15616" max="15618" width="7.140625" style="91" customWidth="1"/>
    <col min="15619" max="15619" width="5" style="91" customWidth="1"/>
    <col min="15620" max="15622" width="7.140625" style="91" customWidth="1"/>
    <col min="15623" max="15623" width="5" style="91" customWidth="1"/>
    <col min="15624" max="15626" width="7.140625" style="91" customWidth="1"/>
    <col min="15627" max="15870" width="9.140625" style="91"/>
    <col min="15871" max="15871" width="33.140625" style="91" bestFit="1" customWidth="1"/>
    <col min="15872" max="15874" width="7.140625" style="91" customWidth="1"/>
    <col min="15875" max="15875" width="5" style="91" customWidth="1"/>
    <col min="15876" max="15878" width="7.140625" style="91" customWidth="1"/>
    <col min="15879" max="15879" width="5" style="91" customWidth="1"/>
    <col min="15880" max="15882" width="7.140625" style="91" customWidth="1"/>
    <col min="15883" max="16126" width="9.140625" style="91"/>
    <col min="16127" max="16127" width="33.140625" style="91" bestFit="1" customWidth="1"/>
    <col min="16128" max="16130" width="7.140625" style="91" customWidth="1"/>
    <col min="16131" max="16131" width="5" style="91" customWidth="1"/>
    <col min="16132" max="16134" width="7.140625" style="91" customWidth="1"/>
    <col min="16135" max="16135" width="5" style="91" customWidth="1"/>
    <col min="16136" max="16138" width="7.140625" style="91" customWidth="1"/>
    <col min="16139" max="16384" width="9.140625" style="91"/>
  </cols>
  <sheetData>
    <row r="1" spans="1:21" ht="15.75" x14ac:dyDescent="0.25">
      <c r="A1" s="19" t="str">
        <f>CONCATENATE("Occupation Table 4  Occuptation composition (SOC2020) by gender, ",B$6,"-",J$6,", ",Info!B5)</f>
        <v>Occupation Table 4  Occuptation composition (SOC2020) by gender, 2015-2035, Enterprise M3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</row>
    <row r="2" spans="1:21" x14ac:dyDescent="0.2">
      <c r="A2" s="182" t="s">
        <v>520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</row>
    <row r="3" spans="1:21" x14ac:dyDescent="0.2">
      <c r="B3" s="122"/>
      <c r="D3" s="122"/>
      <c r="F3" s="122"/>
      <c r="H3" s="122"/>
      <c r="J3" s="122"/>
      <c r="K3" s="236"/>
      <c r="L3" s="248"/>
      <c r="M3" s="236"/>
    </row>
    <row r="4" spans="1:21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92"/>
      <c r="O4" s="92"/>
      <c r="P4" s="92"/>
      <c r="Q4" s="92"/>
      <c r="R4" s="92"/>
      <c r="S4" s="92"/>
      <c r="T4" s="92" t="s">
        <v>373</v>
      </c>
      <c r="U4" s="92"/>
    </row>
    <row r="5" spans="1:21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</row>
    <row r="6" spans="1:21" ht="14.25" customHeight="1" x14ac:dyDescent="0.2">
      <c r="A6" s="241" t="s">
        <v>0</v>
      </c>
      <c r="B6" s="375">
        <v>2015</v>
      </c>
      <c r="C6" s="376"/>
      <c r="D6" s="376"/>
      <c r="E6" s="325"/>
      <c r="F6" s="375">
        <v>2020</v>
      </c>
      <c r="G6" s="376"/>
      <c r="H6" s="376"/>
      <c r="I6" s="325"/>
      <c r="J6" s="375">
        <v>2035</v>
      </c>
      <c r="K6" s="376"/>
      <c r="L6" s="376"/>
      <c r="M6" s="324"/>
      <c r="N6" s="376" t="s">
        <v>105</v>
      </c>
      <c r="O6" s="376"/>
      <c r="P6" s="326"/>
      <c r="Q6" s="376" t="s">
        <v>104</v>
      </c>
      <c r="R6" s="376"/>
      <c r="S6" s="326"/>
      <c r="T6" s="376" t="s">
        <v>33</v>
      </c>
      <c r="U6" s="376"/>
    </row>
    <row r="7" spans="1:21" ht="15" customHeight="1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321" t="str">
        <f>CONCATENATE(B6,"-",RIGHT(F6,2))</f>
        <v>2015-20</v>
      </c>
      <c r="O7" s="321" t="str">
        <f>CONCATENATE(F6,"-",RIGHT(J6,2))</f>
        <v>2020-35</v>
      </c>
      <c r="P7" s="296"/>
      <c r="Q7" s="321" t="str">
        <f>CONCATENATE(B6,"-",RIGHT(F6,2))</f>
        <v>2015-20</v>
      </c>
      <c r="R7" s="321" t="str">
        <f>CONCATENATE(F6,"-",RIGHT(J6,2))</f>
        <v>2020-35</v>
      </c>
      <c r="S7" s="180"/>
      <c r="T7" s="321" t="str">
        <f>CONCATENATE(B6,"-",RIGHT(F6,2))</f>
        <v>2015-20</v>
      </c>
      <c r="U7" s="321" t="str">
        <f>CONCATENATE(F6,"-",RIGHT(J6,2))</f>
        <v>2020-35</v>
      </c>
    </row>
    <row r="8" spans="1:21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327"/>
      <c r="O8" s="327"/>
      <c r="P8" s="327"/>
      <c r="Q8" s="327"/>
      <c r="R8" s="327"/>
      <c r="S8" s="327"/>
      <c r="T8" s="327"/>
      <c r="U8" s="327"/>
    </row>
    <row r="9" spans="1:21" x14ac:dyDescent="0.2">
      <c r="A9" s="329" t="str">
        <f>name!D4</f>
        <v>11 Corporate managers and directors</v>
      </c>
      <c r="B9" s="330">
        <v>21.611932903588336</v>
      </c>
      <c r="C9" s="330">
        <v>47.061462302732686</v>
      </c>
      <c r="D9" s="330">
        <f>SUM(B9:C9)</f>
        <v>68.673395206321018</v>
      </c>
      <c r="E9" s="331"/>
      <c r="F9" s="330">
        <v>27.544946522476089</v>
      </c>
      <c r="G9" s="330">
        <v>51.334894775556322</v>
      </c>
      <c r="H9" s="330">
        <f>SUM(F9:G9)</f>
        <v>78.879841298032403</v>
      </c>
      <c r="I9" s="331"/>
      <c r="J9" s="330">
        <v>31.858323091542704</v>
      </c>
      <c r="K9" s="330">
        <v>49.347617273000978</v>
      </c>
      <c r="L9" s="330">
        <f>SUM(J9:K9)</f>
        <v>81.205940364543679</v>
      </c>
      <c r="M9" s="236"/>
      <c r="N9" s="328">
        <f>IF(B9&gt;0,(EXP(LN(F9/B9)/($F$6-$B$6))-1)*100,0)</f>
        <v>4.9710797852950517</v>
      </c>
      <c r="O9" s="328">
        <f>IF(F9&gt;0,(EXP(LN(J9/F9)/($J$6-$F$6))-1)*100,0)</f>
        <v>0.97458228783315892</v>
      </c>
      <c r="P9" s="328"/>
      <c r="Q9" s="328">
        <f>IF(C9&gt;0,(EXP(LN(G9/C9)/($F$6-$B$6))-1)*100,0)</f>
        <v>1.7535223069907291</v>
      </c>
      <c r="R9" s="328">
        <f>IF(G9&gt;0,(EXP(LN(K9/G9)/($J$6-$F$6))-1)*100,0)</f>
        <v>-0.26286223382741003</v>
      </c>
      <c r="S9" s="327"/>
      <c r="T9" s="328">
        <f>IF(D9&gt;0,(EXP(LN(H9/D9)/($F$6-$B$6))-1)*100,0)</f>
        <v>2.8100337577803058</v>
      </c>
      <c r="U9" s="328">
        <f>IF(H9&gt;0,(EXP(LN(L9/H9)/($J$6-$F$6))-1)*100,0)</f>
        <v>0.1939391748202457</v>
      </c>
    </row>
    <row r="10" spans="1:21" x14ac:dyDescent="0.2">
      <c r="A10" s="329" t="str">
        <f>name!D5</f>
        <v>12 Other managers and proprietors</v>
      </c>
      <c r="B10" s="330">
        <v>13.248297393992313</v>
      </c>
      <c r="C10" s="330">
        <v>17.901713066966657</v>
      </c>
      <c r="D10" s="330">
        <f t="shared" ref="D10:D33" si="0">SUM(B10:C10)</f>
        <v>31.150010460958971</v>
      </c>
      <c r="E10" s="331"/>
      <c r="F10" s="330">
        <v>14.130145819000019</v>
      </c>
      <c r="G10" s="330">
        <v>16.919958665319651</v>
      </c>
      <c r="H10" s="330">
        <f t="shared" ref="H10:H33" si="1">SUM(F10:G10)</f>
        <v>31.050104484319668</v>
      </c>
      <c r="I10" s="331"/>
      <c r="J10" s="330">
        <v>20.7321550369156</v>
      </c>
      <c r="K10" s="330">
        <v>25.011353810631842</v>
      </c>
      <c r="L10" s="330">
        <f t="shared" ref="L10:L33" si="2">SUM(J10:K10)</f>
        <v>45.743508847547446</v>
      </c>
      <c r="M10" s="236"/>
      <c r="N10" s="328">
        <f t="shared" ref="N10:N36" si="3">IF(B10&gt;0,(EXP(LN(F10/B10)/($F$6-$B$6))-1)*100,0)</f>
        <v>1.2971706194383037</v>
      </c>
      <c r="O10" s="328">
        <f t="shared" ref="O10:O34" si="4">IF(F10&gt;0,(EXP(LN(J10/F10)/($J$6-$F$6))-1)*100,0)</f>
        <v>2.5887772734141112</v>
      </c>
      <c r="P10" s="328"/>
      <c r="Q10" s="328">
        <f t="shared" ref="Q10:Q34" si="5">IF(C10&gt;0,(EXP(LN(G10/C10)/($F$6-$B$6))-1)*100,0)</f>
        <v>-1.1217113549847668</v>
      </c>
      <c r="R10" s="328">
        <f t="shared" ref="R10:R34" si="6">IF(G10&gt;0,(EXP(LN(K10/G10)/($J$6-$F$6))-1)*100,0)</f>
        <v>2.6398148935871113</v>
      </c>
      <c r="S10" s="327"/>
      <c r="T10" s="328">
        <f t="shared" ref="T10:T34" si="7">IF(D10&gt;0,(EXP(LN(H10/D10)/($F$6-$B$6))-1)*100,0)</f>
        <v>-6.4227518302706343E-2</v>
      </c>
      <c r="U10" s="328">
        <f t="shared" ref="U10:U34" si="8">IF(H10&gt;0,(EXP(LN(L10/H10)/($J$6-$F$6))-1)*100,0)</f>
        <v>2.6166329715860304</v>
      </c>
    </row>
    <row r="11" spans="1:21" x14ac:dyDescent="0.2">
      <c r="A11" s="329" t="str">
        <f>name!D6</f>
        <v>21 Science, research, engineering and technology professionals</v>
      </c>
      <c r="B11" s="330">
        <v>12.83001949384167</v>
      </c>
      <c r="C11" s="330">
        <v>50.346544547552391</v>
      </c>
      <c r="D11" s="330">
        <f t="shared" si="0"/>
        <v>63.176564041394059</v>
      </c>
      <c r="E11" s="331"/>
      <c r="F11" s="330">
        <v>16.269643567740438</v>
      </c>
      <c r="G11" s="330">
        <v>53.663537123871947</v>
      </c>
      <c r="H11" s="330">
        <f t="shared" si="1"/>
        <v>69.933180691612392</v>
      </c>
      <c r="I11" s="331"/>
      <c r="J11" s="330">
        <v>22.472310972057194</v>
      </c>
      <c r="K11" s="330">
        <v>59.505482196258789</v>
      </c>
      <c r="L11" s="330">
        <f t="shared" si="2"/>
        <v>81.977793168315984</v>
      </c>
      <c r="M11" s="236"/>
      <c r="N11" s="328">
        <f t="shared" si="3"/>
        <v>4.8648993803908969</v>
      </c>
      <c r="O11" s="328">
        <f t="shared" si="4"/>
        <v>2.1765684821586806</v>
      </c>
      <c r="P11" s="328"/>
      <c r="Q11" s="328">
        <f t="shared" si="5"/>
        <v>1.2842520252819956</v>
      </c>
      <c r="R11" s="328">
        <f t="shared" si="6"/>
        <v>0.6912762660147953</v>
      </c>
      <c r="S11" s="327"/>
      <c r="T11" s="328">
        <f t="shared" si="7"/>
        <v>2.0529247546358764</v>
      </c>
      <c r="U11" s="328">
        <f t="shared" si="8"/>
        <v>1.0650191874393755</v>
      </c>
    </row>
    <row r="12" spans="1:21" x14ac:dyDescent="0.2">
      <c r="A12" s="329" t="str">
        <f>name!D7</f>
        <v>22 Health professionals</v>
      </c>
      <c r="B12" s="330">
        <v>22.1491027097352</v>
      </c>
      <c r="C12" s="330">
        <v>6.1180916749762089</v>
      </c>
      <c r="D12" s="330">
        <f t="shared" si="0"/>
        <v>28.267194384711409</v>
      </c>
      <c r="E12" s="331"/>
      <c r="F12" s="330">
        <v>25.789934677853875</v>
      </c>
      <c r="G12" s="330">
        <v>7.7171536857218275</v>
      </c>
      <c r="H12" s="330">
        <f t="shared" si="1"/>
        <v>33.507088363575704</v>
      </c>
      <c r="I12" s="331"/>
      <c r="J12" s="330">
        <v>28.620687733065719</v>
      </c>
      <c r="K12" s="330">
        <v>8.5250487073176586</v>
      </c>
      <c r="L12" s="330">
        <f t="shared" si="2"/>
        <v>37.145736440383374</v>
      </c>
      <c r="M12" s="236"/>
      <c r="N12" s="328">
        <f t="shared" si="3"/>
        <v>3.0905415432762373</v>
      </c>
      <c r="O12" s="328">
        <f t="shared" si="4"/>
        <v>0.69671931831847278</v>
      </c>
      <c r="P12" s="328"/>
      <c r="Q12" s="328">
        <f t="shared" si="5"/>
        <v>4.7534255556866523</v>
      </c>
      <c r="R12" s="328">
        <f t="shared" si="6"/>
        <v>0.66596195782715473</v>
      </c>
      <c r="S12" s="327"/>
      <c r="T12" s="328">
        <f t="shared" si="7"/>
        <v>3.4596005050581358</v>
      </c>
      <c r="U12" s="328">
        <f t="shared" si="8"/>
        <v>0.68964711587993222</v>
      </c>
    </row>
    <row r="13" spans="1:21" x14ac:dyDescent="0.2">
      <c r="A13" s="329" t="str">
        <f>name!D8</f>
        <v>23 Teaching and other educational professionals</v>
      </c>
      <c r="B13" s="330">
        <v>26.206176430519069</v>
      </c>
      <c r="C13" s="330">
        <v>12.016821943185226</v>
      </c>
      <c r="D13" s="330">
        <f t="shared" si="0"/>
        <v>38.222998373704293</v>
      </c>
      <c r="E13" s="331"/>
      <c r="F13" s="330">
        <v>27.029691047682768</v>
      </c>
      <c r="G13" s="330">
        <v>12.388805970653415</v>
      </c>
      <c r="H13" s="330">
        <f t="shared" si="1"/>
        <v>39.418497018336183</v>
      </c>
      <c r="I13" s="331"/>
      <c r="J13" s="330">
        <v>29.58302995138822</v>
      </c>
      <c r="K13" s="330">
        <v>14.320841966154246</v>
      </c>
      <c r="L13" s="330">
        <f t="shared" si="2"/>
        <v>43.903871917542467</v>
      </c>
      <c r="M13" s="236"/>
      <c r="N13" s="328">
        <f t="shared" si="3"/>
        <v>0.62073473519426159</v>
      </c>
      <c r="O13" s="328">
        <f t="shared" si="4"/>
        <v>0.60358061263381391</v>
      </c>
      <c r="P13" s="328"/>
      <c r="Q13" s="328">
        <f t="shared" si="5"/>
        <v>0.61157903137016856</v>
      </c>
      <c r="R13" s="328">
        <f t="shared" si="6"/>
        <v>0.9708332099733985</v>
      </c>
      <c r="S13" s="327"/>
      <c r="T13" s="328">
        <f t="shared" si="7"/>
        <v>0.61785665812617019</v>
      </c>
      <c r="U13" s="328">
        <f t="shared" si="8"/>
        <v>0.7210359772726882</v>
      </c>
    </row>
    <row r="14" spans="1:21" x14ac:dyDescent="0.2">
      <c r="A14" s="329" t="str">
        <f>name!D9</f>
        <v>24 Business, media and public service professionals</v>
      </c>
      <c r="B14" s="330">
        <v>23.329131534554175</v>
      </c>
      <c r="C14" s="330">
        <v>34.408832727101583</v>
      </c>
      <c r="D14" s="330">
        <f t="shared" si="0"/>
        <v>57.737964261655762</v>
      </c>
      <c r="E14" s="331"/>
      <c r="F14" s="330">
        <v>29.851532107312661</v>
      </c>
      <c r="G14" s="330">
        <v>37.470661484166961</v>
      </c>
      <c r="H14" s="330">
        <f t="shared" si="1"/>
        <v>67.322193591479618</v>
      </c>
      <c r="I14" s="331"/>
      <c r="J14" s="330">
        <v>37.303747892075826</v>
      </c>
      <c r="K14" s="330">
        <v>46.198846141147392</v>
      </c>
      <c r="L14" s="330">
        <f t="shared" si="2"/>
        <v>83.502594033223218</v>
      </c>
      <c r="M14" s="236"/>
      <c r="N14" s="328">
        <f t="shared" si="3"/>
        <v>5.054246181814448</v>
      </c>
      <c r="O14" s="328">
        <f t="shared" si="4"/>
        <v>1.4968092181785408</v>
      </c>
      <c r="P14" s="328"/>
      <c r="Q14" s="328">
        <f t="shared" si="5"/>
        <v>1.7195157484018786</v>
      </c>
      <c r="R14" s="328">
        <f t="shared" si="6"/>
        <v>1.4057662992217335</v>
      </c>
      <c r="S14" s="327"/>
      <c r="T14" s="328">
        <f t="shared" si="7"/>
        <v>3.1191579975671901</v>
      </c>
      <c r="U14" s="328">
        <f t="shared" si="8"/>
        <v>1.446277124175066</v>
      </c>
    </row>
    <row r="15" spans="1:21" x14ac:dyDescent="0.2">
      <c r="A15" s="329" t="str">
        <f>name!D10</f>
        <v>31 Science, engineering and technology associate professionals</v>
      </c>
      <c r="B15" s="330">
        <v>4.7753345792524247</v>
      </c>
      <c r="C15" s="330">
        <v>10.719833909804809</v>
      </c>
      <c r="D15" s="330">
        <f t="shared" si="0"/>
        <v>15.495168489057233</v>
      </c>
      <c r="E15" s="331"/>
      <c r="F15" s="330">
        <v>5.7696813102675133</v>
      </c>
      <c r="G15" s="330">
        <v>12.602651998065593</v>
      </c>
      <c r="H15" s="330">
        <f t="shared" si="1"/>
        <v>18.372333308333104</v>
      </c>
      <c r="I15" s="331"/>
      <c r="J15" s="330">
        <v>7.0047409168201789</v>
      </c>
      <c r="K15" s="330">
        <v>10.611954146631591</v>
      </c>
      <c r="L15" s="330">
        <f t="shared" si="2"/>
        <v>17.616695063451772</v>
      </c>
      <c r="M15" s="236"/>
      <c r="N15" s="328">
        <f t="shared" si="3"/>
        <v>3.8555246492438355</v>
      </c>
      <c r="O15" s="328">
        <f t="shared" si="4"/>
        <v>1.3015328010546279</v>
      </c>
      <c r="P15" s="328"/>
      <c r="Q15" s="328">
        <f t="shared" si="5"/>
        <v>3.2891676028966366</v>
      </c>
      <c r="R15" s="328">
        <f t="shared" si="6"/>
        <v>-1.1396307956998863</v>
      </c>
      <c r="S15" s="327"/>
      <c r="T15" s="328">
        <f t="shared" si="7"/>
        <v>3.4650334639275249</v>
      </c>
      <c r="U15" s="328">
        <f t="shared" si="8"/>
        <v>-0.27960087272583811</v>
      </c>
    </row>
    <row r="16" spans="1:21" x14ac:dyDescent="0.2">
      <c r="A16" s="329" t="str">
        <f>name!D11</f>
        <v>32 Health and social care associate professionals</v>
      </c>
      <c r="B16" s="330">
        <v>10.09935473183025</v>
      </c>
      <c r="C16" s="330">
        <v>2.6081296876100293</v>
      </c>
      <c r="D16" s="330">
        <f t="shared" si="0"/>
        <v>12.707484419440279</v>
      </c>
      <c r="E16" s="331"/>
      <c r="F16" s="330">
        <v>11.696346794052676</v>
      </c>
      <c r="G16" s="330">
        <v>3.006480564146885</v>
      </c>
      <c r="H16" s="330">
        <f t="shared" si="1"/>
        <v>14.702827358199562</v>
      </c>
      <c r="I16" s="331"/>
      <c r="J16" s="330">
        <v>12.775268428072062</v>
      </c>
      <c r="K16" s="330">
        <v>2.7920022577968115</v>
      </c>
      <c r="L16" s="330">
        <f t="shared" si="2"/>
        <v>15.567270685868873</v>
      </c>
      <c r="M16" s="236"/>
      <c r="N16" s="328">
        <f t="shared" si="3"/>
        <v>2.9796287825653467</v>
      </c>
      <c r="O16" s="328">
        <f t="shared" si="4"/>
        <v>0.58996410450979919</v>
      </c>
      <c r="P16" s="328"/>
      <c r="Q16" s="328">
        <f t="shared" si="5"/>
        <v>2.8835268832928085</v>
      </c>
      <c r="R16" s="328">
        <f t="shared" si="6"/>
        <v>-0.49219243246965139</v>
      </c>
      <c r="S16" s="327"/>
      <c r="T16" s="328">
        <f t="shared" si="7"/>
        <v>2.9599337316154273</v>
      </c>
      <c r="U16" s="328">
        <f t="shared" si="8"/>
        <v>0.38159867251259527</v>
      </c>
    </row>
    <row r="17" spans="1:21" x14ac:dyDescent="0.2">
      <c r="A17" s="329" t="str">
        <f>name!D12</f>
        <v>33 Protective service occupations</v>
      </c>
      <c r="B17" s="330">
        <v>2.1869497251759333</v>
      </c>
      <c r="C17" s="330">
        <v>8.0582778342148007</v>
      </c>
      <c r="D17" s="330">
        <f t="shared" si="0"/>
        <v>10.245227559390734</v>
      </c>
      <c r="E17" s="331"/>
      <c r="F17" s="330">
        <v>2.6118520592580938</v>
      </c>
      <c r="G17" s="330">
        <v>7.5785391566407831</v>
      </c>
      <c r="H17" s="330">
        <f t="shared" si="1"/>
        <v>10.190391215898877</v>
      </c>
      <c r="I17" s="331"/>
      <c r="J17" s="330">
        <v>4.5767686164609982</v>
      </c>
      <c r="K17" s="330">
        <v>9.3897920371263535</v>
      </c>
      <c r="L17" s="330">
        <f t="shared" si="2"/>
        <v>13.966560653587351</v>
      </c>
      <c r="M17" s="236"/>
      <c r="N17" s="328">
        <f t="shared" si="3"/>
        <v>3.6148386203622929</v>
      </c>
      <c r="O17" s="328">
        <f t="shared" si="4"/>
        <v>3.8103588210316897</v>
      </c>
      <c r="P17" s="328"/>
      <c r="Q17" s="328">
        <f t="shared" si="5"/>
        <v>-1.2200840304543159</v>
      </c>
      <c r="R17" s="328">
        <f t="shared" si="6"/>
        <v>1.4389390615572317</v>
      </c>
      <c r="S17" s="327"/>
      <c r="T17" s="328">
        <f t="shared" si="7"/>
        <v>-0.10727750766408306</v>
      </c>
      <c r="U17" s="328">
        <f t="shared" si="8"/>
        <v>2.1237077952086736</v>
      </c>
    </row>
    <row r="18" spans="1:21" x14ac:dyDescent="0.2">
      <c r="A18" s="329" t="str">
        <f>name!D13</f>
        <v>34 Culture, media and sports occupations</v>
      </c>
      <c r="B18" s="330">
        <v>10.154717664073546</v>
      </c>
      <c r="C18" s="330">
        <v>12.293731325657351</v>
      </c>
      <c r="D18" s="330">
        <f t="shared" si="0"/>
        <v>22.448448989730899</v>
      </c>
      <c r="E18" s="331"/>
      <c r="F18" s="330">
        <v>10.478532390284252</v>
      </c>
      <c r="G18" s="330">
        <v>10.244518759580663</v>
      </c>
      <c r="H18" s="330">
        <f t="shared" si="1"/>
        <v>20.723051149864915</v>
      </c>
      <c r="I18" s="331"/>
      <c r="J18" s="330">
        <v>10.91747888393906</v>
      </c>
      <c r="K18" s="330">
        <v>11.821344092933405</v>
      </c>
      <c r="L18" s="330">
        <f t="shared" si="2"/>
        <v>22.738822976872463</v>
      </c>
      <c r="M18" s="236"/>
      <c r="N18" s="328">
        <f t="shared" si="3"/>
        <v>0.62977958454482064</v>
      </c>
      <c r="O18" s="328">
        <f t="shared" si="4"/>
        <v>0.27395084297638927</v>
      </c>
      <c r="P18" s="327"/>
      <c r="Q18" s="328">
        <f t="shared" si="5"/>
        <v>-3.5812340080632943</v>
      </c>
      <c r="R18" s="328">
        <f t="shared" si="6"/>
        <v>0.95899524770099998</v>
      </c>
      <c r="S18" s="327"/>
      <c r="T18" s="328">
        <f t="shared" si="7"/>
        <v>-1.5867732068172602</v>
      </c>
      <c r="U18" s="328">
        <f t="shared" si="8"/>
        <v>0.62076590898481054</v>
      </c>
    </row>
    <row r="19" spans="1:21" x14ac:dyDescent="0.2">
      <c r="A19" s="329" t="str">
        <f>name!D14</f>
        <v>35 Business and public service associate professionals</v>
      </c>
      <c r="B19" s="330">
        <v>27.030109487559699</v>
      </c>
      <c r="C19" s="330">
        <v>30.135913725207796</v>
      </c>
      <c r="D19" s="330">
        <f t="shared" si="0"/>
        <v>57.166023212767499</v>
      </c>
      <c r="E19" s="331"/>
      <c r="F19" s="330">
        <v>29.019166493755165</v>
      </c>
      <c r="G19" s="330">
        <v>31.07790018991216</v>
      </c>
      <c r="H19" s="330">
        <f t="shared" si="1"/>
        <v>60.097066683667322</v>
      </c>
      <c r="I19" s="331"/>
      <c r="J19" s="330">
        <v>31.308769978615686</v>
      </c>
      <c r="K19" s="330">
        <v>29.328547744682947</v>
      </c>
      <c r="L19" s="330">
        <f t="shared" si="2"/>
        <v>60.637317723298636</v>
      </c>
      <c r="M19" s="236"/>
      <c r="N19" s="328">
        <f t="shared" si="3"/>
        <v>1.4302336419144579</v>
      </c>
      <c r="O19" s="328">
        <f t="shared" si="4"/>
        <v>0.50756191377152593</v>
      </c>
      <c r="P19" s="327"/>
      <c r="Q19" s="328">
        <f t="shared" si="5"/>
        <v>0.61748571565183319</v>
      </c>
      <c r="R19" s="328">
        <f t="shared" si="6"/>
        <v>-0.38549235865481535</v>
      </c>
      <c r="S19" s="327"/>
      <c r="T19" s="328">
        <f t="shared" si="7"/>
        <v>1.0050431913041225</v>
      </c>
      <c r="U19" s="328">
        <f t="shared" si="8"/>
        <v>5.9680965143238396E-2</v>
      </c>
    </row>
    <row r="20" spans="1:21" x14ac:dyDescent="0.2">
      <c r="A20" s="329" t="str">
        <f>name!D15</f>
        <v>41 Administrative occupations</v>
      </c>
      <c r="B20" s="330">
        <v>53.867194900969992</v>
      </c>
      <c r="C20" s="330">
        <v>18.298943668710727</v>
      </c>
      <c r="D20" s="330">
        <f t="shared" si="0"/>
        <v>72.166138569680726</v>
      </c>
      <c r="E20" s="331"/>
      <c r="F20" s="330">
        <v>50.741953143628976</v>
      </c>
      <c r="G20" s="330">
        <v>19.198886990863684</v>
      </c>
      <c r="H20" s="330">
        <f t="shared" si="1"/>
        <v>69.94084013449266</v>
      </c>
      <c r="I20" s="331"/>
      <c r="J20" s="330">
        <v>39.450731223427724</v>
      </c>
      <c r="K20" s="330">
        <v>18.995570472057207</v>
      </c>
      <c r="L20" s="330">
        <f t="shared" si="2"/>
        <v>58.446301695484934</v>
      </c>
      <c r="M20" s="236"/>
      <c r="N20" s="328">
        <f t="shared" si="3"/>
        <v>-1.1882561499764077</v>
      </c>
      <c r="O20" s="328">
        <f t="shared" si="4"/>
        <v>-1.6640030381590898</v>
      </c>
      <c r="P20" s="327"/>
      <c r="Q20" s="328">
        <f t="shared" si="5"/>
        <v>0.96480397167664211</v>
      </c>
      <c r="R20" s="328">
        <f t="shared" si="6"/>
        <v>-7.0951412176789574E-2</v>
      </c>
      <c r="S20" s="327"/>
      <c r="T20" s="328">
        <f t="shared" si="7"/>
        <v>-0.62446600020440446</v>
      </c>
      <c r="U20" s="328">
        <f t="shared" si="8"/>
        <v>-1.189807347360361</v>
      </c>
    </row>
    <row r="21" spans="1:21" x14ac:dyDescent="0.2">
      <c r="A21" s="329" t="str">
        <f>name!D16</f>
        <v>42 Secretarial and related occupations</v>
      </c>
      <c r="B21" s="330">
        <v>20.785274578987529</v>
      </c>
      <c r="C21" s="330">
        <v>1.0168323182343693</v>
      </c>
      <c r="D21" s="330">
        <f t="shared" si="0"/>
        <v>21.802106897221897</v>
      </c>
      <c r="E21" s="331"/>
      <c r="F21" s="330">
        <v>17.719374670082292</v>
      </c>
      <c r="G21" s="330">
        <v>0.71911521794111299</v>
      </c>
      <c r="H21" s="330">
        <f t="shared" si="1"/>
        <v>18.438489888023405</v>
      </c>
      <c r="I21" s="331"/>
      <c r="J21" s="330">
        <v>13.755266295997265</v>
      </c>
      <c r="K21" s="330">
        <v>1.1229885767190426</v>
      </c>
      <c r="L21" s="330">
        <f t="shared" si="2"/>
        <v>14.878254872716308</v>
      </c>
      <c r="M21" s="236"/>
      <c r="N21" s="328">
        <f t="shared" si="3"/>
        <v>-3.1413247051855775</v>
      </c>
      <c r="O21" s="328">
        <f t="shared" si="4"/>
        <v>-1.6740749925363341</v>
      </c>
      <c r="P21" s="327"/>
      <c r="Q21" s="328">
        <f t="shared" si="5"/>
        <v>-6.6939450177031956</v>
      </c>
      <c r="R21" s="328">
        <f t="shared" si="6"/>
        <v>3.0161046674519465</v>
      </c>
      <c r="S21" s="327"/>
      <c r="T21" s="328">
        <f t="shared" si="7"/>
        <v>-3.295790995289849</v>
      </c>
      <c r="U21" s="328">
        <f t="shared" si="8"/>
        <v>-1.4200841765729</v>
      </c>
    </row>
    <row r="22" spans="1:21" x14ac:dyDescent="0.2">
      <c r="A22" s="329" t="str">
        <f>name!D17</f>
        <v>51 Skilled agricultural and related trades</v>
      </c>
      <c r="B22" s="330">
        <v>1.8768602493406097</v>
      </c>
      <c r="C22" s="330">
        <v>6.5270868214511761</v>
      </c>
      <c r="D22" s="330">
        <f t="shared" si="0"/>
        <v>8.4039470707917854</v>
      </c>
      <c r="E22" s="331"/>
      <c r="F22" s="330">
        <v>1.7372380196571466</v>
      </c>
      <c r="G22" s="330">
        <v>5.2942190674376768</v>
      </c>
      <c r="H22" s="330">
        <f t="shared" si="1"/>
        <v>7.0314570870948234</v>
      </c>
      <c r="I22" s="331"/>
      <c r="J22" s="330">
        <v>2.6139378722189606</v>
      </c>
      <c r="K22" s="330">
        <v>6.271319943572335</v>
      </c>
      <c r="L22" s="330">
        <f t="shared" si="2"/>
        <v>8.8852578157912951</v>
      </c>
      <c r="M22" s="236"/>
      <c r="N22" s="328">
        <f t="shared" si="3"/>
        <v>-1.5341854746711125</v>
      </c>
      <c r="O22" s="328">
        <f t="shared" si="4"/>
        <v>2.7611752163789083</v>
      </c>
      <c r="P22" s="327"/>
      <c r="Q22" s="328">
        <f t="shared" si="5"/>
        <v>-4.1004644941733837</v>
      </c>
      <c r="R22" s="328">
        <f t="shared" si="6"/>
        <v>1.1355413182942975</v>
      </c>
      <c r="S22" s="327"/>
      <c r="T22" s="328">
        <f t="shared" si="7"/>
        <v>-3.5033126972790818</v>
      </c>
      <c r="U22" s="328">
        <f t="shared" si="8"/>
        <v>1.5722283168687845</v>
      </c>
    </row>
    <row r="23" spans="1:21" x14ac:dyDescent="0.2">
      <c r="A23" s="329" t="str">
        <f>name!D18</f>
        <v>52 Skilled metal, electrical and electronic trades</v>
      </c>
      <c r="B23" s="330">
        <v>0.6957905152358993</v>
      </c>
      <c r="C23" s="330">
        <v>28.174687346071202</v>
      </c>
      <c r="D23" s="330">
        <f t="shared" si="0"/>
        <v>28.870477861307101</v>
      </c>
      <c r="E23" s="331"/>
      <c r="F23" s="330">
        <v>0.86611894068007089</v>
      </c>
      <c r="G23" s="330">
        <v>24.261976877609595</v>
      </c>
      <c r="H23" s="330">
        <f t="shared" si="1"/>
        <v>25.128095818289665</v>
      </c>
      <c r="I23" s="331"/>
      <c r="J23" s="330">
        <v>2.5181215537684758</v>
      </c>
      <c r="K23" s="330">
        <v>22.642415247289783</v>
      </c>
      <c r="L23" s="330">
        <f t="shared" si="2"/>
        <v>25.16053680105826</v>
      </c>
      <c r="M23" s="236"/>
      <c r="N23" s="328">
        <f t="shared" si="3"/>
        <v>4.4767865612818092</v>
      </c>
      <c r="O23" s="328">
        <f t="shared" si="4"/>
        <v>7.3742006218822986</v>
      </c>
      <c r="P23" s="327"/>
      <c r="Q23" s="328">
        <f t="shared" si="5"/>
        <v>-2.9460052198953535</v>
      </c>
      <c r="R23" s="328">
        <f t="shared" si="6"/>
        <v>-0.45951073166027312</v>
      </c>
      <c r="S23" s="327"/>
      <c r="T23" s="328">
        <f t="shared" si="7"/>
        <v>-2.7384645484242132</v>
      </c>
      <c r="U23" s="328">
        <f t="shared" si="8"/>
        <v>8.6016476722683421E-3</v>
      </c>
    </row>
    <row r="24" spans="1:21" x14ac:dyDescent="0.2">
      <c r="A24" s="329" t="str">
        <f>name!D19</f>
        <v>53 Skilled construction and building trades</v>
      </c>
      <c r="B24" s="330">
        <v>0.38518348580356071</v>
      </c>
      <c r="C24" s="330">
        <v>24.137234773278998</v>
      </c>
      <c r="D24" s="330">
        <f t="shared" si="0"/>
        <v>24.52241825908256</v>
      </c>
      <c r="E24" s="331"/>
      <c r="F24" s="330">
        <v>0.41329507279645616</v>
      </c>
      <c r="G24" s="330">
        <v>20.00590119581107</v>
      </c>
      <c r="H24" s="330">
        <f t="shared" si="1"/>
        <v>20.419196268607525</v>
      </c>
      <c r="I24" s="331"/>
      <c r="J24" s="330">
        <v>0.47474786684368797</v>
      </c>
      <c r="K24" s="330">
        <v>19.886417611282361</v>
      </c>
      <c r="L24" s="330">
        <f t="shared" si="2"/>
        <v>20.36116547812605</v>
      </c>
      <c r="M24" s="236"/>
      <c r="N24" s="328">
        <f t="shared" si="3"/>
        <v>1.4188107698109853</v>
      </c>
      <c r="O24" s="328">
        <f t="shared" si="4"/>
        <v>0.92843046787682848</v>
      </c>
      <c r="P24" s="327"/>
      <c r="Q24" s="328">
        <f t="shared" si="5"/>
        <v>-3.6849574160677023</v>
      </c>
      <c r="R24" s="328">
        <f t="shared" si="6"/>
        <v>-3.9927514978366219E-2</v>
      </c>
      <c r="S24" s="327"/>
      <c r="T24" s="328">
        <f t="shared" si="7"/>
        <v>-3.5959965470597988</v>
      </c>
      <c r="U24" s="328">
        <f t="shared" si="8"/>
        <v>-1.8971656057709119E-2</v>
      </c>
    </row>
    <row r="25" spans="1:21" x14ac:dyDescent="0.2">
      <c r="A25" s="329" t="str">
        <f>name!D20</f>
        <v>54 Textiles, printing and other skilled trades</v>
      </c>
      <c r="B25" s="330">
        <v>7.3413707281093954</v>
      </c>
      <c r="C25" s="330">
        <v>12.274302864450659</v>
      </c>
      <c r="D25" s="330">
        <f t="shared" si="0"/>
        <v>19.615673592560054</v>
      </c>
      <c r="E25" s="331"/>
      <c r="F25" s="330">
        <v>6.848681996037099</v>
      </c>
      <c r="G25" s="330">
        <v>9.0961331920357527</v>
      </c>
      <c r="H25" s="330">
        <f t="shared" si="1"/>
        <v>15.944815188072852</v>
      </c>
      <c r="I25" s="331"/>
      <c r="J25" s="330">
        <v>7.6864838569079899</v>
      </c>
      <c r="K25" s="330">
        <v>9.68997093403744</v>
      </c>
      <c r="L25" s="330">
        <f t="shared" si="2"/>
        <v>17.376454790945431</v>
      </c>
      <c r="M25" s="236"/>
      <c r="N25" s="328">
        <f t="shared" si="3"/>
        <v>-1.3797795348635344</v>
      </c>
      <c r="O25" s="328">
        <f t="shared" si="4"/>
        <v>0.77234880270833361</v>
      </c>
      <c r="P25" s="327"/>
      <c r="Q25" s="328">
        <f t="shared" si="5"/>
        <v>-5.8171137874371119</v>
      </c>
      <c r="R25" s="328">
        <f t="shared" si="6"/>
        <v>0.42250355384423344</v>
      </c>
      <c r="S25" s="327"/>
      <c r="T25" s="328">
        <f t="shared" si="7"/>
        <v>-4.0592182849959135</v>
      </c>
      <c r="U25" s="328">
        <f t="shared" si="8"/>
        <v>0.5748620742074495</v>
      </c>
    </row>
    <row r="26" spans="1:21" x14ac:dyDescent="0.2">
      <c r="A26" s="329" t="str">
        <f>name!D21</f>
        <v>61 Caring personal service occupations</v>
      </c>
      <c r="B26" s="330">
        <v>46.971325870010809</v>
      </c>
      <c r="C26" s="330">
        <v>11.159679897500324</v>
      </c>
      <c r="D26" s="330">
        <f t="shared" si="0"/>
        <v>58.131005767511134</v>
      </c>
      <c r="E26" s="331"/>
      <c r="F26" s="330">
        <v>46.129982324719528</v>
      </c>
      <c r="G26" s="330">
        <v>10.861358444176028</v>
      </c>
      <c r="H26" s="330">
        <f t="shared" si="1"/>
        <v>56.991340768895554</v>
      </c>
      <c r="I26" s="331"/>
      <c r="J26" s="330">
        <v>50.344774626592219</v>
      </c>
      <c r="K26" s="330">
        <v>15.534562716475095</v>
      </c>
      <c r="L26" s="330">
        <f t="shared" si="2"/>
        <v>65.87933734306732</v>
      </c>
      <c r="M26" s="236"/>
      <c r="N26" s="328">
        <f t="shared" si="3"/>
        <v>-0.36083169720422248</v>
      </c>
      <c r="O26" s="328">
        <f t="shared" si="4"/>
        <v>0.58458016233084997</v>
      </c>
      <c r="P26" s="327"/>
      <c r="Q26" s="328">
        <f t="shared" si="5"/>
        <v>-0.54045187342024459</v>
      </c>
      <c r="R26" s="328">
        <f t="shared" si="6"/>
        <v>2.4143923161016323</v>
      </c>
      <c r="S26" s="327"/>
      <c r="T26" s="328">
        <f t="shared" si="7"/>
        <v>-0.39521383918823538</v>
      </c>
      <c r="U26" s="328">
        <f t="shared" si="8"/>
        <v>0.97085253593889309</v>
      </c>
    </row>
    <row r="27" spans="1:21" x14ac:dyDescent="0.2">
      <c r="A27" s="329" t="str">
        <f>name!D22</f>
        <v>62 Leisure, travel and related personal service occupations</v>
      </c>
      <c r="B27" s="330">
        <v>15.945819037445562</v>
      </c>
      <c r="C27" s="330">
        <v>6.5422404659955298</v>
      </c>
      <c r="D27" s="330">
        <f t="shared" si="0"/>
        <v>22.488059503441093</v>
      </c>
      <c r="E27" s="331"/>
      <c r="F27" s="330">
        <v>14.917913914685251</v>
      </c>
      <c r="G27" s="330">
        <v>6.078502525692854</v>
      </c>
      <c r="H27" s="330">
        <f t="shared" si="1"/>
        <v>20.996416440378106</v>
      </c>
      <c r="I27" s="331"/>
      <c r="J27" s="330">
        <v>14.637544416966168</v>
      </c>
      <c r="K27" s="330">
        <v>7.2339990347556036</v>
      </c>
      <c r="L27" s="330">
        <f t="shared" si="2"/>
        <v>21.87154345172177</v>
      </c>
      <c r="M27" s="236"/>
      <c r="N27" s="328">
        <f t="shared" si="3"/>
        <v>-1.3238371360939416</v>
      </c>
      <c r="O27" s="328">
        <f t="shared" si="4"/>
        <v>-0.1264067297450322</v>
      </c>
      <c r="P27" s="327"/>
      <c r="Q27" s="328">
        <f t="shared" si="5"/>
        <v>-1.4596683298291002</v>
      </c>
      <c r="R27" s="328">
        <f t="shared" si="6"/>
        <v>1.1669809037831325</v>
      </c>
      <c r="S27" s="327"/>
      <c r="T27" s="328">
        <f t="shared" si="7"/>
        <v>-1.3632761051868836</v>
      </c>
      <c r="U27" s="328">
        <f t="shared" si="8"/>
        <v>0.27260174239143176</v>
      </c>
    </row>
    <row r="28" spans="1:21" x14ac:dyDescent="0.2">
      <c r="A28" s="329" t="str">
        <f>name!D23</f>
        <v>63 Community and civil enforcement occupations</v>
      </c>
      <c r="B28" s="330">
        <v>0.21834955230281078</v>
      </c>
      <c r="C28" s="330">
        <v>0.70489847310324194</v>
      </c>
      <c r="D28" s="330">
        <f t="shared" si="0"/>
        <v>0.92324802540605266</v>
      </c>
      <c r="E28" s="331"/>
      <c r="F28" s="330">
        <v>0.22460251262381611</v>
      </c>
      <c r="G28" s="330">
        <v>0.71587013483442929</v>
      </c>
      <c r="H28" s="330">
        <f t="shared" si="1"/>
        <v>0.94047264745824544</v>
      </c>
      <c r="I28" s="331"/>
      <c r="J28" s="330">
        <v>0.28941098583168323</v>
      </c>
      <c r="K28" s="330">
        <v>0.51067070535934178</v>
      </c>
      <c r="L28" s="330">
        <f>SUM(J28:K28)</f>
        <v>0.80008169119102501</v>
      </c>
      <c r="M28" s="236"/>
      <c r="N28" s="328">
        <f t="shared" si="3"/>
        <v>0.56629743156491053</v>
      </c>
      <c r="O28" s="328">
        <f t="shared" si="4"/>
        <v>1.7044666864976632</v>
      </c>
      <c r="P28" s="327"/>
      <c r="Q28" s="328">
        <f t="shared" si="5"/>
        <v>0.30937742560452897</v>
      </c>
      <c r="R28" s="328">
        <f t="shared" si="6"/>
        <v>-2.2266610144107579</v>
      </c>
      <c r="S28" s="327"/>
      <c r="T28" s="328">
        <f t="shared" si="7"/>
        <v>0.37037721451724792</v>
      </c>
      <c r="U28" s="328">
        <f t="shared" si="8"/>
        <v>-1.072004163665452</v>
      </c>
    </row>
    <row r="29" spans="1:21" x14ac:dyDescent="0.2">
      <c r="A29" s="329" t="str">
        <f>name!D24</f>
        <v>71 Sales occupations</v>
      </c>
      <c r="B29" s="330">
        <v>31.041425053870949</v>
      </c>
      <c r="C29" s="330">
        <v>23.436538539019487</v>
      </c>
      <c r="D29" s="330">
        <f t="shared" si="0"/>
        <v>54.477963592890433</v>
      </c>
      <c r="E29" s="331"/>
      <c r="F29" s="330">
        <v>28.919583868434842</v>
      </c>
      <c r="G29" s="330">
        <v>23.469168887696629</v>
      </c>
      <c r="H29" s="330">
        <f t="shared" si="1"/>
        <v>52.388752756131467</v>
      </c>
      <c r="I29" s="331"/>
      <c r="J29" s="330">
        <v>24.148704536285752</v>
      </c>
      <c r="K29" s="330">
        <v>22.293960359269587</v>
      </c>
      <c r="L29" s="330">
        <f t="shared" si="2"/>
        <v>46.442664895555339</v>
      </c>
      <c r="M29" s="236"/>
      <c r="N29" s="328">
        <f t="shared" si="3"/>
        <v>-1.4060927884049668</v>
      </c>
      <c r="O29" s="328">
        <f t="shared" si="4"/>
        <v>-1.1947275840226035</v>
      </c>
      <c r="P29" s="327"/>
      <c r="Q29" s="328">
        <f t="shared" si="5"/>
        <v>2.7830211775037306E-2</v>
      </c>
      <c r="R29" s="328">
        <f t="shared" si="6"/>
        <v>-0.34189282207814919</v>
      </c>
      <c r="S29" s="327"/>
      <c r="T29" s="328">
        <f t="shared" si="7"/>
        <v>-0.77903677455052334</v>
      </c>
      <c r="U29" s="328">
        <f t="shared" si="8"/>
        <v>-0.79993923642364129</v>
      </c>
    </row>
    <row r="30" spans="1:21" x14ac:dyDescent="0.2">
      <c r="A30" s="329" t="str">
        <f>name!D25</f>
        <v>72 Customer service occupations</v>
      </c>
      <c r="B30" s="330">
        <v>8.4176988931226777</v>
      </c>
      <c r="C30" s="330">
        <v>4.7544500675695556</v>
      </c>
      <c r="D30" s="330">
        <f t="shared" si="0"/>
        <v>13.172148960692233</v>
      </c>
      <c r="E30" s="331"/>
      <c r="F30" s="330">
        <v>8.9805283391063746</v>
      </c>
      <c r="G30" s="330">
        <v>4.7853641982697228</v>
      </c>
      <c r="H30" s="330">
        <f t="shared" si="1"/>
        <v>13.765892537376097</v>
      </c>
      <c r="I30" s="331"/>
      <c r="J30" s="330">
        <v>12.000904760624659</v>
      </c>
      <c r="K30" s="330">
        <v>7.8724559359145934</v>
      </c>
      <c r="L30" s="330">
        <f t="shared" si="2"/>
        <v>19.873360696539251</v>
      </c>
      <c r="M30" s="236"/>
      <c r="N30" s="328">
        <f t="shared" si="3"/>
        <v>1.302858504278781</v>
      </c>
      <c r="O30" s="328">
        <f t="shared" si="4"/>
        <v>1.9516221224020525</v>
      </c>
      <c r="P30" s="327"/>
      <c r="Q30" s="328">
        <f t="shared" si="5"/>
        <v>0.12970601956217021</v>
      </c>
      <c r="R30" s="328">
        <f t="shared" si="6"/>
        <v>3.3744034034049353</v>
      </c>
      <c r="S30" s="327"/>
      <c r="T30" s="328">
        <f t="shared" si="7"/>
        <v>0.88568527041952283</v>
      </c>
      <c r="U30" s="328">
        <f t="shared" si="8"/>
        <v>2.4781152385781935</v>
      </c>
    </row>
    <row r="31" spans="1:21" x14ac:dyDescent="0.2">
      <c r="A31" s="329" t="str">
        <f>name!D26</f>
        <v>81 Process, plant and machine operatives</v>
      </c>
      <c r="B31" s="330">
        <v>2.1736830533021827</v>
      </c>
      <c r="C31" s="330">
        <v>10.570279497514932</v>
      </c>
      <c r="D31" s="330">
        <f t="shared" si="0"/>
        <v>12.743962550817114</v>
      </c>
      <c r="E31" s="331"/>
      <c r="F31" s="330">
        <v>1.8863091923547008</v>
      </c>
      <c r="G31" s="330">
        <v>9.0533218421979722</v>
      </c>
      <c r="H31" s="330">
        <f t="shared" si="1"/>
        <v>10.939631034552672</v>
      </c>
      <c r="I31" s="331"/>
      <c r="J31" s="330">
        <v>2.2470511361744152</v>
      </c>
      <c r="K31" s="330">
        <v>11.171709418478757</v>
      </c>
      <c r="L31" s="330">
        <f t="shared" si="2"/>
        <v>13.418760554653172</v>
      </c>
      <c r="M31" s="236"/>
      <c r="N31" s="328">
        <f t="shared" si="3"/>
        <v>-2.7961800472724119</v>
      </c>
      <c r="O31" s="328">
        <f t="shared" si="4"/>
        <v>1.1734760953552303</v>
      </c>
      <c r="P31" s="327"/>
      <c r="Q31" s="328">
        <f t="shared" si="5"/>
        <v>-3.0507848228268908</v>
      </c>
      <c r="R31" s="328">
        <f t="shared" si="6"/>
        <v>1.4115556322310985</v>
      </c>
      <c r="S31" s="327"/>
      <c r="T31" s="328">
        <f t="shared" si="7"/>
        <v>-3.0071685483466171</v>
      </c>
      <c r="U31" s="328">
        <f t="shared" si="8"/>
        <v>1.371058632450084</v>
      </c>
    </row>
    <row r="32" spans="1:21" x14ac:dyDescent="0.2">
      <c r="A32" s="329" t="str">
        <f>name!D27</f>
        <v>82 Transport and mobile machine drivers and operatives</v>
      </c>
      <c r="B32" s="330">
        <v>2.4457569031467372</v>
      </c>
      <c r="C32" s="330">
        <v>22.673964175412642</v>
      </c>
      <c r="D32" s="330">
        <f t="shared" si="0"/>
        <v>25.11972107855938</v>
      </c>
      <c r="E32" s="331"/>
      <c r="F32" s="330">
        <v>2.0113905335174942</v>
      </c>
      <c r="G32" s="330">
        <v>20.692313596465656</v>
      </c>
      <c r="H32" s="330">
        <f t="shared" si="1"/>
        <v>22.703704129983151</v>
      </c>
      <c r="I32" s="331"/>
      <c r="J32" s="330">
        <v>3.4477223541156352</v>
      </c>
      <c r="K32" s="330">
        <v>21.182261348268732</v>
      </c>
      <c r="L32" s="330">
        <f t="shared" si="2"/>
        <v>24.629983702384365</v>
      </c>
      <c r="M32" s="236"/>
      <c r="N32" s="328">
        <f t="shared" si="3"/>
        <v>-3.835091488495479</v>
      </c>
      <c r="O32" s="328">
        <f t="shared" si="4"/>
        <v>3.6578966466487284</v>
      </c>
      <c r="P32" s="327"/>
      <c r="Q32" s="328">
        <f t="shared" si="5"/>
        <v>-1.8124736126214458</v>
      </c>
      <c r="R32" s="328">
        <f t="shared" si="6"/>
        <v>0.1561337293054077</v>
      </c>
      <c r="S32" s="327"/>
      <c r="T32" s="328">
        <f t="shared" si="7"/>
        <v>-2.0021875841621184</v>
      </c>
      <c r="U32" s="328">
        <f t="shared" si="8"/>
        <v>0.54438617047769533</v>
      </c>
    </row>
    <row r="33" spans="1:21" x14ac:dyDescent="0.2">
      <c r="A33" s="329" t="str">
        <f>name!D28</f>
        <v>91 Elementary trades and related occupations</v>
      </c>
      <c r="B33" s="330">
        <v>2.1833082963248804</v>
      </c>
      <c r="C33" s="330">
        <v>9.0274734612371894</v>
      </c>
      <c r="D33" s="330">
        <f t="shared" si="0"/>
        <v>11.210781757562071</v>
      </c>
      <c r="E33" s="331"/>
      <c r="F33" s="330">
        <v>1.4799762098318061</v>
      </c>
      <c r="G33" s="330">
        <v>7.2382321104310012</v>
      </c>
      <c r="H33" s="330">
        <f t="shared" si="1"/>
        <v>8.7182083202628071</v>
      </c>
      <c r="I33" s="331"/>
      <c r="J33" s="330">
        <v>1.247976840708076</v>
      </c>
      <c r="K33" s="330">
        <v>5.8118965088733869</v>
      </c>
      <c r="L33" s="330">
        <f t="shared" si="2"/>
        <v>7.059873349581463</v>
      </c>
      <c r="M33" s="236"/>
      <c r="N33" s="328">
        <f t="shared" si="3"/>
        <v>-7.4816382787331932</v>
      </c>
      <c r="O33" s="328">
        <f t="shared" si="4"/>
        <v>-1.1302461818607501</v>
      </c>
      <c r="P33" s="327"/>
      <c r="Q33" s="328">
        <f t="shared" si="5"/>
        <v>-4.3217425566999594</v>
      </c>
      <c r="R33" s="328">
        <f t="shared" si="6"/>
        <v>-1.4524819045375059</v>
      </c>
      <c r="S33" s="327"/>
      <c r="T33" s="328">
        <f t="shared" si="7"/>
        <v>-4.9048716777156054</v>
      </c>
      <c r="U33" s="328">
        <f t="shared" si="8"/>
        <v>-1.3967314942990194</v>
      </c>
    </row>
    <row r="34" spans="1:21" x14ac:dyDescent="0.2">
      <c r="A34" s="329" t="str">
        <f>name!D29</f>
        <v>92 Elementary administration and service occupations</v>
      </c>
      <c r="B34" s="330">
        <v>45.545871722346924</v>
      </c>
      <c r="C34" s="330">
        <v>40.520995390997307</v>
      </c>
      <c r="D34" s="330">
        <f t="shared" ref="D34" si="9">SUM(B34:C34)</f>
        <v>86.06686711334423</v>
      </c>
      <c r="E34" s="331"/>
      <c r="F34" s="330">
        <v>40.474360613831635</v>
      </c>
      <c r="G34" s="330">
        <v>35.621751203229472</v>
      </c>
      <c r="H34" s="330">
        <f t="shared" ref="H34" si="10">SUM(F34:G34)</f>
        <v>76.096111817061114</v>
      </c>
      <c r="I34" s="331"/>
      <c r="J34" s="330">
        <v>39.962668670625092</v>
      </c>
      <c r="K34" s="330">
        <v>36.425642315923795</v>
      </c>
      <c r="L34" s="330">
        <f t="shared" ref="L34" si="11">SUM(J34:K34)</f>
        <v>76.388310986548888</v>
      </c>
      <c r="M34" s="236"/>
      <c r="N34" s="328">
        <f t="shared" si="3"/>
        <v>-2.3333715648744202</v>
      </c>
      <c r="O34" s="328">
        <f t="shared" si="4"/>
        <v>-8.4783820026301804E-2</v>
      </c>
      <c r="P34" s="327"/>
      <c r="Q34" s="328">
        <f t="shared" si="5"/>
        <v>-2.5443478178612811</v>
      </c>
      <c r="R34" s="328">
        <f t="shared" si="6"/>
        <v>0.14888769931784562</v>
      </c>
      <c r="S34" s="327"/>
      <c r="T34" s="328">
        <f t="shared" si="7"/>
        <v>-2.4324736390408552</v>
      </c>
      <c r="U34" s="328">
        <f t="shared" si="8"/>
        <v>2.5553373789466427E-2</v>
      </c>
    </row>
    <row r="35" spans="1:21" x14ac:dyDescent="0.2">
      <c r="A35" s="329"/>
      <c r="B35" s="330"/>
      <c r="C35" s="330"/>
      <c r="D35" s="330"/>
      <c r="E35" s="331"/>
      <c r="F35" s="330"/>
      <c r="G35" s="330"/>
      <c r="H35" s="330"/>
      <c r="I35" s="331"/>
      <c r="J35" s="330"/>
      <c r="K35" s="330"/>
      <c r="L35" s="330"/>
      <c r="M35" s="236"/>
      <c r="N35" s="328"/>
      <c r="O35" s="328"/>
      <c r="P35" s="327"/>
      <c r="Q35" s="327"/>
      <c r="R35" s="327"/>
      <c r="S35" s="327"/>
      <c r="T35" s="327"/>
      <c r="U35" s="327"/>
    </row>
    <row r="36" spans="1:21" x14ac:dyDescent="0.2">
      <c r="A36" s="332" t="str">
        <f>name!D3</f>
        <v>All occupations</v>
      </c>
      <c r="B36" s="333">
        <f>SUM(B9:B34)</f>
        <v>413.51603949444313</v>
      </c>
      <c r="C36" s="333">
        <f t="shared" ref="C36:D36" si="12">SUM(C9:C34)</f>
        <v>451.48896050555686</v>
      </c>
      <c r="D36" s="333">
        <f t="shared" si="12"/>
        <v>865.00499999999965</v>
      </c>
      <c r="E36" s="333"/>
      <c r="F36" s="333">
        <f>SUM(F9:F34)</f>
        <v>423.54278214167107</v>
      </c>
      <c r="G36" s="333">
        <f t="shared" ref="G36:H36" si="13">SUM(G9:G34)</f>
        <v>441.09721785832886</v>
      </c>
      <c r="H36" s="333">
        <f t="shared" si="13"/>
        <v>864.63999999999987</v>
      </c>
      <c r="I36" s="333"/>
      <c r="J36" s="333">
        <f>SUM(J9:J34)</f>
        <v>451.97932849804113</v>
      </c>
      <c r="K36" s="333">
        <f t="shared" ref="K36:L36" si="14">SUM(K9:K34)</f>
        <v>473.49867150195905</v>
      </c>
      <c r="L36" s="333">
        <f t="shared" si="14"/>
        <v>925.47800000000018</v>
      </c>
      <c r="M36" s="258"/>
      <c r="N36" s="334">
        <f t="shared" si="3"/>
        <v>0.48031435091149266</v>
      </c>
      <c r="O36" s="334">
        <f>IF(F36&gt;0,(EXP(LN(J36/F36)/($J$6-$F$6))-1)*100,0)</f>
        <v>0.43415249624276786</v>
      </c>
      <c r="P36" s="335"/>
      <c r="Q36" s="334">
        <f t="shared" ref="Q36" si="15">IF(C36&gt;0,(EXP(LN(G36/C36)/($F$6-$B$6))-1)*100,0)</f>
        <v>-0.46462968192506615</v>
      </c>
      <c r="R36" s="334">
        <f t="shared" ref="R36" si="16">IF(G36&gt;0,(EXP(LN(K36/G36)/($J$6-$F$6))-1)*100,0)</f>
        <v>0.4736770336640328</v>
      </c>
      <c r="S36" s="335"/>
      <c r="T36" s="334">
        <f t="shared" ref="T36" si="17">IF(D36&gt;0,(EXP(LN(H36/D36)/($F$6-$B$6))-1)*100,0)</f>
        <v>-8.4406823586458124E-3</v>
      </c>
      <c r="U36" s="334">
        <f t="shared" ref="U36" si="18">IF(H36&gt;0,(EXP(LN(L36/H36)/($J$6-$F$6))-1)*100,0)</f>
        <v>0.45434319276140833</v>
      </c>
    </row>
    <row r="37" spans="1:21" x14ac:dyDescent="0.2">
      <c r="A37" s="237"/>
      <c r="B37" s="238"/>
      <c r="C37" s="238"/>
      <c r="D37" s="238"/>
      <c r="E37" s="238"/>
      <c r="F37" s="238"/>
      <c r="G37" s="238"/>
      <c r="H37" s="238"/>
      <c r="I37" s="238"/>
      <c r="J37" s="238"/>
      <c r="K37" s="238"/>
      <c r="L37" s="239"/>
      <c r="M37" s="236"/>
    </row>
    <row r="38" spans="1:2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84"/>
      <c r="M38" s="236"/>
    </row>
    <row r="39" spans="1:21" x14ac:dyDescent="0.2">
      <c r="A39" s="258"/>
      <c r="B39" s="241"/>
      <c r="C39" s="241"/>
      <c r="D39" s="241"/>
      <c r="E39" s="241"/>
      <c r="F39" s="241"/>
      <c r="G39" s="241"/>
      <c r="H39" s="241"/>
      <c r="I39" s="241"/>
      <c r="J39" s="241"/>
      <c r="K39" s="241"/>
      <c r="L39" s="236"/>
      <c r="M39" s="236"/>
    </row>
    <row r="40" spans="1:21" x14ac:dyDescent="0.2">
      <c r="A40" s="241"/>
      <c r="B40" s="375"/>
      <c r="C40" s="375"/>
      <c r="D40" s="375"/>
      <c r="E40" s="253"/>
      <c r="F40" s="375"/>
      <c r="G40" s="375"/>
      <c r="H40" s="375"/>
      <c r="I40" s="253"/>
      <c r="J40" s="375"/>
      <c r="K40" s="375"/>
      <c r="L40" s="375"/>
      <c r="M40" s="236"/>
    </row>
    <row r="41" spans="1:21" x14ac:dyDescent="0.2">
      <c r="A41" s="258"/>
      <c r="B41" s="259"/>
      <c r="C41" s="259"/>
      <c r="D41" s="259"/>
      <c r="E41" s="259"/>
      <c r="F41" s="259"/>
      <c r="G41" s="259"/>
      <c r="H41" s="259"/>
      <c r="I41" s="259"/>
      <c r="J41" s="259"/>
      <c r="K41" s="259"/>
      <c r="L41" s="259"/>
      <c r="M41" s="236"/>
    </row>
    <row r="42" spans="1:21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</row>
    <row r="43" spans="1:21" x14ac:dyDescent="0.2">
      <c r="A43" s="237"/>
      <c r="B43" s="322"/>
      <c r="C43" s="322"/>
      <c r="D43" s="322"/>
      <c r="E43" s="323"/>
      <c r="F43" s="322"/>
      <c r="G43" s="322"/>
      <c r="H43" s="322"/>
      <c r="I43" s="323"/>
      <c r="J43" s="322"/>
      <c r="K43" s="322"/>
      <c r="L43" s="322"/>
      <c r="M43" s="236"/>
    </row>
    <row r="44" spans="1:21" x14ac:dyDescent="0.2">
      <c r="A44" s="237"/>
      <c r="B44" s="322"/>
      <c r="C44" s="322"/>
      <c r="D44" s="322"/>
      <c r="E44" s="323"/>
      <c r="F44" s="322"/>
      <c r="G44" s="322"/>
      <c r="H44" s="322"/>
      <c r="I44" s="323"/>
      <c r="J44" s="322"/>
      <c r="K44" s="322"/>
      <c r="L44" s="322"/>
      <c r="M44" s="236"/>
    </row>
    <row r="45" spans="1:21" x14ac:dyDescent="0.2">
      <c r="A45" s="237"/>
      <c r="B45" s="322"/>
      <c r="C45" s="322"/>
      <c r="D45" s="322"/>
      <c r="E45" s="323"/>
      <c r="F45" s="322"/>
      <c r="G45" s="322"/>
      <c r="H45" s="322"/>
      <c r="I45" s="323"/>
      <c r="J45" s="322"/>
      <c r="K45" s="322"/>
      <c r="L45" s="322"/>
      <c r="M45" s="236"/>
    </row>
    <row r="46" spans="1:21" x14ac:dyDescent="0.2">
      <c r="A46" s="237"/>
      <c r="B46" s="322"/>
      <c r="C46" s="322"/>
      <c r="D46" s="322"/>
      <c r="E46" s="323"/>
      <c r="F46" s="322"/>
      <c r="G46" s="322"/>
      <c r="H46" s="322"/>
      <c r="I46" s="323"/>
      <c r="J46" s="322"/>
      <c r="K46" s="322"/>
      <c r="L46" s="322"/>
      <c r="M46" s="236"/>
    </row>
    <row r="47" spans="1:21" x14ac:dyDescent="0.2">
      <c r="A47" s="237"/>
      <c r="B47" s="322"/>
      <c r="C47" s="322"/>
      <c r="D47" s="322"/>
      <c r="E47" s="323"/>
      <c r="F47" s="322"/>
      <c r="G47" s="322"/>
      <c r="H47" s="322"/>
      <c r="I47" s="323"/>
      <c r="J47" s="322"/>
      <c r="K47" s="322"/>
      <c r="L47" s="322"/>
      <c r="M47" s="236"/>
    </row>
    <row r="48" spans="1:21" x14ac:dyDescent="0.2">
      <c r="A48" s="237"/>
      <c r="B48" s="322"/>
      <c r="C48" s="322"/>
      <c r="D48" s="322"/>
      <c r="E48" s="323"/>
      <c r="F48" s="322"/>
      <c r="G48" s="322"/>
      <c r="H48" s="322"/>
      <c r="I48" s="323"/>
      <c r="J48" s="322"/>
      <c r="K48" s="322"/>
      <c r="L48" s="322"/>
      <c r="M48" s="236"/>
    </row>
    <row r="49" spans="1:13" x14ac:dyDescent="0.2">
      <c r="A49" s="237"/>
      <c r="B49" s="322"/>
      <c r="C49" s="322"/>
      <c r="D49" s="322"/>
      <c r="E49" s="323"/>
      <c r="F49" s="322"/>
      <c r="G49" s="322"/>
      <c r="H49" s="322"/>
      <c r="I49" s="323"/>
      <c r="J49" s="322"/>
      <c r="K49" s="322"/>
      <c r="L49" s="322"/>
      <c r="M49" s="236"/>
    </row>
    <row r="50" spans="1:13" x14ac:dyDescent="0.2">
      <c r="A50" s="237"/>
      <c r="B50" s="322"/>
      <c r="C50" s="322"/>
      <c r="D50" s="322"/>
      <c r="E50" s="323"/>
      <c r="F50" s="322"/>
      <c r="G50" s="322"/>
      <c r="H50" s="322"/>
      <c r="I50" s="323"/>
      <c r="J50" s="322"/>
      <c r="K50" s="322"/>
      <c r="L50" s="322"/>
      <c r="M50" s="236"/>
    </row>
    <row r="51" spans="1:13" x14ac:dyDescent="0.2">
      <c r="A51" s="237"/>
      <c r="B51" s="322"/>
      <c r="C51" s="322"/>
      <c r="D51" s="322"/>
      <c r="E51" s="323"/>
      <c r="F51" s="322"/>
      <c r="G51" s="322"/>
      <c r="H51" s="322"/>
      <c r="I51" s="323"/>
      <c r="J51" s="322"/>
      <c r="K51" s="322"/>
      <c r="L51" s="322"/>
      <c r="M51" s="236"/>
    </row>
    <row r="52" spans="1:13" x14ac:dyDescent="0.2">
      <c r="A52" s="237"/>
      <c r="B52" s="322"/>
      <c r="C52" s="322"/>
      <c r="D52" s="322"/>
      <c r="E52" s="323"/>
      <c r="F52" s="322"/>
      <c r="G52" s="322"/>
      <c r="H52" s="322"/>
      <c r="I52" s="323"/>
      <c r="J52" s="322"/>
      <c r="K52" s="322"/>
      <c r="L52" s="322"/>
      <c r="M52" s="236"/>
    </row>
    <row r="53" spans="1:13" x14ac:dyDescent="0.2">
      <c r="A53" s="237"/>
      <c r="B53" s="323"/>
      <c r="C53" s="323"/>
      <c r="D53" s="323"/>
      <c r="E53" s="323"/>
      <c r="F53" s="323"/>
      <c r="G53" s="323"/>
      <c r="H53" s="323"/>
      <c r="I53" s="323"/>
      <c r="J53" s="323"/>
      <c r="K53" s="323"/>
      <c r="L53" s="323"/>
      <c r="M53" s="236"/>
    </row>
    <row r="54" spans="1:13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</row>
    <row r="55" spans="1:13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84"/>
      <c r="M55" s="236"/>
    </row>
    <row r="56" spans="1:13" x14ac:dyDescent="0.2">
      <c r="A56" s="258"/>
      <c r="B56" s="241"/>
      <c r="C56" s="241"/>
      <c r="D56" s="241"/>
      <c r="E56" s="241"/>
      <c r="F56" s="241"/>
      <c r="G56" s="241"/>
      <c r="H56" s="241"/>
      <c r="I56" s="241"/>
      <c r="J56" s="241"/>
      <c r="K56" s="241"/>
      <c r="L56" s="236"/>
      <c r="M56" s="236"/>
    </row>
    <row r="57" spans="1:13" x14ac:dyDescent="0.2">
      <c r="A57" s="241"/>
      <c r="B57" s="375"/>
      <c r="C57" s="375"/>
      <c r="D57" s="375"/>
      <c r="E57" s="253"/>
      <c r="F57" s="375"/>
      <c r="G57" s="375"/>
      <c r="H57" s="375"/>
      <c r="I57" s="253"/>
      <c r="J57" s="375"/>
      <c r="K57" s="375"/>
      <c r="L57" s="375"/>
      <c r="M57" s="236"/>
    </row>
    <row r="58" spans="1:13" x14ac:dyDescent="0.2">
      <c r="A58" s="258"/>
      <c r="B58" s="259"/>
      <c r="C58" s="259"/>
      <c r="D58" s="259"/>
      <c r="E58" s="259"/>
      <c r="F58" s="259"/>
      <c r="G58" s="259"/>
      <c r="H58" s="259"/>
      <c r="I58" s="259"/>
      <c r="J58" s="259"/>
      <c r="K58" s="259"/>
      <c r="L58" s="259"/>
      <c r="M58" s="236"/>
    </row>
    <row r="59" spans="1:13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</row>
    <row r="60" spans="1:13" x14ac:dyDescent="0.2">
      <c r="A60" s="237"/>
      <c r="B60" s="302"/>
      <c r="C60" s="302"/>
      <c r="D60" s="302"/>
      <c r="E60" s="303"/>
      <c r="F60" s="302"/>
      <c r="G60" s="302"/>
      <c r="H60" s="302"/>
      <c r="I60" s="303"/>
      <c r="J60" s="302"/>
      <c r="K60" s="302"/>
      <c r="L60" s="302"/>
      <c r="M60" s="236"/>
    </row>
    <row r="61" spans="1:13" x14ac:dyDescent="0.2">
      <c r="A61" s="237"/>
      <c r="B61" s="302"/>
      <c r="C61" s="302"/>
      <c r="D61" s="302"/>
      <c r="E61" s="303"/>
      <c r="F61" s="302"/>
      <c r="G61" s="302"/>
      <c r="H61" s="302"/>
      <c r="I61" s="303"/>
      <c r="J61" s="302"/>
      <c r="K61" s="302"/>
      <c r="L61" s="302"/>
      <c r="M61" s="236"/>
    </row>
    <row r="62" spans="1:13" x14ac:dyDescent="0.2">
      <c r="A62" s="237"/>
      <c r="B62" s="302"/>
      <c r="C62" s="302"/>
      <c r="D62" s="302"/>
      <c r="E62" s="303"/>
      <c r="F62" s="302"/>
      <c r="G62" s="302"/>
      <c r="H62" s="302"/>
      <c r="I62" s="303"/>
      <c r="J62" s="302"/>
      <c r="K62" s="302"/>
      <c r="L62" s="302"/>
      <c r="M62" s="236"/>
    </row>
    <row r="63" spans="1:13" x14ac:dyDescent="0.2">
      <c r="A63" s="237"/>
      <c r="B63" s="302"/>
      <c r="C63" s="302"/>
      <c r="D63" s="302"/>
      <c r="E63" s="303"/>
      <c r="F63" s="302"/>
      <c r="G63" s="302"/>
      <c r="H63" s="302"/>
      <c r="I63" s="303"/>
      <c r="J63" s="302"/>
      <c r="K63" s="302"/>
      <c r="L63" s="302"/>
      <c r="M63" s="236"/>
    </row>
    <row r="64" spans="1:13" x14ac:dyDescent="0.2">
      <c r="A64" s="237"/>
      <c r="B64" s="302"/>
      <c r="C64" s="302"/>
      <c r="D64" s="302"/>
      <c r="E64" s="303"/>
      <c r="F64" s="302"/>
      <c r="G64" s="302"/>
      <c r="H64" s="302"/>
      <c r="I64" s="303"/>
      <c r="J64" s="302"/>
      <c r="K64" s="302"/>
      <c r="L64" s="302"/>
      <c r="M64" s="236"/>
    </row>
    <row r="65" spans="1:13" x14ac:dyDescent="0.2">
      <c r="A65" s="237"/>
      <c r="B65" s="302"/>
      <c r="C65" s="302"/>
      <c r="D65" s="302"/>
      <c r="E65" s="303"/>
      <c r="F65" s="302"/>
      <c r="G65" s="302"/>
      <c r="H65" s="302"/>
      <c r="I65" s="303"/>
      <c r="J65" s="302"/>
      <c r="K65" s="302"/>
      <c r="L65" s="302"/>
      <c r="M65" s="236"/>
    </row>
    <row r="66" spans="1:13" x14ac:dyDescent="0.2">
      <c r="A66" s="237"/>
      <c r="B66" s="302"/>
      <c r="C66" s="302"/>
      <c r="D66" s="302"/>
      <c r="E66" s="303"/>
      <c r="F66" s="302"/>
      <c r="G66" s="302"/>
      <c r="H66" s="302"/>
      <c r="I66" s="303"/>
      <c r="J66" s="302"/>
      <c r="K66" s="302"/>
      <c r="L66" s="302"/>
      <c r="M66" s="236"/>
    </row>
    <row r="67" spans="1:13" x14ac:dyDescent="0.2">
      <c r="A67" s="237"/>
      <c r="B67" s="302"/>
      <c r="C67" s="302"/>
      <c r="D67" s="302"/>
      <c r="E67" s="303"/>
      <c r="F67" s="302"/>
      <c r="G67" s="302"/>
      <c r="H67" s="302"/>
      <c r="I67" s="303"/>
      <c r="J67" s="302"/>
      <c r="K67" s="302"/>
      <c r="L67" s="302"/>
      <c r="M67" s="236"/>
    </row>
    <row r="68" spans="1:13" x14ac:dyDescent="0.2">
      <c r="A68" s="237"/>
      <c r="B68" s="302"/>
      <c r="C68" s="302"/>
      <c r="D68" s="302"/>
      <c r="E68" s="303"/>
      <c r="F68" s="302"/>
      <c r="G68" s="302"/>
      <c r="H68" s="302"/>
      <c r="I68" s="303"/>
      <c r="J68" s="302"/>
      <c r="K68" s="302"/>
      <c r="L68" s="302"/>
      <c r="M68" s="236"/>
    </row>
    <row r="69" spans="1:13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</row>
    <row r="70" spans="1:13" x14ac:dyDescent="0.2">
      <c r="A70" s="237"/>
      <c r="B70" s="303"/>
      <c r="C70" s="303"/>
      <c r="D70" s="303"/>
      <c r="E70" s="303"/>
      <c r="F70" s="303"/>
      <c r="G70" s="303"/>
      <c r="H70" s="303"/>
      <c r="I70" s="303"/>
      <c r="J70" s="303"/>
      <c r="K70" s="303"/>
      <c r="L70" s="303"/>
      <c r="M70" s="236"/>
    </row>
    <row r="71" spans="1:13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</row>
    <row r="72" spans="1:13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84"/>
      <c r="M72" s="236"/>
    </row>
    <row r="73" spans="1:13" x14ac:dyDescent="0.2">
      <c r="A73" s="258"/>
      <c r="B73" s="241"/>
      <c r="C73" s="241"/>
      <c r="D73" s="241"/>
      <c r="E73" s="241"/>
      <c r="F73" s="241"/>
      <c r="G73" s="241"/>
      <c r="H73" s="241"/>
      <c r="I73" s="241"/>
      <c r="J73" s="241"/>
      <c r="K73" s="241"/>
      <c r="L73" s="236"/>
      <c r="M73" s="236"/>
    </row>
    <row r="74" spans="1:13" x14ac:dyDescent="0.2">
      <c r="A74" s="241"/>
      <c r="B74" s="375"/>
      <c r="C74" s="375"/>
      <c r="D74" s="375"/>
      <c r="E74" s="253"/>
      <c r="F74" s="375"/>
      <c r="G74" s="375"/>
      <c r="H74" s="375"/>
      <c r="I74" s="253"/>
      <c r="J74" s="375"/>
      <c r="K74" s="375"/>
      <c r="L74" s="375"/>
      <c r="M74" s="236"/>
    </row>
    <row r="75" spans="1:13" x14ac:dyDescent="0.2">
      <c r="A75" s="258"/>
      <c r="B75" s="259"/>
      <c r="C75" s="259"/>
      <c r="D75" s="259"/>
      <c r="E75" s="259"/>
      <c r="F75" s="259"/>
      <c r="G75" s="259"/>
      <c r="H75" s="259"/>
      <c r="I75" s="259"/>
      <c r="J75" s="259"/>
      <c r="K75" s="259"/>
      <c r="L75" s="259"/>
      <c r="M75" s="236"/>
    </row>
    <row r="76" spans="1:13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</row>
    <row r="77" spans="1:13" x14ac:dyDescent="0.2">
      <c r="A77" s="237"/>
      <c r="B77" s="302"/>
      <c r="C77" s="302"/>
      <c r="D77" s="302"/>
      <c r="E77" s="303"/>
      <c r="F77" s="302"/>
      <c r="G77" s="302"/>
      <c r="H77" s="302"/>
      <c r="I77" s="303"/>
      <c r="J77" s="302"/>
      <c r="K77" s="302"/>
      <c r="L77" s="302"/>
      <c r="M77" s="236"/>
    </row>
    <row r="78" spans="1:13" x14ac:dyDescent="0.2">
      <c r="A78" s="237"/>
      <c r="B78" s="302"/>
      <c r="C78" s="302"/>
      <c r="D78" s="302"/>
      <c r="E78" s="303"/>
      <c r="F78" s="302"/>
      <c r="G78" s="302"/>
      <c r="H78" s="302"/>
      <c r="I78" s="303"/>
      <c r="J78" s="302"/>
      <c r="K78" s="302"/>
      <c r="L78" s="302"/>
      <c r="M78" s="236"/>
    </row>
    <row r="79" spans="1:13" x14ac:dyDescent="0.2">
      <c r="A79" s="237"/>
      <c r="B79" s="302"/>
      <c r="C79" s="302"/>
      <c r="D79" s="302"/>
      <c r="E79" s="303"/>
      <c r="F79" s="302"/>
      <c r="G79" s="302"/>
      <c r="H79" s="302"/>
      <c r="I79" s="303"/>
      <c r="J79" s="302"/>
      <c r="K79" s="302"/>
      <c r="L79" s="302"/>
      <c r="M79" s="236"/>
    </row>
    <row r="80" spans="1:13" x14ac:dyDescent="0.2">
      <c r="A80" s="237"/>
      <c r="B80" s="302"/>
      <c r="C80" s="302"/>
      <c r="D80" s="302"/>
      <c r="E80" s="303"/>
      <c r="F80" s="302"/>
      <c r="G80" s="302"/>
      <c r="H80" s="302"/>
      <c r="I80" s="303"/>
      <c r="J80" s="302"/>
      <c r="K80" s="302"/>
      <c r="L80" s="302"/>
      <c r="M80" s="236"/>
    </row>
    <row r="81" spans="1:13" x14ac:dyDescent="0.2">
      <c r="A81" s="237"/>
      <c r="B81" s="302"/>
      <c r="C81" s="302"/>
      <c r="D81" s="302"/>
      <c r="E81" s="303"/>
      <c r="F81" s="302"/>
      <c r="G81" s="302"/>
      <c r="H81" s="302"/>
      <c r="I81" s="303"/>
      <c r="J81" s="302"/>
      <c r="K81" s="302"/>
      <c r="L81" s="302"/>
      <c r="M81" s="236"/>
    </row>
    <row r="82" spans="1:13" x14ac:dyDescent="0.2">
      <c r="A82" s="237"/>
      <c r="B82" s="302"/>
      <c r="C82" s="302"/>
      <c r="D82" s="302"/>
      <c r="E82" s="303"/>
      <c r="F82" s="302"/>
      <c r="G82" s="302"/>
      <c r="H82" s="302"/>
      <c r="I82" s="303"/>
      <c r="J82" s="302"/>
      <c r="K82" s="302"/>
      <c r="L82" s="302"/>
      <c r="M82" s="236"/>
    </row>
    <row r="83" spans="1:13" x14ac:dyDescent="0.2">
      <c r="A83" s="237"/>
      <c r="B83" s="302"/>
      <c r="C83" s="302"/>
      <c r="D83" s="302"/>
      <c r="E83" s="303"/>
      <c r="F83" s="302"/>
      <c r="G83" s="302"/>
      <c r="H83" s="302"/>
      <c r="I83" s="303"/>
      <c r="J83" s="302"/>
      <c r="K83" s="302"/>
      <c r="L83" s="302"/>
      <c r="M83" s="236"/>
    </row>
    <row r="84" spans="1:13" x14ac:dyDescent="0.2">
      <c r="A84" s="237"/>
      <c r="B84" s="302"/>
      <c r="C84" s="302"/>
      <c r="D84" s="302"/>
      <c r="E84" s="303"/>
      <c r="F84" s="302"/>
      <c r="G84" s="302"/>
      <c r="H84" s="302"/>
      <c r="I84" s="303"/>
      <c r="J84" s="302"/>
      <c r="K84" s="302"/>
      <c r="L84" s="302"/>
      <c r="M84" s="236"/>
    </row>
    <row r="85" spans="1:13" x14ac:dyDescent="0.2">
      <c r="A85" s="237"/>
      <c r="B85" s="302"/>
      <c r="C85" s="302"/>
      <c r="D85" s="302"/>
      <c r="E85" s="303"/>
      <c r="F85" s="302"/>
      <c r="G85" s="302"/>
      <c r="H85" s="302"/>
      <c r="I85" s="303"/>
      <c r="J85" s="302"/>
      <c r="K85" s="302"/>
      <c r="L85" s="302"/>
      <c r="M85" s="236"/>
    </row>
    <row r="86" spans="1:13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</row>
    <row r="87" spans="1:13" x14ac:dyDescent="0.2">
      <c r="A87" s="237"/>
      <c r="B87" s="303"/>
      <c r="C87" s="303"/>
      <c r="D87" s="303"/>
      <c r="E87" s="303"/>
      <c r="F87" s="303"/>
      <c r="G87" s="303"/>
      <c r="H87" s="303"/>
      <c r="I87" s="303"/>
      <c r="J87" s="303"/>
      <c r="K87" s="303"/>
      <c r="L87" s="303"/>
      <c r="M87" s="236"/>
    </row>
    <row r="88" spans="1:13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</row>
    <row r="89" spans="1:13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84"/>
      <c r="M89" s="236"/>
    </row>
    <row r="90" spans="1:13" x14ac:dyDescent="0.2">
      <c r="A90" s="258"/>
      <c r="B90" s="241"/>
      <c r="C90" s="241"/>
      <c r="D90" s="241"/>
      <c r="E90" s="241"/>
      <c r="F90" s="241"/>
      <c r="G90" s="241"/>
      <c r="H90" s="241"/>
      <c r="I90" s="241"/>
      <c r="J90" s="241"/>
      <c r="K90" s="241"/>
      <c r="L90" s="236"/>
      <c r="M90" s="236"/>
    </row>
    <row r="91" spans="1:13" x14ac:dyDescent="0.2">
      <c r="A91" s="241"/>
      <c r="B91" s="375"/>
      <c r="C91" s="375"/>
      <c r="D91" s="375"/>
      <c r="E91" s="253"/>
      <c r="F91" s="375"/>
      <c r="G91" s="375"/>
      <c r="H91" s="375"/>
      <c r="I91" s="253"/>
      <c r="J91" s="375"/>
      <c r="K91" s="375"/>
      <c r="L91" s="375"/>
      <c r="M91" s="236"/>
    </row>
    <row r="92" spans="1:13" x14ac:dyDescent="0.2">
      <c r="A92" s="258"/>
      <c r="B92" s="259"/>
      <c r="C92" s="259"/>
      <c r="D92" s="259"/>
      <c r="E92" s="259"/>
      <c r="F92" s="259"/>
      <c r="G92" s="259"/>
      <c r="H92" s="259"/>
      <c r="I92" s="259"/>
      <c r="J92" s="259"/>
      <c r="K92" s="259"/>
      <c r="L92" s="259"/>
      <c r="M92" s="236"/>
    </row>
    <row r="93" spans="1:13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</row>
    <row r="94" spans="1:13" x14ac:dyDescent="0.2">
      <c r="A94" s="237"/>
      <c r="B94" s="302"/>
      <c r="C94" s="302"/>
      <c r="D94" s="302"/>
      <c r="E94" s="303"/>
      <c r="F94" s="302"/>
      <c r="G94" s="302"/>
      <c r="H94" s="302"/>
      <c r="I94" s="303"/>
      <c r="J94" s="302"/>
      <c r="K94" s="302"/>
      <c r="L94" s="302"/>
      <c r="M94" s="236"/>
    </row>
    <row r="95" spans="1:13" x14ac:dyDescent="0.2">
      <c r="A95" s="237"/>
      <c r="B95" s="302"/>
      <c r="C95" s="302"/>
      <c r="D95" s="302"/>
      <c r="E95" s="303"/>
      <c r="F95" s="302"/>
      <c r="G95" s="302"/>
      <c r="H95" s="302"/>
      <c r="I95" s="303"/>
      <c r="J95" s="302"/>
      <c r="K95" s="302"/>
      <c r="L95" s="302"/>
      <c r="M95" s="236"/>
    </row>
    <row r="96" spans="1:13" x14ac:dyDescent="0.2">
      <c r="A96" s="237"/>
      <c r="B96" s="302"/>
      <c r="C96" s="302"/>
      <c r="D96" s="302"/>
      <c r="E96" s="303"/>
      <c r="F96" s="302"/>
      <c r="G96" s="302"/>
      <c r="H96" s="302"/>
      <c r="I96" s="303"/>
      <c r="J96" s="302"/>
      <c r="K96" s="302"/>
      <c r="L96" s="302"/>
      <c r="M96" s="236"/>
    </row>
    <row r="97" spans="1:13" x14ac:dyDescent="0.2">
      <c r="A97" s="237"/>
      <c r="B97" s="302"/>
      <c r="C97" s="302"/>
      <c r="D97" s="302"/>
      <c r="E97" s="303"/>
      <c r="F97" s="302"/>
      <c r="G97" s="302"/>
      <c r="H97" s="302"/>
      <c r="I97" s="303"/>
      <c r="J97" s="302"/>
      <c r="K97" s="302"/>
      <c r="L97" s="302"/>
      <c r="M97" s="236"/>
    </row>
    <row r="98" spans="1:13" x14ac:dyDescent="0.2">
      <c r="A98" s="237"/>
      <c r="B98" s="302"/>
      <c r="C98" s="302"/>
      <c r="D98" s="302"/>
      <c r="E98" s="303"/>
      <c r="F98" s="302"/>
      <c r="G98" s="302"/>
      <c r="H98" s="302"/>
      <c r="I98" s="303"/>
      <c r="J98" s="302"/>
      <c r="K98" s="302"/>
      <c r="L98" s="302"/>
      <c r="M98" s="236"/>
    </row>
    <row r="99" spans="1:13" x14ac:dyDescent="0.2">
      <c r="A99" s="237"/>
      <c r="B99" s="302"/>
      <c r="C99" s="302"/>
      <c r="D99" s="302"/>
      <c r="E99" s="303"/>
      <c r="F99" s="302"/>
      <c r="G99" s="302"/>
      <c r="H99" s="302"/>
      <c r="I99" s="303"/>
      <c r="J99" s="302"/>
      <c r="K99" s="302"/>
      <c r="L99" s="302"/>
      <c r="M99" s="236"/>
    </row>
    <row r="100" spans="1:13" x14ac:dyDescent="0.2">
      <c r="A100" s="237"/>
      <c r="B100" s="302"/>
      <c r="C100" s="302"/>
      <c r="D100" s="302"/>
      <c r="E100" s="303"/>
      <c r="F100" s="302"/>
      <c r="G100" s="302"/>
      <c r="H100" s="302"/>
      <c r="I100" s="303"/>
      <c r="J100" s="302"/>
      <c r="K100" s="302"/>
      <c r="L100" s="302"/>
      <c r="M100" s="236"/>
    </row>
    <row r="101" spans="1:13" x14ac:dyDescent="0.2">
      <c r="A101" s="237"/>
      <c r="B101" s="302"/>
      <c r="C101" s="302"/>
      <c r="D101" s="302"/>
      <c r="E101" s="303"/>
      <c r="F101" s="302"/>
      <c r="G101" s="302"/>
      <c r="H101" s="302"/>
      <c r="I101" s="303"/>
      <c r="J101" s="302"/>
      <c r="K101" s="302"/>
      <c r="L101" s="302"/>
      <c r="M101" s="236"/>
    </row>
    <row r="102" spans="1:13" x14ac:dyDescent="0.2">
      <c r="A102" s="237"/>
      <c r="B102" s="302"/>
      <c r="C102" s="302"/>
      <c r="D102" s="302"/>
      <c r="E102" s="303"/>
      <c r="F102" s="302"/>
      <c r="G102" s="302"/>
      <c r="H102" s="302"/>
      <c r="I102" s="303"/>
      <c r="J102" s="302"/>
      <c r="K102" s="302"/>
      <c r="L102" s="302"/>
      <c r="M102" s="236"/>
    </row>
    <row r="103" spans="1:13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</row>
    <row r="104" spans="1:13" x14ac:dyDescent="0.2">
      <c r="A104" s="237"/>
      <c r="B104" s="303"/>
      <c r="C104" s="303"/>
      <c r="D104" s="303"/>
      <c r="E104" s="303"/>
      <c r="F104" s="303"/>
      <c r="G104" s="303"/>
      <c r="H104" s="303"/>
      <c r="I104" s="303"/>
      <c r="J104" s="303"/>
      <c r="K104" s="303"/>
      <c r="L104" s="303"/>
      <c r="M104" s="236"/>
    </row>
    <row r="105" spans="1:13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</row>
    <row r="106" spans="1:13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84"/>
      <c r="M106" s="236"/>
    </row>
    <row r="107" spans="1:13" x14ac:dyDescent="0.2">
      <c r="A107" s="258"/>
      <c r="B107" s="241"/>
      <c r="C107" s="241"/>
      <c r="D107" s="241"/>
      <c r="E107" s="241"/>
      <c r="F107" s="241"/>
      <c r="G107" s="241"/>
      <c r="H107" s="241"/>
      <c r="I107" s="241"/>
      <c r="J107" s="241"/>
      <c r="K107" s="241"/>
      <c r="L107" s="236"/>
      <c r="M107" s="236"/>
    </row>
    <row r="108" spans="1:13" x14ac:dyDescent="0.2">
      <c r="A108" s="241"/>
      <c r="B108" s="375"/>
      <c r="C108" s="375"/>
      <c r="D108" s="375"/>
      <c r="E108" s="253"/>
      <c r="F108" s="375"/>
      <c r="G108" s="375"/>
      <c r="H108" s="375"/>
      <c r="I108" s="253"/>
      <c r="J108" s="375"/>
      <c r="K108" s="375"/>
      <c r="L108" s="375"/>
      <c r="M108" s="236"/>
    </row>
    <row r="109" spans="1:13" x14ac:dyDescent="0.2">
      <c r="A109" s="258"/>
      <c r="B109" s="259"/>
      <c r="C109" s="259"/>
      <c r="D109" s="259"/>
      <c r="E109" s="259"/>
      <c r="F109" s="259"/>
      <c r="G109" s="259"/>
      <c r="H109" s="259"/>
      <c r="I109" s="259"/>
      <c r="J109" s="259"/>
      <c r="K109" s="259"/>
      <c r="L109" s="259"/>
      <c r="M109" s="236"/>
    </row>
    <row r="110" spans="1:13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</row>
    <row r="111" spans="1:13" x14ac:dyDescent="0.2">
      <c r="A111" s="237"/>
      <c r="B111" s="302"/>
      <c r="C111" s="302"/>
      <c r="D111" s="302"/>
      <c r="E111" s="303"/>
      <c r="F111" s="302"/>
      <c r="G111" s="302"/>
      <c r="H111" s="302"/>
      <c r="I111" s="303"/>
      <c r="J111" s="302"/>
      <c r="K111" s="302"/>
      <c r="L111" s="302"/>
      <c r="M111" s="236"/>
    </row>
    <row r="112" spans="1:13" x14ac:dyDescent="0.2">
      <c r="A112" s="237"/>
      <c r="B112" s="302"/>
      <c r="C112" s="302"/>
      <c r="D112" s="302"/>
      <c r="E112" s="303"/>
      <c r="F112" s="302"/>
      <c r="G112" s="302"/>
      <c r="H112" s="302"/>
      <c r="I112" s="303"/>
      <c r="J112" s="302"/>
      <c r="K112" s="302"/>
      <c r="L112" s="302"/>
      <c r="M112" s="236"/>
    </row>
    <row r="113" spans="1:13" x14ac:dyDescent="0.2">
      <c r="A113" s="237"/>
      <c r="B113" s="302"/>
      <c r="C113" s="302"/>
      <c r="D113" s="302"/>
      <c r="E113" s="303"/>
      <c r="F113" s="302"/>
      <c r="G113" s="302"/>
      <c r="H113" s="302"/>
      <c r="I113" s="303"/>
      <c r="J113" s="302"/>
      <c r="K113" s="302"/>
      <c r="L113" s="302"/>
      <c r="M113" s="236"/>
    </row>
    <row r="114" spans="1:13" x14ac:dyDescent="0.2">
      <c r="A114" s="237"/>
      <c r="B114" s="302"/>
      <c r="C114" s="302"/>
      <c r="D114" s="302"/>
      <c r="E114" s="303"/>
      <c r="F114" s="302"/>
      <c r="G114" s="302"/>
      <c r="H114" s="302"/>
      <c r="I114" s="303"/>
      <c r="J114" s="302"/>
      <c r="K114" s="302"/>
      <c r="L114" s="302"/>
      <c r="M114" s="236"/>
    </row>
    <row r="115" spans="1:13" x14ac:dyDescent="0.2">
      <c r="A115" s="237"/>
      <c r="B115" s="302"/>
      <c r="C115" s="302"/>
      <c r="D115" s="302"/>
      <c r="E115" s="303"/>
      <c r="F115" s="302"/>
      <c r="G115" s="302"/>
      <c r="H115" s="302"/>
      <c r="I115" s="303"/>
      <c r="J115" s="302"/>
      <c r="K115" s="302"/>
      <c r="L115" s="302"/>
      <c r="M115" s="236"/>
    </row>
    <row r="116" spans="1:13" x14ac:dyDescent="0.2">
      <c r="A116" s="237"/>
      <c r="B116" s="302"/>
      <c r="C116" s="302"/>
      <c r="D116" s="302"/>
      <c r="E116" s="303"/>
      <c r="F116" s="302"/>
      <c r="G116" s="302"/>
      <c r="H116" s="302"/>
      <c r="I116" s="303"/>
      <c r="J116" s="302"/>
      <c r="K116" s="302"/>
      <c r="L116" s="302"/>
      <c r="M116" s="236"/>
    </row>
    <row r="117" spans="1:13" x14ac:dyDescent="0.2">
      <c r="A117" s="237"/>
      <c r="B117" s="302"/>
      <c r="C117" s="302"/>
      <c r="D117" s="302"/>
      <c r="E117" s="303"/>
      <c r="F117" s="302"/>
      <c r="G117" s="302"/>
      <c r="H117" s="302"/>
      <c r="I117" s="303"/>
      <c r="J117" s="302"/>
      <c r="K117" s="302"/>
      <c r="L117" s="302"/>
      <c r="M117" s="236"/>
    </row>
    <row r="118" spans="1:13" x14ac:dyDescent="0.2">
      <c r="A118" s="237"/>
      <c r="B118" s="302"/>
      <c r="C118" s="302"/>
      <c r="D118" s="302"/>
      <c r="E118" s="303"/>
      <c r="F118" s="302"/>
      <c r="G118" s="302"/>
      <c r="H118" s="302"/>
      <c r="I118" s="303"/>
      <c r="J118" s="302"/>
      <c r="K118" s="302"/>
      <c r="L118" s="302"/>
      <c r="M118" s="236"/>
    </row>
    <row r="119" spans="1:13" x14ac:dyDescent="0.2">
      <c r="A119" s="237"/>
      <c r="B119" s="302"/>
      <c r="C119" s="302"/>
      <c r="D119" s="302"/>
      <c r="E119" s="303"/>
      <c r="F119" s="302"/>
      <c r="G119" s="302"/>
      <c r="H119" s="302"/>
      <c r="I119" s="303"/>
      <c r="J119" s="302"/>
      <c r="K119" s="302"/>
      <c r="L119" s="302"/>
      <c r="M119" s="236"/>
    </row>
    <row r="120" spans="1:13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</row>
    <row r="121" spans="1:13" x14ac:dyDescent="0.2">
      <c r="A121" s="237"/>
      <c r="B121" s="303"/>
      <c r="C121" s="303"/>
      <c r="D121" s="303"/>
      <c r="E121" s="303"/>
      <c r="F121" s="303"/>
      <c r="G121" s="303"/>
      <c r="H121" s="303"/>
      <c r="I121" s="303"/>
      <c r="J121" s="303"/>
      <c r="K121" s="303"/>
      <c r="L121" s="303"/>
      <c r="M121" s="236"/>
    </row>
    <row r="122" spans="1:13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</row>
    <row r="123" spans="1:13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84"/>
      <c r="M123" s="236"/>
    </row>
    <row r="124" spans="1:13" x14ac:dyDescent="0.2">
      <c r="A124" s="258"/>
      <c r="B124" s="241"/>
      <c r="C124" s="241"/>
      <c r="D124" s="241"/>
      <c r="E124" s="241"/>
      <c r="F124" s="241"/>
      <c r="G124" s="241"/>
      <c r="H124" s="241"/>
      <c r="I124" s="241"/>
      <c r="J124" s="241"/>
      <c r="K124" s="241"/>
      <c r="L124" s="236"/>
      <c r="M124" s="236"/>
    </row>
    <row r="125" spans="1:13" x14ac:dyDescent="0.2">
      <c r="A125" s="241"/>
      <c r="B125" s="375"/>
      <c r="C125" s="375"/>
      <c r="D125" s="375"/>
      <c r="E125" s="253"/>
      <c r="F125" s="375"/>
      <c r="G125" s="375"/>
      <c r="H125" s="375"/>
      <c r="I125" s="253"/>
      <c r="J125" s="375"/>
      <c r="K125" s="375"/>
      <c r="L125" s="375"/>
      <c r="M125" s="236"/>
    </row>
    <row r="126" spans="1:13" x14ac:dyDescent="0.2">
      <c r="A126" s="258"/>
      <c r="B126" s="259"/>
      <c r="C126" s="259"/>
      <c r="D126" s="259"/>
      <c r="E126" s="259"/>
      <c r="F126" s="259"/>
      <c r="G126" s="259"/>
      <c r="H126" s="259"/>
      <c r="I126" s="259"/>
      <c r="J126" s="259"/>
      <c r="K126" s="259"/>
      <c r="L126" s="259"/>
      <c r="M126" s="236"/>
    </row>
    <row r="127" spans="1:13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</row>
    <row r="128" spans="1:13" x14ac:dyDescent="0.2">
      <c r="A128" s="237"/>
      <c r="B128" s="302"/>
      <c r="C128" s="302"/>
      <c r="D128" s="302"/>
      <c r="E128" s="303"/>
      <c r="F128" s="302"/>
      <c r="G128" s="302"/>
      <c r="H128" s="302"/>
      <c r="I128" s="303"/>
      <c r="J128" s="302"/>
      <c r="K128" s="302"/>
      <c r="L128" s="302"/>
      <c r="M128" s="236"/>
    </row>
    <row r="129" spans="1:13" x14ac:dyDescent="0.2">
      <c r="A129" s="237"/>
      <c r="B129" s="302"/>
      <c r="C129" s="302"/>
      <c r="D129" s="302"/>
      <c r="E129" s="303"/>
      <c r="F129" s="302"/>
      <c r="G129" s="302"/>
      <c r="H129" s="302"/>
      <c r="I129" s="303"/>
      <c r="J129" s="302"/>
      <c r="K129" s="302"/>
      <c r="L129" s="302"/>
      <c r="M129" s="236"/>
    </row>
    <row r="130" spans="1:13" x14ac:dyDescent="0.2">
      <c r="A130" s="237"/>
      <c r="B130" s="302"/>
      <c r="C130" s="302"/>
      <c r="D130" s="302"/>
      <c r="E130" s="303"/>
      <c r="F130" s="302"/>
      <c r="G130" s="302"/>
      <c r="H130" s="302"/>
      <c r="I130" s="303"/>
      <c r="J130" s="302"/>
      <c r="K130" s="302"/>
      <c r="L130" s="302"/>
      <c r="M130" s="236"/>
    </row>
    <row r="131" spans="1:13" x14ac:dyDescent="0.2">
      <c r="A131" s="237"/>
      <c r="B131" s="302"/>
      <c r="C131" s="302"/>
      <c r="D131" s="302"/>
      <c r="E131" s="303"/>
      <c r="F131" s="302"/>
      <c r="G131" s="302"/>
      <c r="H131" s="302"/>
      <c r="I131" s="303"/>
      <c r="J131" s="302"/>
      <c r="K131" s="302"/>
      <c r="L131" s="302"/>
      <c r="M131" s="236"/>
    </row>
    <row r="132" spans="1:13" x14ac:dyDescent="0.2">
      <c r="A132" s="237"/>
      <c r="B132" s="302"/>
      <c r="C132" s="302"/>
      <c r="D132" s="302"/>
      <c r="E132" s="303"/>
      <c r="F132" s="302"/>
      <c r="G132" s="302"/>
      <c r="H132" s="302"/>
      <c r="I132" s="303"/>
      <c r="J132" s="302"/>
      <c r="K132" s="302"/>
      <c r="L132" s="302"/>
      <c r="M132" s="236"/>
    </row>
    <row r="133" spans="1:13" x14ac:dyDescent="0.2">
      <c r="A133" s="237"/>
      <c r="B133" s="302"/>
      <c r="C133" s="302"/>
      <c r="D133" s="302"/>
      <c r="E133" s="303"/>
      <c r="F133" s="302"/>
      <c r="G133" s="302"/>
      <c r="H133" s="302"/>
      <c r="I133" s="303"/>
      <c r="J133" s="302"/>
      <c r="K133" s="302"/>
      <c r="L133" s="302"/>
      <c r="M133" s="236"/>
    </row>
    <row r="134" spans="1:13" x14ac:dyDescent="0.2">
      <c r="A134" s="237"/>
      <c r="B134" s="302"/>
      <c r="C134" s="302"/>
      <c r="D134" s="302"/>
      <c r="E134" s="303"/>
      <c r="F134" s="302"/>
      <c r="G134" s="302"/>
      <c r="H134" s="302"/>
      <c r="I134" s="303"/>
      <c r="J134" s="302"/>
      <c r="K134" s="302"/>
      <c r="L134" s="302"/>
      <c r="M134" s="236"/>
    </row>
    <row r="135" spans="1:13" x14ac:dyDescent="0.2">
      <c r="A135" s="237"/>
      <c r="B135" s="302"/>
      <c r="C135" s="302"/>
      <c r="D135" s="302"/>
      <c r="E135" s="303"/>
      <c r="F135" s="302"/>
      <c r="G135" s="302"/>
      <c r="H135" s="302"/>
      <c r="I135" s="303"/>
      <c r="J135" s="302"/>
      <c r="K135" s="302"/>
      <c r="L135" s="302"/>
      <c r="M135" s="236"/>
    </row>
    <row r="136" spans="1:13" x14ac:dyDescent="0.2">
      <c r="A136" s="237"/>
      <c r="B136" s="302"/>
      <c r="C136" s="302"/>
      <c r="D136" s="302"/>
      <c r="E136" s="303"/>
      <c r="F136" s="302"/>
      <c r="G136" s="302"/>
      <c r="H136" s="302"/>
      <c r="I136" s="303"/>
      <c r="J136" s="302"/>
      <c r="K136" s="302"/>
      <c r="L136" s="302"/>
      <c r="M136" s="236"/>
    </row>
    <row r="137" spans="1:13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</row>
    <row r="138" spans="1:13" x14ac:dyDescent="0.2">
      <c r="A138" s="237"/>
      <c r="B138" s="303"/>
      <c r="C138" s="303"/>
      <c r="D138" s="303"/>
      <c r="E138" s="303"/>
      <c r="F138" s="303"/>
      <c r="G138" s="303"/>
      <c r="H138" s="303"/>
      <c r="I138" s="303"/>
      <c r="J138" s="303"/>
      <c r="K138" s="303"/>
      <c r="L138" s="303"/>
      <c r="M138" s="236"/>
    </row>
    <row r="139" spans="1:13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</row>
    <row r="140" spans="1:13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84"/>
      <c r="M140" s="236"/>
    </row>
    <row r="141" spans="1:13" x14ac:dyDescent="0.2">
      <c r="A141" s="258"/>
      <c r="B141" s="241"/>
      <c r="C141" s="241"/>
      <c r="D141" s="241"/>
      <c r="E141" s="241"/>
      <c r="F141" s="241"/>
      <c r="G141" s="241"/>
      <c r="H141" s="241"/>
      <c r="I141" s="241"/>
      <c r="J141" s="241"/>
      <c r="K141" s="241"/>
      <c r="L141" s="236"/>
      <c r="M141" s="236"/>
    </row>
    <row r="142" spans="1:13" x14ac:dyDescent="0.2">
      <c r="A142" s="241"/>
      <c r="B142" s="375"/>
      <c r="C142" s="375"/>
      <c r="D142" s="375"/>
      <c r="E142" s="253"/>
      <c r="F142" s="375"/>
      <c r="G142" s="375"/>
      <c r="H142" s="375"/>
      <c r="I142" s="253"/>
      <c r="J142" s="375"/>
      <c r="K142" s="375"/>
      <c r="L142" s="375"/>
      <c r="M142" s="236"/>
    </row>
    <row r="143" spans="1:13" x14ac:dyDescent="0.2">
      <c r="A143" s="258"/>
      <c r="B143" s="259"/>
      <c r="C143" s="259"/>
      <c r="D143" s="259"/>
      <c r="E143" s="259"/>
      <c r="F143" s="259"/>
      <c r="G143" s="259"/>
      <c r="H143" s="259"/>
      <c r="I143" s="259"/>
      <c r="J143" s="259"/>
      <c r="K143" s="259"/>
      <c r="L143" s="259"/>
      <c r="M143" s="236"/>
    </row>
    <row r="144" spans="1:13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</row>
    <row r="145" spans="1:13" x14ac:dyDescent="0.2">
      <c r="A145" s="237"/>
      <c r="B145" s="302"/>
      <c r="C145" s="302"/>
      <c r="D145" s="302"/>
      <c r="E145" s="303"/>
      <c r="F145" s="302"/>
      <c r="G145" s="302"/>
      <c r="H145" s="302"/>
      <c r="I145" s="303"/>
      <c r="J145" s="302"/>
      <c r="K145" s="302"/>
      <c r="L145" s="302"/>
      <c r="M145" s="236"/>
    </row>
    <row r="146" spans="1:13" x14ac:dyDescent="0.2">
      <c r="A146" s="237"/>
      <c r="B146" s="302"/>
      <c r="C146" s="302"/>
      <c r="D146" s="302"/>
      <c r="E146" s="303"/>
      <c r="F146" s="302"/>
      <c r="G146" s="302"/>
      <c r="H146" s="302"/>
      <c r="I146" s="303"/>
      <c r="J146" s="302"/>
      <c r="K146" s="302"/>
      <c r="L146" s="302"/>
      <c r="M146" s="236"/>
    </row>
    <row r="147" spans="1:13" x14ac:dyDescent="0.2">
      <c r="A147" s="237"/>
      <c r="B147" s="302"/>
      <c r="C147" s="302"/>
      <c r="D147" s="302"/>
      <c r="E147" s="303"/>
      <c r="F147" s="302"/>
      <c r="G147" s="302"/>
      <c r="H147" s="302"/>
      <c r="I147" s="303"/>
      <c r="J147" s="302"/>
      <c r="K147" s="302"/>
      <c r="L147" s="302"/>
      <c r="M147" s="236"/>
    </row>
    <row r="148" spans="1:13" x14ac:dyDescent="0.2">
      <c r="A148" s="237"/>
      <c r="B148" s="302"/>
      <c r="C148" s="302"/>
      <c r="D148" s="302"/>
      <c r="E148" s="303"/>
      <c r="F148" s="302"/>
      <c r="G148" s="302"/>
      <c r="H148" s="302"/>
      <c r="I148" s="303"/>
      <c r="J148" s="302"/>
      <c r="K148" s="302"/>
      <c r="L148" s="302"/>
      <c r="M148" s="236"/>
    </row>
    <row r="149" spans="1:13" x14ac:dyDescent="0.2">
      <c r="A149" s="237"/>
      <c r="B149" s="302"/>
      <c r="C149" s="302"/>
      <c r="D149" s="302"/>
      <c r="E149" s="303"/>
      <c r="F149" s="302"/>
      <c r="G149" s="302"/>
      <c r="H149" s="302"/>
      <c r="I149" s="303"/>
      <c r="J149" s="302"/>
      <c r="K149" s="302"/>
      <c r="L149" s="302"/>
      <c r="M149" s="236"/>
    </row>
    <row r="150" spans="1:13" x14ac:dyDescent="0.2">
      <c r="A150" s="237"/>
      <c r="B150" s="302"/>
      <c r="C150" s="302"/>
      <c r="D150" s="302"/>
      <c r="E150" s="303"/>
      <c r="F150" s="302"/>
      <c r="G150" s="302"/>
      <c r="H150" s="302"/>
      <c r="I150" s="303"/>
      <c r="J150" s="302"/>
      <c r="K150" s="302"/>
      <c r="L150" s="302"/>
      <c r="M150" s="236"/>
    </row>
    <row r="151" spans="1:13" x14ac:dyDescent="0.2">
      <c r="A151" s="237"/>
      <c r="B151" s="302"/>
      <c r="C151" s="302"/>
      <c r="D151" s="302"/>
      <c r="E151" s="303"/>
      <c r="F151" s="302"/>
      <c r="G151" s="302"/>
      <c r="H151" s="302"/>
      <c r="I151" s="303"/>
      <c r="J151" s="302"/>
      <c r="K151" s="302"/>
      <c r="L151" s="302"/>
      <c r="M151" s="236"/>
    </row>
    <row r="152" spans="1:13" x14ac:dyDescent="0.2">
      <c r="A152" s="237"/>
      <c r="B152" s="302"/>
      <c r="C152" s="302"/>
      <c r="D152" s="302"/>
      <c r="E152" s="303"/>
      <c r="F152" s="302"/>
      <c r="G152" s="302"/>
      <c r="H152" s="302"/>
      <c r="I152" s="303"/>
      <c r="J152" s="302"/>
      <c r="K152" s="302"/>
      <c r="L152" s="302"/>
      <c r="M152" s="236"/>
    </row>
    <row r="153" spans="1:13" x14ac:dyDescent="0.2">
      <c r="A153" s="237"/>
      <c r="B153" s="302"/>
      <c r="C153" s="302"/>
      <c r="D153" s="302"/>
      <c r="E153" s="303"/>
      <c r="F153" s="302"/>
      <c r="G153" s="302"/>
      <c r="H153" s="302"/>
      <c r="I153" s="303"/>
      <c r="J153" s="302"/>
      <c r="K153" s="302"/>
      <c r="L153" s="302"/>
      <c r="M153" s="236"/>
    </row>
    <row r="154" spans="1:13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</row>
    <row r="155" spans="1:13" x14ac:dyDescent="0.2">
      <c r="A155" s="237"/>
      <c r="B155" s="303"/>
      <c r="C155" s="303"/>
      <c r="D155" s="303"/>
      <c r="E155" s="303"/>
      <c r="F155" s="303"/>
      <c r="G155" s="303"/>
      <c r="H155" s="303"/>
      <c r="I155" s="303"/>
      <c r="J155" s="303"/>
      <c r="K155" s="303"/>
      <c r="L155" s="303"/>
      <c r="M155" s="236"/>
    </row>
    <row r="156" spans="1:13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</row>
    <row r="157" spans="1:13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84"/>
      <c r="M157" s="236"/>
    </row>
    <row r="158" spans="1:13" x14ac:dyDescent="0.2">
      <c r="A158" s="258"/>
      <c r="B158" s="241"/>
      <c r="C158" s="241"/>
      <c r="D158" s="241"/>
      <c r="E158" s="241"/>
      <c r="F158" s="241"/>
      <c r="G158" s="241"/>
      <c r="H158" s="241"/>
      <c r="I158" s="241"/>
      <c r="J158" s="241"/>
      <c r="K158" s="241"/>
      <c r="L158" s="236"/>
      <c r="M158" s="236"/>
    </row>
    <row r="159" spans="1:13" x14ac:dyDescent="0.2">
      <c r="A159" s="241"/>
      <c r="B159" s="375"/>
      <c r="C159" s="375"/>
      <c r="D159" s="375"/>
      <c r="E159" s="253"/>
      <c r="F159" s="375"/>
      <c r="G159" s="375"/>
      <c r="H159" s="375"/>
      <c r="I159" s="253"/>
      <c r="J159" s="375"/>
      <c r="K159" s="375"/>
      <c r="L159" s="375"/>
      <c r="M159" s="236"/>
    </row>
    <row r="160" spans="1:13" x14ac:dyDescent="0.2">
      <c r="A160" s="258"/>
      <c r="B160" s="259"/>
      <c r="C160" s="259"/>
      <c r="D160" s="259"/>
      <c r="E160" s="259"/>
      <c r="F160" s="259"/>
      <c r="G160" s="259"/>
      <c r="H160" s="259"/>
      <c r="I160" s="259"/>
      <c r="J160" s="259"/>
      <c r="K160" s="259"/>
      <c r="L160" s="259"/>
      <c r="M160" s="236"/>
    </row>
    <row r="161" spans="1:13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</row>
    <row r="162" spans="1:13" x14ac:dyDescent="0.2">
      <c r="A162" s="237"/>
      <c r="B162" s="302"/>
      <c r="C162" s="302"/>
      <c r="D162" s="302"/>
      <c r="E162" s="303"/>
      <c r="F162" s="302"/>
      <c r="G162" s="302"/>
      <c r="H162" s="302"/>
      <c r="I162" s="303"/>
      <c r="J162" s="302"/>
      <c r="K162" s="302"/>
      <c r="L162" s="302"/>
      <c r="M162" s="236"/>
    </row>
    <row r="163" spans="1:13" x14ac:dyDescent="0.2">
      <c r="A163" s="237"/>
      <c r="B163" s="302"/>
      <c r="C163" s="302"/>
      <c r="D163" s="302"/>
      <c r="E163" s="303"/>
      <c r="F163" s="302"/>
      <c r="G163" s="302"/>
      <c r="H163" s="302"/>
      <c r="I163" s="303"/>
      <c r="J163" s="302"/>
      <c r="K163" s="302"/>
      <c r="L163" s="302"/>
      <c r="M163" s="236"/>
    </row>
    <row r="164" spans="1:13" x14ac:dyDescent="0.2">
      <c r="A164" s="237"/>
      <c r="B164" s="302"/>
      <c r="C164" s="302"/>
      <c r="D164" s="302"/>
      <c r="E164" s="303"/>
      <c r="F164" s="302"/>
      <c r="G164" s="302"/>
      <c r="H164" s="302"/>
      <c r="I164" s="303"/>
      <c r="J164" s="302"/>
      <c r="K164" s="302"/>
      <c r="L164" s="302"/>
      <c r="M164" s="236"/>
    </row>
    <row r="165" spans="1:13" x14ac:dyDescent="0.2">
      <c r="A165" s="237"/>
      <c r="B165" s="302"/>
      <c r="C165" s="302"/>
      <c r="D165" s="302"/>
      <c r="E165" s="303"/>
      <c r="F165" s="302"/>
      <c r="G165" s="302"/>
      <c r="H165" s="302"/>
      <c r="I165" s="303"/>
      <c r="J165" s="302"/>
      <c r="K165" s="302"/>
      <c r="L165" s="302"/>
      <c r="M165" s="236"/>
    </row>
    <row r="166" spans="1:13" x14ac:dyDescent="0.2">
      <c r="A166" s="237"/>
      <c r="B166" s="302"/>
      <c r="C166" s="302"/>
      <c r="D166" s="302"/>
      <c r="E166" s="303"/>
      <c r="F166" s="302"/>
      <c r="G166" s="302"/>
      <c r="H166" s="302"/>
      <c r="I166" s="303"/>
      <c r="J166" s="302"/>
      <c r="K166" s="302"/>
      <c r="L166" s="302"/>
      <c r="M166" s="236"/>
    </row>
    <row r="167" spans="1:13" x14ac:dyDescent="0.2">
      <c r="A167" s="237"/>
      <c r="B167" s="302"/>
      <c r="C167" s="302"/>
      <c r="D167" s="302"/>
      <c r="E167" s="303"/>
      <c r="F167" s="302"/>
      <c r="G167" s="302"/>
      <c r="H167" s="302"/>
      <c r="I167" s="303"/>
      <c r="J167" s="302"/>
      <c r="K167" s="302"/>
      <c r="L167" s="302"/>
      <c r="M167" s="236"/>
    </row>
    <row r="168" spans="1:13" x14ac:dyDescent="0.2">
      <c r="A168" s="237"/>
      <c r="B168" s="302"/>
      <c r="C168" s="302"/>
      <c r="D168" s="302"/>
      <c r="E168" s="303"/>
      <c r="F168" s="302"/>
      <c r="G168" s="302"/>
      <c r="H168" s="302"/>
      <c r="I168" s="303"/>
      <c r="J168" s="302"/>
      <c r="K168" s="302"/>
      <c r="L168" s="302"/>
      <c r="M168" s="236"/>
    </row>
    <row r="169" spans="1:13" x14ac:dyDescent="0.2">
      <c r="A169" s="237"/>
      <c r="B169" s="302"/>
      <c r="C169" s="302"/>
      <c r="D169" s="302"/>
      <c r="E169" s="303"/>
      <c r="F169" s="302"/>
      <c r="G169" s="302"/>
      <c r="H169" s="302"/>
      <c r="I169" s="303"/>
      <c r="J169" s="302"/>
      <c r="K169" s="302"/>
      <c r="L169" s="302"/>
      <c r="M169" s="236"/>
    </row>
    <row r="170" spans="1:13" x14ac:dyDescent="0.2">
      <c r="A170" s="237"/>
      <c r="B170" s="302"/>
      <c r="C170" s="302"/>
      <c r="D170" s="302"/>
      <c r="E170" s="303"/>
      <c r="F170" s="302"/>
      <c r="G170" s="302"/>
      <c r="H170" s="302"/>
      <c r="I170" s="303"/>
      <c r="J170" s="302"/>
      <c r="K170" s="302"/>
      <c r="L170" s="302"/>
      <c r="M170" s="236"/>
    </row>
    <row r="171" spans="1:13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</row>
    <row r="172" spans="1:13" x14ac:dyDescent="0.2">
      <c r="A172" s="237"/>
      <c r="B172" s="303"/>
      <c r="C172" s="303"/>
      <c r="D172" s="303"/>
      <c r="E172" s="303"/>
      <c r="F172" s="303"/>
      <c r="G172" s="303"/>
      <c r="H172" s="303"/>
      <c r="I172" s="303"/>
      <c r="J172" s="303"/>
      <c r="K172" s="303"/>
      <c r="L172" s="303"/>
      <c r="M172" s="236"/>
    </row>
    <row r="173" spans="1:13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</row>
    <row r="174" spans="1:13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84"/>
      <c r="M174" s="236"/>
    </row>
    <row r="175" spans="1:13" x14ac:dyDescent="0.2">
      <c r="A175" s="258"/>
      <c r="B175" s="241"/>
      <c r="C175" s="241"/>
      <c r="D175" s="241"/>
      <c r="E175" s="241"/>
      <c r="F175" s="241"/>
      <c r="G175" s="241"/>
      <c r="H175" s="241"/>
      <c r="I175" s="241"/>
      <c r="J175" s="241"/>
      <c r="K175" s="241"/>
      <c r="L175" s="236"/>
      <c r="M175" s="236"/>
    </row>
    <row r="176" spans="1:13" x14ac:dyDescent="0.2">
      <c r="A176" s="241"/>
      <c r="B176" s="375"/>
      <c r="C176" s="375"/>
      <c r="D176" s="375"/>
      <c r="E176" s="253"/>
      <c r="F176" s="375"/>
      <c r="G176" s="375"/>
      <c r="H176" s="375"/>
      <c r="I176" s="253"/>
      <c r="J176" s="375"/>
      <c r="K176" s="375"/>
      <c r="L176" s="375"/>
      <c r="M176" s="236"/>
    </row>
    <row r="177" spans="1:13" x14ac:dyDescent="0.2">
      <c r="A177" s="258"/>
      <c r="B177" s="259"/>
      <c r="C177" s="259"/>
      <c r="D177" s="259"/>
      <c r="E177" s="259"/>
      <c r="F177" s="259"/>
      <c r="G177" s="259"/>
      <c r="H177" s="259"/>
      <c r="I177" s="259"/>
      <c r="J177" s="259"/>
      <c r="K177" s="259"/>
      <c r="L177" s="259"/>
      <c r="M177" s="236"/>
    </row>
    <row r="178" spans="1:13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</row>
    <row r="179" spans="1:13" x14ac:dyDescent="0.2">
      <c r="A179" s="237"/>
      <c r="B179" s="302"/>
      <c r="C179" s="302"/>
      <c r="D179" s="302"/>
      <c r="E179" s="303"/>
      <c r="F179" s="302"/>
      <c r="G179" s="302"/>
      <c r="H179" s="302"/>
      <c r="I179" s="303"/>
      <c r="J179" s="302"/>
      <c r="K179" s="302"/>
      <c r="L179" s="302"/>
      <c r="M179" s="236"/>
    </row>
    <row r="180" spans="1:13" x14ac:dyDescent="0.2">
      <c r="A180" s="237"/>
      <c r="B180" s="302"/>
      <c r="C180" s="302"/>
      <c r="D180" s="302"/>
      <c r="E180" s="303"/>
      <c r="F180" s="302"/>
      <c r="G180" s="302"/>
      <c r="H180" s="302"/>
      <c r="I180" s="303"/>
      <c r="J180" s="302"/>
      <c r="K180" s="302"/>
      <c r="L180" s="302"/>
      <c r="M180" s="236"/>
    </row>
    <row r="181" spans="1:13" x14ac:dyDescent="0.2">
      <c r="A181" s="237"/>
      <c r="B181" s="302"/>
      <c r="C181" s="302"/>
      <c r="D181" s="302"/>
      <c r="E181" s="303"/>
      <c r="F181" s="302"/>
      <c r="G181" s="302"/>
      <c r="H181" s="302"/>
      <c r="I181" s="303"/>
      <c r="J181" s="302"/>
      <c r="K181" s="302"/>
      <c r="L181" s="302"/>
      <c r="M181" s="236"/>
    </row>
    <row r="182" spans="1:13" x14ac:dyDescent="0.2">
      <c r="A182" s="237"/>
      <c r="B182" s="302"/>
      <c r="C182" s="302"/>
      <c r="D182" s="302"/>
      <c r="E182" s="303"/>
      <c r="F182" s="302"/>
      <c r="G182" s="302"/>
      <c r="H182" s="302"/>
      <c r="I182" s="303"/>
      <c r="J182" s="302"/>
      <c r="K182" s="302"/>
      <c r="L182" s="302"/>
      <c r="M182" s="236"/>
    </row>
    <row r="183" spans="1:13" x14ac:dyDescent="0.2">
      <c r="A183" s="237"/>
      <c r="B183" s="302"/>
      <c r="C183" s="302"/>
      <c r="D183" s="302"/>
      <c r="E183" s="303"/>
      <c r="F183" s="302"/>
      <c r="G183" s="302"/>
      <c r="H183" s="302"/>
      <c r="I183" s="303"/>
      <c r="J183" s="302"/>
      <c r="K183" s="302"/>
      <c r="L183" s="302"/>
      <c r="M183" s="236"/>
    </row>
    <row r="184" spans="1:13" x14ac:dyDescent="0.2">
      <c r="A184" s="237"/>
      <c r="B184" s="302"/>
      <c r="C184" s="302"/>
      <c r="D184" s="302"/>
      <c r="E184" s="303"/>
      <c r="F184" s="302"/>
      <c r="G184" s="302"/>
      <c r="H184" s="302"/>
      <c r="I184" s="303"/>
      <c r="J184" s="302"/>
      <c r="K184" s="302"/>
      <c r="L184" s="302"/>
      <c r="M184" s="236"/>
    </row>
    <row r="185" spans="1:13" x14ac:dyDescent="0.2">
      <c r="A185" s="237"/>
      <c r="B185" s="302"/>
      <c r="C185" s="302"/>
      <c r="D185" s="302"/>
      <c r="E185" s="303"/>
      <c r="F185" s="302"/>
      <c r="G185" s="302"/>
      <c r="H185" s="302"/>
      <c r="I185" s="303"/>
      <c r="J185" s="302"/>
      <c r="K185" s="302"/>
      <c r="L185" s="302"/>
      <c r="M185" s="236"/>
    </row>
    <row r="186" spans="1:13" x14ac:dyDescent="0.2">
      <c r="A186" s="237"/>
      <c r="B186" s="302"/>
      <c r="C186" s="302"/>
      <c r="D186" s="302"/>
      <c r="E186" s="303"/>
      <c r="F186" s="302"/>
      <c r="G186" s="302"/>
      <c r="H186" s="302"/>
      <c r="I186" s="303"/>
      <c r="J186" s="302"/>
      <c r="K186" s="302"/>
      <c r="L186" s="302"/>
      <c r="M186" s="236"/>
    </row>
    <row r="187" spans="1:13" x14ac:dyDescent="0.2">
      <c r="A187" s="237"/>
      <c r="B187" s="302"/>
      <c r="C187" s="302"/>
      <c r="D187" s="302"/>
      <c r="E187" s="303"/>
      <c r="F187" s="302"/>
      <c r="G187" s="302"/>
      <c r="H187" s="302"/>
      <c r="I187" s="303"/>
      <c r="J187" s="302"/>
      <c r="K187" s="302"/>
      <c r="L187" s="302"/>
      <c r="M187" s="236"/>
    </row>
    <row r="188" spans="1:13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</row>
    <row r="189" spans="1:13" x14ac:dyDescent="0.2">
      <c r="A189" s="237"/>
      <c r="B189" s="303"/>
      <c r="C189" s="303"/>
      <c r="D189" s="303"/>
      <c r="E189" s="303"/>
      <c r="F189" s="303"/>
      <c r="G189" s="303"/>
      <c r="H189" s="303"/>
      <c r="I189" s="303"/>
      <c r="J189" s="303"/>
      <c r="K189" s="303"/>
      <c r="L189" s="303"/>
      <c r="M189" s="236"/>
    </row>
    <row r="190" spans="1:13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</row>
    <row r="191" spans="1:13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84"/>
      <c r="M191" s="236"/>
    </row>
    <row r="192" spans="1:13" x14ac:dyDescent="0.2">
      <c r="A192" s="258"/>
      <c r="B192" s="241"/>
      <c r="C192" s="241"/>
      <c r="D192" s="241"/>
      <c r="E192" s="241"/>
      <c r="F192" s="241"/>
      <c r="G192" s="241"/>
      <c r="H192" s="241"/>
      <c r="I192" s="241"/>
      <c r="J192" s="241"/>
      <c r="K192" s="241"/>
      <c r="L192" s="236"/>
      <c r="M192" s="236"/>
    </row>
    <row r="193" spans="1:13" x14ac:dyDescent="0.2">
      <c r="A193" s="241"/>
      <c r="B193" s="375"/>
      <c r="C193" s="375"/>
      <c r="D193" s="375"/>
      <c r="E193" s="253"/>
      <c r="F193" s="375"/>
      <c r="G193" s="375"/>
      <c r="H193" s="375"/>
      <c r="I193" s="253"/>
      <c r="J193" s="375"/>
      <c r="K193" s="375"/>
      <c r="L193" s="375"/>
      <c r="M193" s="236"/>
    </row>
    <row r="194" spans="1:13" x14ac:dyDescent="0.2">
      <c r="A194" s="258"/>
      <c r="B194" s="259"/>
      <c r="C194" s="259"/>
      <c r="D194" s="259"/>
      <c r="E194" s="259"/>
      <c r="F194" s="259"/>
      <c r="G194" s="259"/>
      <c r="H194" s="259"/>
      <c r="I194" s="259"/>
      <c r="J194" s="259"/>
      <c r="K194" s="259"/>
      <c r="L194" s="259"/>
      <c r="M194" s="236"/>
    </row>
    <row r="195" spans="1:13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</row>
    <row r="196" spans="1:13" x14ac:dyDescent="0.2">
      <c r="A196" s="237"/>
      <c r="B196" s="302"/>
      <c r="C196" s="302"/>
      <c r="D196" s="302"/>
      <c r="E196" s="303"/>
      <c r="F196" s="302"/>
      <c r="G196" s="302"/>
      <c r="H196" s="302"/>
      <c r="I196" s="303"/>
      <c r="J196" s="302"/>
      <c r="K196" s="302"/>
      <c r="L196" s="302"/>
      <c r="M196" s="236"/>
    </row>
    <row r="197" spans="1:13" x14ac:dyDescent="0.2">
      <c r="A197" s="237"/>
      <c r="B197" s="302"/>
      <c r="C197" s="302"/>
      <c r="D197" s="302"/>
      <c r="E197" s="303"/>
      <c r="F197" s="302"/>
      <c r="G197" s="302"/>
      <c r="H197" s="302"/>
      <c r="I197" s="303"/>
      <c r="J197" s="302"/>
      <c r="K197" s="302"/>
      <c r="L197" s="302"/>
      <c r="M197" s="236"/>
    </row>
    <row r="198" spans="1:13" x14ac:dyDescent="0.2">
      <c r="A198" s="237"/>
      <c r="B198" s="302"/>
      <c r="C198" s="302"/>
      <c r="D198" s="302"/>
      <c r="E198" s="303"/>
      <c r="F198" s="302"/>
      <c r="G198" s="302"/>
      <c r="H198" s="302"/>
      <c r="I198" s="303"/>
      <c r="J198" s="302"/>
      <c r="K198" s="302"/>
      <c r="L198" s="302"/>
      <c r="M198" s="236"/>
    </row>
    <row r="199" spans="1:13" x14ac:dyDescent="0.2">
      <c r="A199" s="237"/>
      <c r="B199" s="302"/>
      <c r="C199" s="302"/>
      <c r="D199" s="302"/>
      <c r="E199" s="303"/>
      <c r="F199" s="302"/>
      <c r="G199" s="302"/>
      <c r="H199" s="302"/>
      <c r="I199" s="303"/>
      <c r="J199" s="302"/>
      <c r="K199" s="302"/>
      <c r="L199" s="302"/>
      <c r="M199" s="236"/>
    </row>
    <row r="200" spans="1:13" x14ac:dyDescent="0.2">
      <c r="A200" s="237"/>
      <c r="B200" s="302"/>
      <c r="C200" s="302"/>
      <c r="D200" s="302"/>
      <c r="E200" s="303"/>
      <c r="F200" s="302"/>
      <c r="G200" s="302"/>
      <c r="H200" s="302"/>
      <c r="I200" s="303"/>
      <c r="J200" s="302"/>
      <c r="K200" s="302"/>
      <c r="L200" s="302"/>
      <c r="M200" s="236"/>
    </row>
    <row r="201" spans="1:13" x14ac:dyDescent="0.2">
      <c r="A201" s="237"/>
      <c r="B201" s="302"/>
      <c r="C201" s="302"/>
      <c r="D201" s="302"/>
      <c r="E201" s="303"/>
      <c r="F201" s="302"/>
      <c r="G201" s="302"/>
      <c r="H201" s="302"/>
      <c r="I201" s="303"/>
      <c r="J201" s="302"/>
      <c r="K201" s="302"/>
      <c r="L201" s="302"/>
      <c r="M201" s="236"/>
    </row>
    <row r="202" spans="1:13" x14ac:dyDescent="0.2">
      <c r="A202" s="237"/>
      <c r="B202" s="302"/>
      <c r="C202" s="302"/>
      <c r="D202" s="302"/>
      <c r="E202" s="303"/>
      <c r="F202" s="302"/>
      <c r="G202" s="302"/>
      <c r="H202" s="302"/>
      <c r="I202" s="303"/>
      <c r="J202" s="302"/>
      <c r="K202" s="302"/>
      <c r="L202" s="302"/>
      <c r="M202" s="236"/>
    </row>
    <row r="203" spans="1:13" x14ac:dyDescent="0.2">
      <c r="A203" s="237"/>
      <c r="B203" s="302"/>
      <c r="C203" s="302"/>
      <c r="D203" s="302"/>
      <c r="E203" s="303"/>
      <c r="F203" s="302"/>
      <c r="G203" s="302"/>
      <c r="H203" s="302"/>
      <c r="I203" s="303"/>
      <c r="J203" s="302"/>
      <c r="K203" s="302"/>
      <c r="L203" s="302"/>
      <c r="M203" s="236"/>
    </row>
    <row r="204" spans="1:13" x14ac:dyDescent="0.2">
      <c r="A204" s="237"/>
      <c r="B204" s="302"/>
      <c r="C204" s="302"/>
      <c r="D204" s="302"/>
      <c r="E204" s="303"/>
      <c r="F204" s="302"/>
      <c r="G204" s="302"/>
      <c r="H204" s="302"/>
      <c r="I204" s="303"/>
      <c r="J204" s="302"/>
      <c r="K204" s="302"/>
      <c r="L204" s="302"/>
      <c r="M204" s="236"/>
    </row>
    <row r="205" spans="1:13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</row>
    <row r="206" spans="1:13" x14ac:dyDescent="0.2">
      <c r="A206" s="237"/>
      <c r="B206" s="303"/>
      <c r="C206" s="303"/>
      <c r="D206" s="303"/>
      <c r="E206" s="303"/>
      <c r="F206" s="303"/>
      <c r="G206" s="303"/>
      <c r="H206" s="303"/>
      <c r="I206" s="303"/>
      <c r="J206" s="303"/>
      <c r="K206" s="303"/>
      <c r="L206" s="303"/>
      <c r="M206" s="236"/>
    </row>
    <row r="207" spans="1:13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</row>
    <row r="208" spans="1:13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84"/>
      <c r="M208" s="236"/>
    </row>
    <row r="209" spans="1:13" x14ac:dyDescent="0.2">
      <c r="A209" s="258"/>
      <c r="B209" s="241"/>
      <c r="C209" s="241"/>
      <c r="D209" s="241"/>
      <c r="E209" s="241"/>
      <c r="F209" s="241"/>
      <c r="G209" s="241"/>
      <c r="H209" s="241"/>
      <c r="I209" s="241"/>
      <c r="J209" s="241"/>
      <c r="K209" s="241"/>
      <c r="L209" s="236"/>
      <c r="M209" s="236"/>
    </row>
    <row r="210" spans="1:13" x14ac:dyDescent="0.2">
      <c r="A210" s="241"/>
      <c r="B210" s="375"/>
      <c r="C210" s="375"/>
      <c r="D210" s="375"/>
      <c r="E210" s="253"/>
      <c r="F210" s="375"/>
      <c r="G210" s="375"/>
      <c r="H210" s="375"/>
      <c r="I210" s="253"/>
      <c r="J210" s="375"/>
      <c r="K210" s="375"/>
      <c r="L210" s="375"/>
      <c r="M210" s="236"/>
    </row>
    <row r="211" spans="1:13" x14ac:dyDescent="0.2">
      <c r="A211" s="258"/>
      <c r="B211" s="259"/>
      <c r="C211" s="259"/>
      <c r="D211" s="259"/>
      <c r="E211" s="259"/>
      <c r="F211" s="259"/>
      <c r="G211" s="259"/>
      <c r="H211" s="259"/>
      <c r="I211" s="259"/>
      <c r="J211" s="259"/>
      <c r="K211" s="259"/>
      <c r="L211" s="259"/>
      <c r="M211" s="236"/>
    </row>
    <row r="212" spans="1:13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</row>
    <row r="213" spans="1:13" x14ac:dyDescent="0.2">
      <c r="A213" s="237"/>
      <c r="B213" s="302"/>
      <c r="C213" s="302"/>
      <c r="D213" s="302"/>
      <c r="E213" s="303"/>
      <c r="F213" s="302"/>
      <c r="G213" s="302"/>
      <c r="H213" s="302"/>
      <c r="I213" s="303"/>
      <c r="J213" s="302"/>
      <c r="K213" s="302"/>
      <c r="L213" s="302"/>
      <c r="M213" s="236"/>
    </row>
    <row r="214" spans="1:13" x14ac:dyDescent="0.2">
      <c r="A214" s="237"/>
      <c r="B214" s="302"/>
      <c r="C214" s="302"/>
      <c r="D214" s="302"/>
      <c r="E214" s="303"/>
      <c r="F214" s="302"/>
      <c r="G214" s="302"/>
      <c r="H214" s="302"/>
      <c r="I214" s="303"/>
      <c r="J214" s="302"/>
      <c r="K214" s="302"/>
      <c r="L214" s="302"/>
      <c r="M214" s="236"/>
    </row>
    <row r="215" spans="1:13" x14ac:dyDescent="0.2">
      <c r="A215" s="237"/>
      <c r="B215" s="302"/>
      <c r="C215" s="302"/>
      <c r="D215" s="302"/>
      <c r="E215" s="303"/>
      <c r="F215" s="302"/>
      <c r="G215" s="302"/>
      <c r="H215" s="302"/>
      <c r="I215" s="303"/>
      <c r="J215" s="302"/>
      <c r="K215" s="302"/>
      <c r="L215" s="302"/>
      <c r="M215" s="236"/>
    </row>
    <row r="216" spans="1:13" x14ac:dyDescent="0.2">
      <c r="A216" s="237"/>
      <c r="B216" s="302"/>
      <c r="C216" s="302"/>
      <c r="D216" s="302"/>
      <c r="E216" s="303"/>
      <c r="F216" s="302"/>
      <c r="G216" s="302"/>
      <c r="H216" s="302"/>
      <c r="I216" s="303"/>
      <c r="J216" s="302"/>
      <c r="K216" s="302"/>
      <c r="L216" s="302"/>
      <c r="M216" s="236"/>
    </row>
    <row r="217" spans="1:13" x14ac:dyDescent="0.2">
      <c r="A217" s="237"/>
      <c r="B217" s="302"/>
      <c r="C217" s="302"/>
      <c r="D217" s="302"/>
      <c r="E217" s="303"/>
      <c r="F217" s="302"/>
      <c r="G217" s="302"/>
      <c r="H217" s="302"/>
      <c r="I217" s="303"/>
      <c r="J217" s="302"/>
      <c r="K217" s="302"/>
      <c r="L217" s="302"/>
      <c r="M217" s="236"/>
    </row>
    <row r="218" spans="1:13" x14ac:dyDescent="0.2">
      <c r="A218" s="237"/>
      <c r="B218" s="302"/>
      <c r="C218" s="302"/>
      <c r="D218" s="302"/>
      <c r="E218" s="303"/>
      <c r="F218" s="302"/>
      <c r="G218" s="302"/>
      <c r="H218" s="302"/>
      <c r="I218" s="303"/>
      <c r="J218" s="302"/>
      <c r="K218" s="302"/>
      <c r="L218" s="302"/>
      <c r="M218" s="236"/>
    </row>
    <row r="219" spans="1:13" x14ac:dyDescent="0.2">
      <c r="A219" s="237"/>
      <c r="B219" s="302"/>
      <c r="C219" s="302"/>
      <c r="D219" s="302"/>
      <c r="E219" s="303"/>
      <c r="F219" s="302"/>
      <c r="G219" s="302"/>
      <c r="H219" s="302"/>
      <c r="I219" s="303"/>
      <c r="J219" s="302"/>
      <c r="K219" s="302"/>
      <c r="L219" s="302"/>
      <c r="M219" s="236"/>
    </row>
    <row r="220" spans="1:13" x14ac:dyDescent="0.2">
      <c r="A220" s="237"/>
      <c r="B220" s="302"/>
      <c r="C220" s="302"/>
      <c r="D220" s="302"/>
      <c r="E220" s="303"/>
      <c r="F220" s="302"/>
      <c r="G220" s="302"/>
      <c r="H220" s="302"/>
      <c r="I220" s="303"/>
      <c r="J220" s="302"/>
      <c r="K220" s="302"/>
      <c r="L220" s="302"/>
      <c r="M220" s="236"/>
    </row>
    <row r="221" spans="1:13" x14ac:dyDescent="0.2">
      <c r="A221" s="237"/>
      <c r="B221" s="302"/>
      <c r="C221" s="302"/>
      <c r="D221" s="302"/>
      <c r="E221" s="303"/>
      <c r="F221" s="302"/>
      <c r="G221" s="302"/>
      <c r="H221" s="302"/>
      <c r="I221" s="303"/>
      <c r="J221" s="302"/>
      <c r="K221" s="302"/>
      <c r="L221" s="302"/>
      <c r="M221" s="236"/>
    </row>
    <row r="222" spans="1:13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</row>
    <row r="223" spans="1:13" x14ac:dyDescent="0.2">
      <c r="A223" s="237"/>
      <c r="B223" s="303"/>
      <c r="C223" s="303"/>
      <c r="D223" s="303"/>
      <c r="E223" s="303"/>
      <c r="F223" s="303"/>
      <c r="G223" s="303"/>
      <c r="H223" s="303"/>
      <c r="I223" s="303"/>
      <c r="J223" s="303"/>
      <c r="K223" s="303"/>
      <c r="L223" s="303"/>
      <c r="M223" s="236"/>
    </row>
    <row r="224" spans="1:13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</row>
    <row r="225" spans="1:13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84"/>
      <c r="M225" s="236"/>
    </row>
    <row r="226" spans="1:13" x14ac:dyDescent="0.2">
      <c r="A226" s="258"/>
      <c r="B226" s="241"/>
      <c r="C226" s="241"/>
      <c r="D226" s="241"/>
      <c r="E226" s="241"/>
      <c r="F226" s="241"/>
      <c r="G226" s="241"/>
      <c r="H226" s="241"/>
      <c r="I226" s="241"/>
      <c r="J226" s="241"/>
      <c r="K226" s="241"/>
      <c r="L226" s="236"/>
      <c r="M226" s="236"/>
    </row>
    <row r="227" spans="1:13" x14ac:dyDescent="0.2">
      <c r="A227" s="241"/>
      <c r="B227" s="375"/>
      <c r="C227" s="375"/>
      <c r="D227" s="375"/>
      <c r="E227" s="253"/>
      <c r="F227" s="375"/>
      <c r="G227" s="375"/>
      <c r="H227" s="375"/>
      <c r="I227" s="253"/>
      <c r="J227" s="375"/>
      <c r="K227" s="375"/>
      <c r="L227" s="375"/>
      <c r="M227" s="236"/>
    </row>
    <row r="228" spans="1:13" x14ac:dyDescent="0.2">
      <c r="A228" s="258"/>
      <c r="B228" s="259"/>
      <c r="C228" s="259"/>
      <c r="D228" s="259"/>
      <c r="E228" s="259"/>
      <c r="F228" s="259"/>
      <c r="G228" s="259"/>
      <c r="H228" s="259"/>
      <c r="I228" s="259"/>
      <c r="J228" s="259"/>
      <c r="K228" s="259"/>
      <c r="L228" s="259"/>
      <c r="M228" s="236"/>
    </row>
    <row r="229" spans="1:13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</row>
    <row r="230" spans="1:13" x14ac:dyDescent="0.2">
      <c r="A230" s="237"/>
      <c r="B230" s="302"/>
      <c r="C230" s="302"/>
      <c r="D230" s="302"/>
      <c r="E230" s="303"/>
      <c r="F230" s="302"/>
      <c r="G230" s="302"/>
      <c r="H230" s="302"/>
      <c r="I230" s="303"/>
      <c r="J230" s="302"/>
      <c r="K230" s="302"/>
      <c r="L230" s="302"/>
      <c r="M230" s="236"/>
    </row>
    <row r="231" spans="1:13" x14ac:dyDescent="0.2">
      <c r="A231" s="237"/>
      <c r="B231" s="302"/>
      <c r="C231" s="302"/>
      <c r="D231" s="302"/>
      <c r="E231" s="303"/>
      <c r="F231" s="302"/>
      <c r="G231" s="302"/>
      <c r="H231" s="302"/>
      <c r="I231" s="303"/>
      <c r="J231" s="302"/>
      <c r="K231" s="302"/>
      <c r="L231" s="302"/>
      <c r="M231" s="236"/>
    </row>
    <row r="232" spans="1:13" x14ac:dyDescent="0.2">
      <c r="A232" s="237"/>
      <c r="B232" s="302"/>
      <c r="C232" s="302"/>
      <c r="D232" s="302"/>
      <c r="E232" s="303"/>
      <c r="F232" s="302"/>
      <c r="G232" s="302"/>
      <c r="H232" s="302"/>
      <c r="I232" s="303"/>
      <c r="J232" s="302"/>
      <c r="K232" s="302"/>
      <c r="L232" s="302"/>
      <c r="M232" s="236"/>
    </row>
    <row r="233" spans="1:13" x14ac:dyDescent="0.2">
      <c r="A233" s="237"/>
      <c r="B233" s="302"/>
      <c r="C233" s="302"/>
      <c r="D233" s="302"/>
      <c r="E233" s="303"/>
      <c r="F233" s="302"/>
      <c r="G233" s="302"/>
      <c r="H233" s="302"/>
      <c r="I233" s="303"/>
      <c r="J233" s="302"/>
      <c r="K233" s="302"/>
      <c r="L233" s="302"/>
      <c r="M233" s="236"/>
    </row>
    <row r="234" spans="1:13" x14ac:dyDescent="0.2">
      <c r="A234" s="237"/>
      <c r="B234" s="302"/>
      <c r="C234" s="302"/>
      <c r="D234" s="302"/>
      <c r="E234" s="303"/>
      <c r="F234" s="302"/>
      <c r="G234" s="302"/>
      <c r="H234" s="302"/>
      <c r="I234" s="303"/>
      <c r="J234" s="302"/>
      <c r="K234" s="302"/>
      <c r="L234" s="302"/>
      <c r="M234" s="236"/>
    </row>
    <row r="235" spans="1:13" x14ac:dyDescent="0.2">
      <c r="A235" s="237"/>
      <c r="B235" s="302"/>
      <c r="C235" s="302"/>
      <c r="D235" s="302"/>
      <c r="E235" s="303"/>
      <c r="F235" s="302"/>
      <c r="G235" s="302"/>
      <c r="H235" s="302"/>
      <c r="I235" s="303"/>
      <c r="J235" s="302"/>
      <c r="K235" s="302"/>
      <c r="L235" s="302"/>
      <c r="M235" s="236"/>
    </row>
    <row r="236" spans="1:13" x14ac:dyDescent="0.2">
      <c r="A236" s="237"/>
      <c r="B236" s="302"/>
      <c r="C236" s="302"/>
      <c r="D236" s="302"/>
      <c r="E236" s="303"/>
      <c r="F236" s="302"/>
      <c r="G236" s="302"/>
      <c r="H236" s="302"/>
      <c r="I236" s="303"/>
      <c r="J236" s="302"/>
      <c r="K236" s="302"/>
      <c r="L236" s="302"/>
      <c r="M236" s="236"/>
    </row>
    <row r="237" spans="1:13" x14ac:dyDescent="0.2">
      <c r="A237" s="237"/>
      <c r="B237" s="302"/>
      <c r="C237" s="302"/>
      <c r="D237" s="302"/>
      <c r="E237" s="303"/>
      <c r="F237" s="302"/>
      <c r="G237" s="302"/>
      <c r="H237" s="302"/>
      <c r="I237" s="303"/>
      <c r="J237" s="302"/>
      <c r="K237" s="302"/>
      <c r="L237" s="302"/>
      <c r="M237" s="236"/>
    </row>
    <row r="238" spans="1:13" x14ac:dyDescent="0.2">
      <c r="A238" s="237"/>
      <c r="B238" s="302"/>
      <c r="C238" s="302"/>
      <c r="D238" s="302"/>
      <c r="E238" s="303"/>
      <c r="F238" s="302"/>
      <c r="G238" s="302"/>
      <c r="H238" s="302"/>
      <c r="I238" s="303"/>
      <c r="J238" s="302"/>
      <c r="K238" s="302"/>
      <c r="L238" s="302"/>
      <c r="M238" s="236"/>
    </row>
    <row r="239" spans="1:13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</row>
    <row r="240" spans="1:13" x14ac:dyDescent="0.2">
      <c r="A240" s="237"/>
      <c r="B240" s="303"/>
      <c r="C240" s="303"/>
      <c r="D240" s="303"/>
      <c r="E240" s="303"/>
      <c r="F240" s="303"/>
      <c r="G240" s="303"/>
      <c r="H240" s="303"/>
      <c r="I240" s="303"/>
      <c r="J240" s="303"/>
      <c r="K240" s="303"/>
      <c r="L240" s="303"/>
      <c r="M240" s="236"/>
    </row>
    <row r="241" spans="1:13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</row>
    <row r="242" spans="1:13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84"/>
      <c r="M242" s="236"/>
    </row>
    <row r="243" spans="1:13" x14ac:dyDescent="0.2">
      <c r="A243" s="258"/>
      <c r="B243" s="241"/>
      <c r="C243" s="241"/>
      <c r="D243" s="241"/>
      <c r="E243" s="241"/>
      <c r="F243" s="241"/>
      <c r="G243" s="241"/>
      <c r="H243" s="241"/>
      <c r="I243" s="241"/>
      <c r="J243" s="241"/>
      <c r="K243" s="241"/>
      <c r="L243" s="236"/>
      <c r="M243" s="236"/>
    </row>
    <row r="244" spans="1:13" x14ac:dyDescent="0.2">
      <c r="A244" s="241"/>
      <c r="B244" s="375"/>
      <c r="C244" s="375"/>
      <c r="D244" s="375"/>
      <c r="E244" s="253"/>
      <c r="F244" s="375"/>
      <c r="G244" s="375"/>
      <c r="H244" s="375"/>
      <c r="I244" s="253"/>
      <c r="J244" s="375"/>
      <c r="K244" s="375"/>
      <c r="L244" s="375"/>
      <c r="M244" s="236"/>
    </row>
    <row r="245" spans="1:13" x14ac:dyDescent="0.2">
      <c r="A245" s="258"/>
      <c r="B245" s="259"/>
      <c r="C245" s="259"/>
      <c r="D245" s="259"/>
      <c r="E245" s="259"/>
      <c r="F245" s="259"/>
      <c r="G245" s="259"/>
      <c r="H245" s="259"/>
      <c r="I245" s="259"/>
      <c r="J245" s="259"/>
      <c r="K245" s="259"/>
      <c r="L245" s="259"/>
      <c r="M245" s="236"/>
    </row>
    <row r="246" spans="1:13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</row>
    <row r="247" spans="1:13" x14ac:dyDescent="0.2">
      <c r="A247" s="237"/>
      <c r="B247" s="302"/>
      <c r="C247" s="302"/>
      <c r="D247" s="302"/>
      <c r="E247" s="303"/>
      <c r="F247" s="302"/>
      <c r="G247" s="302"/>
      <c r="H247" s="302"/>
      <c r="I247" s="303"/>
      <c r="J247" s="302"/>
      <c r="K247" s="302"/>
      <c r="L247" s="302"/>
      <c r="M247" s="236"/>
    </row>
    <row r="248" spans="1:13" x14ac:dyDescent="0.2">
      <c r="A248" s="237"/>
      <c r="B248" s="302"/>
      <c r="C248" s="302"/>
      <c r="D248" s="302"/>
      <c r="E248" s="303"/>
      <c r="F248" s="302"/>
      <c r="G248" s="302"/>
      <c r="H248" s="302"/>
      <c r="I248" s="303"/>
      <c r="J248" s="302"/>
      <c r="K248" s="302"/>
      <c r="L248" s="302"/>
      <c r="M248" s="236"/>
    </row>
    <row r="249" spans="1:13" x14ac:dyDescent="0.2">
      <c r="A249" s="237"/>
      <c r="B249" s="302"/>
      <c r="C249" s="302"/>
      <c r="D249" s="302"/>
      <c r="E249" s="303"/>
      <c r="F249" s="302"/>
      <c r="G249" s="302"/>
      <c r="H249" s="302"/>
      <c r="I249" s="303"/>
      <c r="J249" s="302"/>
      <c r="K249" s="302"/>
      <c r="L249" s="302"/>
      <c r="M249" s="236"/>
    </row>
    <row r="250" spans="1:13" x14ac:dyDescent="0.2">
      <c r="A250" s="237"/>
      <c r="B250" s="302"/>
      <c r="C250" s="302"/>
      <c r="D250" s="302"/>
      <c r="E250" s="303"/>
      <c r="F250" s="302"/>
      <c r="G250" s="302"/>
      <c r="H250" s="302"/>
      <c r="I250" s="303"/>
      <c r="J250" s="302"/>
      <c r="K250" s="302"/>
      <c r="L250" s="302"/>
      <c r="M250" s="236"/>
    </row>
    <row r="251" spans="1:13" x14ac:dyDescent="0.2">
      <c r="A251" s="237"/>
      <c r="B251" s="302"/>
      <c r="C251" s="302"/>
      <c r="D251" s="302"/>
      <c r="E251" s="303"/>
      <c r="F251" s="302"/>
      <c r="G251" s="302"/>
      <c r="H251" s="302"/>
      <c r="I251" s="303"/>
      <c r="J251" s="302"/>
      <c r="K251" s="302"/>
      <c r="L251" s="302"/>
      <c r="M251" s="236"/>
    </row>
    <row r="252" spans="1:13" x14ac:dyDescent="0.2">
      <c r="A252" s="237"/>
      <c r="B252" s="302"/>
      <c r="C252" s="302"/>
      <c r="D252" s="302"/>
      <c r="E252" s="303"/>
      <c r="F252" s="302"/>
      <c r="G252" s="302"/>
      <c r="H252" s="302"/>
      <c r="I252" s="303"/>
      <c r="J252" s="302"/>
      <c r="K252" s="302"/>
      <c r="L252" s="302"/>
      <c r="M252" s="236"/>
    </row>
    <row r="253" spans="1:13" x14ac:dyDescent="0.2">
      <c r="A253" s="237"/>
      <c r="B253" s="302"/>
      <c r="C253" s="302"/>
      <c r="D253" s="302"/>
      <c r="E253" s="303"/>
      <c r="F253" s="302"/>
      <c r="G253" s="302"/>
      <c r="H253" s="302"/>
      <c r="I253" s="303"/>
      <c r="J253" s="302"/>
      <c r="K253" s="302"/>
      <c r="L253" s="302"/>
      <c r="M253" s="236"/>
    </row>
    <row r="254" spans="1:13" x14ac:dyDescent="0.2">
      <c r="A254" s="237"/>
      <c r="B254" s="302"/>
      <c r="C254" s="302"/>
      <c r="D254" s="302"/>
      <c r="E254" s="303"/>
      <c r="F254" s="302"/>
      <c r="G254" s="302"/>
      <c r="H254" s="302"/>
      <c r="I254" s="303"/>
      <c r="J254" s="302"/>
      <c r="K254" s="302"/>
      <c r="L254" s="302"/>
      <c r="M254" s="236"/>
    </row>
    <row r="255" spans="1:13" x14ac:dyDescent="0.2">
      <c r="A255" s="237"/>
      <c r="B255" s="302"/>
      <c r="C255" s="302"/>
      <c r="D255" s="302"/>
      <c r="E255" s="303"/>
      <c r="F255" s="302"/>
      <c r="G255" s="302"/>
      <c r="H255" s="302"/>
      <c r="I255" s="303"/>
      <c r="J255" s="302"/>
      <c r="K255" s="302"/>
      <c r="L255" s="302"/>
      <c r="M255" s="236"/>
    </row>
    <row r="256" spans="1:13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</row>
    <row r="257" spans="1:13" x14ac:dyDescent="0.2">
      <c r="A257" s="237"/>
      <c r="B257" s="303"/>
      <c r="C257" s="303"/>
      <c r="D257" s="303"/>
      <c r="E257" s="303"/>
      <c r="F257" s="303"/>
      <c r="G257" s="303"/>
      <c r="H257" s="303"/>
      <c r="I257" s="303"/>
      <c r="J257" s="303"/>
      <c r="K257" s="303"/>
      <c r="L257" s="303"/>
      <c r="M257" s="236"/>
    </row>
    <row r="258" spans="1:13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</row>
    <row r="259" spans="1:13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84"/>
      <c r="M259" s="236"/>
    </row>
    <row r="260" spans="1:13" x14ac:dyDescent="0.2">
      <c r="A260" s="258"/>
      <c r="B260" s="241"/>
      <c r="C260" s="241"/>
      <c r="D260" s="241"/>
      <c r="E260" s="241"/>
      <c r="F260" s="241"/>
      <c r="G260" s="241"/>
      <c r="H260" s="241"/>
      <c r="I260" s="241"/>
      <c r="J260" s="241"/>
      <c r="K260" s="241"/>
      <c r="L260" s="236"/>
      <c r="M260" s="236"/>
    </row>
    <row r="261" spans="1:13" x14ac:dyDescent="0.2">
      <c r="A261" s="241"/>
      <c r="B261" s="375"/>
      <c r="C261" s="375"/>
      <c r="D261" s="375"/>
      <c r="E261" s="253"/>
      <c r="F261" s="375"/>
      <c r="G261" s="375"/>
      <c r="H261" s="375"/>
      <c r="I261" s="253"/>
      <c r="J261" s="375"/>
      <c r="K261" s="375"/>
      <c r="L261" s="375"/>
      <c r="M261" s="236"/>
    </row>
    <row r="262" spans="1:13" x14ac:dyDescent="0.2">
      <c r="A262" s="258"/>
      <c r="B262" s="259"/>
      <c r="C262" s="259"/>
      <c r="D262" s="259"/>
      <c r="E262" s="259"/>
      <c r="F262" s="259"/>
      <c r="G262" s="259"/>
      <c r="H262" s="259"/>
      <c r="I262" s="259"/>
      <c r="J262" s="259"/>
      <c r="K262" s="259"/>
      <c r="L262" s="259"/>
      <c r="M262" s="236"/>
    </row>
    <row r="263" spans="1:13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</row>
    <row r="264" spans="1:13" x14ac:dyDescent="0.2">
      <c r="A264" s="237"/>
      <c r="B264" s="302"/>
      <c r="C264" s="302"/>
      <c r="D264" s="302"/>
      <c r="E264" s="303"/>
      <c r="F264" s="302"/>
      <c r="G264" s="302"/>
      <c r="H264" s="302"/>
      <c r="I264" s="303"/>
      <c r="J264" s="302"/>
      <c r="K264" s="302"/>
      <c r="L264" s="302"/>
      <c r="M264" s="236"/>
    </row>
    <row r="265" spans="1:13" x14ac:dyDescent="0.2">
      <c r="A265" s="237"/>
      <c r="B265" s="302"/>
      <c r="C265" s="302"/>
      <c r="D265" s="302"/>
      <c r="E265" s="303"/>
      <c r="F265" s="302"/>
      <c r="G265" s="302"/>
      <c r="H265" s="302"/>
      <c r="I265" s="303"/>
      <c r="J265" s="302"/>
      <c r="K265" s="302"/>
      <c r="L265" s="302"/>
      <c r="M265" s="236"/>
    </row>
    <row r="266" spans="1:13" x14ac:dyDescent="0.2">
      <c r="A266" s="237"/>
      <c r="B266" s="302"/>
      <c r="C266" s="302"/>
      <c r="D266" s="302"/>
      <c r="E266" s="303"/>
      <c r="F266" s="302"/>
      <c r="G266" s="302"/>
      <c r="H266" s="302"/>
      <c r="I266" s="303"/>
      <c r="J266" s="302"/>
      <c r="K266" s="302"/>
      <c r="L266" s="302"/>
      <c r="M266" s="236"/>
    </row>
    <row r="267" spans="1:13" x14ac:dyDescent="0.2">
      <c r="A267" s="237"/>
      <c r="B267" s="302"/>
      <c r="C267" s="302"/>
      <c r="D267" s="302"/>
      <c r="E267" s="303"/>
      <c r="F267" s="302"/>
      <c r="G267" s="302"/>
      <c r="H267" s="302"/>
      <c r="I267" s="303"/>
      <c r="J267" s="302"/>
      <c r="K267" s="302"/>
      <c r="L267" s="302"/>
      <c r="M267" s="236"/>
    </row>
    <row r="268" spans="1:13" x14ac:dyDescent="0.2">
      <c r="A268" s="237"/>
      <c r="B268" s="302"/>
      <c r="C268" s="302"/>
      <c r="D268" s="302"/>
      <c r="E268" s="303"/>
      <c r="F268" s="302"/>
      <c r="G268" s="302"/>
      <c r="H268" s="302"/>
      <c r="I268" s="303"/>
      <c r="J268" s="302"/>
      <c r="K268" s="302"/>
      <c r="L268" s="302"/>
      <c r="M268" s="236"/>
    </row>
    <row r="269" spans="1:13" x14ac:dyDescent="0.2">
      <c r="A269" s="237"/>
      <c r="B269" s="302"/>
      <c r="C269" s="302"/>
      <c r="D269" s="302"/>
      <c r="E269" s="303"/>
      <c r="F269" s="302"/>
      <c r="G269" s="302"/>
      <c r="H269" s="302"/>
      <c r="I269" s="303"/>
      <c r="J269" s="302"/>
      <c r="K269" s="302"/>
      <c r="L269" s="302"/>
      <c r="M269" s="236"/>
    </row>
    <row r="270" spans="1:13" x14ac:dyDescent="0.2">
      <c r="A270" s="237"/>
      <c r="B270" s="302"/>
      <c r="C270" s="302"/>
      <c r="D270" s="302"/>
      <c r="E270" s="303"/>
      <c r="F270" s="302"/>
      <c r="G270" s="302"/>
      <c r="H270" s="302"/>
      <c r="I270" s="303"/>
      <c r="J270" s="302"/>
      <c r="K270" s="302"/>
      <c r="L270" s="302"/>
      <c r="M270" s="236"/>
    </row>
    <row r="271" spans="1:13" x14ac:dyDescent="0.2">
      <c r="A271" s="237"/>
      <c r="B271" s="302"/>
      <c r="C271" s="302"/>
      <c r="D271" s="302"/>
      <c r="E271" s="303"/>
      <c r="F271" s="302"/>
      <c r="G271" s="302"/>
      <c r="H271" s="302"/>
      <c r="I271" s="303"/>
      <c r="J271" s="302"/>
      <c r="K271" s="302"/>
      <c r="L271" s="302"/>
      <c r="M271" s="236"/>
    </row>
    <row r="272" spans="1:13" x14ac:dyDescent="0.2">
      <c r="A272" s="237"/>
      <c r="B272" s="302"/>
      <c r="C272" s="302"/>
      <c r="D272" s="302"/>
      <c r="E272" s="303"/>
      <c r="F272" s="302"/>
      <c r="G272" s="302"/>
      <c r="H272" s="302"/>
      <c r="I272" s="303"/>
      <c r="J272" s="302"/>
      <c r="K272" s="302"/>
      <c r="L272" s="302"/>
      <c r="M272" s="236"/>
    </row>
    <row r="273" spans="1:13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</row>
    <row r="274" spans="1:13" x14ac:dyDescent="0.2">
      <c r="A274" s="237"/>
      <c r="B274" s="303"/>
      <c r="C274" s="303"/>
      <c r="D274" s="303"/>
      <c r="E274" s="303"/>
      <c r="F274" s="303"/>
      <c r="G274" s="303"/>
      <c r="H274" s="303"/>
      <c r="I274" s="303"/>
      <c r="J274" s="303"/>
      <c r="K274" s="303"/>
      <c r="L274" s="303"/>
      <c r="M274" s="236"/>
    </row>
    <row r="275" spans="1:13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</row>
    <row r="276" spans="1:13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84"/>
      <c r="M276" s="236"/>
    </row>
    <row r="277" spans="1:13" x14ac:dyDescent="0.2">
      <c r="A277" s="258"/>
      <c r="B277" s="241"/>
      <c r="C277" s="241"/>
      <c r="D277" s="241"/>
      <c r="E277" s="241"/>
      <c r="F277" s="241"/>
      <c r="G277" s="241"/>
      <c r="H277" s="241"/>
      <c r="I277" s="241"/>
      <c r="J277" s="241"/>
      <c r="K277" s="241"/>
      <c r="L277" s="236"/>
      <c r="M277" s="236"/>
    </row>
    <row r="278" spans="1:13" x14ac:dyDescent="0.2">
      <c r="A278" s="241"/>
      <c r="B278" s="375"/>
      <c r="C278" s="375"/>
      <c r="D278" s="375"/>
      <c r="E278" s="253"/>
      <c r="F278" s="375"/>
      <c r="G278" s="375"/>
      <c r="H278" s="375"/>
      <c r="I278" s="253"/>
      <c r="J278" s="375"/>
      <c r="K278" s="375"/>
      <c r="L278" s="375"/>
      <c r="M278" s="236"/>
    </row>
    <row r="279" spans="1:13" x14ac:dyDescent="0.2">
      <c r="A279" s="258"/>
      <c r="B279" s="259"/>
      <c r="C279" s="259"/>
      <c r="D279" s="259"/>
      <c r="E279" s="259"/>
      <c r="F279" s="259"/>
      <c r="G279" s="259"/>
      <c r="H279" s="259"/>
      <c r="I279" s="259"/>
      <c r="J279" s="259"/>
      <c r="K279" s="259"/>
      <c r="L279" s="259"/>
      <c r="M279" s="236"/>
    </row>
    <row r="280" spans="1:13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</row>
    <row r="281" spans="1:13" x14ac:dyDescent="0.2">
      <c r="A281" s="237"/>
      <c r="B281" s="302"/>
      <c r="C281" s="302"/>
      <c r="D281" s="302"/>
      <c r="E281" s="303"/>
      <c r="F281" s="302"/>
      <c r="G281" s="302"/>
      <c r="H281" s="302"/>
      <c r="I281" s="303"/>
      <c r="J281" s="302"/>
      <c r="K281" s="302"/>
      <c r="L281" s="302"/>
      <c r="M281" s="236"/>
    </row>
    <row r="282" spans="1:13" x14ac:dyDescent="0.2">
      <c r="A282" s="237"/>
      <c r="B282" s="302"/>
      <c r="C282" s="302"/>
      <c r="D282" s="302"/>
      <c r="E282" s="303"/>
      <c r="F282" s="302"/>
      <c r="G282" s="302"/>
      <c r="H282" s="302"/>
      <c r="I282" s="303"/>
      <c r="J282" s="302"/>
      <c r="K282" s="302"/>
      <c r="L282" s="302"/>
      <c r="M282" s="236"/>
    </row>
    <row r="283" spans="1:13" x14ac:dyDescent="0.2">
      <c r="A283" s="237"/>
      <c r="B283" s="302"/>
      <c r="C283" s="302"/>
      <c r="D283" s="302"/>
      <c r="E283" s="303"/>
      <c r="F283" s="302"/>
      <c r="G283" s="302"/>
      <c r="H283" s="302"/>
      <c r="I283" s="303"/>
      <c r="J283" s="302"/>
      <c r="K283" s="302"/>
      <c r="L283" s="302"/>
      <c r="M283" s="236"/>
    </row>
    <row r="284" spans="1:13" x14ac:dyDescent="0.2">
      <c r="A284" s="237"/>
      <c r="B284" s="302"/>
      <c r="C284" s="302"/>
      <c r="D284" s="302"/>
      <c r="E284" s="303"/>
      <c r="F284" s="302"/>
      <c r="G284" s="302"/>
      <c r="H284" s="302"/>
      <c r="I284" s="303"/>
      <c r="J284" s="302"/>
      <c r="K284" s="302"/>
      <c r="L284" s="302"/>
      <c r="M284" s="236"/>
    </row>
    <row r="285" spans="1:13" x14ac:dyDescent="0.2">
      <c r="A285" s="237"/>
      <c r="B285" s="302"/>
      <c r="C285" s="302"/>
      <c r="D285" s="302"/>
      <c r="E285" s="303"/>
      <c r="F285" s="302"/>
      <c r="G285" s="302"/>
      <c r="H285" s="302"/>
      <c r="I285" s="303"/>
      <c r="J285" s="302"/>
      <c r="K285" s="302"/>
      <c r="L285" s="302"/>
      <c r="M285" s="236"/>
    </row>
    <row r="286" spans="1:13" x14ac:dyDescent="0.2">
      <c r="A286" s="237"/>
      <c r="B286" s="302"/>
      <c r="C286" s="302"/>
      <c r="D286" s="302"/>
      <c r="E286" s="303"/>
      <c r="F286" s="302"/>
      <c r="G286" s="302"/>
      <c r="H286" s="302"/>
      <c r="I286" s="303"/>
      <c r="J286" s="302"/>
      <c r="K286" s="302"/>
      <c r="L286" s="302"/>
      <c r="M286" s="236"/>
    </row>
    <row r="287" spans="1:13" x14ac:dyDescent="0.2">
      <c r="A287" s="237"/>
      <c r="B287" s="302"/>
      <c r="C287" s="302"/>
      <c r="D287" s="302"/>
      <c r="E287" s="303"/>
      <c r="F287" s="302"/>
      <c r="G287" s="302"/>
      <c r="H287" s="302"/>
      <c r="I287" s="303"/>
      <c r="J287" s="302"/>
      <c r="K287" s="302"/>
      <c r="L287" s="302"/>
      <c r="M287" s="236"/>
    </row>
    <row r="288" spans="1:13" x14ac:dyDescent="0.2">
      <c r="A288" s="237"/>
      <c r="B288" s="302"/>
      <c r="C288" s="302"/>
      <c r="D288" s="302"/>
      <c r="E288" s="303"/>
      <c r="F288" s="302"/>
      <c r="G288" s="302"/>
      <c r="H288" s="302"/>
      <c r="I288" s="303"/>
      <c r="J288" s="302"/>
      <c r="K288" s="302"/>
      <c r="L288" s="302"/>
      <c r="M288" s="236"/>
    </row>
    <row r="289" spans="1:13" x14ac:dyDescent="0.2">
      <c r="A289" s="237"/>
      <c r="B289" s="302"/>
      <c r="C289" s="302"/>
      <c r="D289" s="302"/>
      <c r="E289" s="303"/>
      <c r="F289" s="302"/>
      <c r="G289" s="302"/>
      <c r="H289" s="302"/>
      <c r="I289" s="303"/>
      <c r="J289" s="302"/>
      <c r="K289" s="302"/>
      <c r="L289" s="302"/>
      <c r="M289" s="236"/>
    </row>
    <row r="290" spans="1:13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</row>
    <row r="291" spans="1:13" x14ac:dyDescent="0.2">
      <c r="A291" s="237"/>
      <c r="B291" s="303"/>
      <c r="C291" s="303"/>
      <c r="D291" s="303"/>
      <c r="E291" s="303"/>
      <c r="F291" s="303"/>
      <c r="G291" s="303"/>
      <c r="H291" s="303"/>
      <c r="I291" s="303"/>
      <c r="J291" s="303"/>
      <c r="K291" s="303"/>
      <c r="L291" s="303"/>
      <c r="M291" s="236"/>
    </row>
    <row r="292" spans="1:13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</row>
    <row r="293" spans="1:13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84"/>
      <c r="M293" s="236"/>
    </row>
    <row r="294" spans="1:13" x14ac:dyDescent="0.2">
      <c r="A294" s="258"/>
      <c r="B294" s="241"/>
      <c r="C294" s="241"/>
      <c r="D294" s="241"/>
      <c r="E294" s="241"/>
      <c r="F294" s="241"/>
      <c r="G294" s="241"/>
      <c r="H294" s="241"/>
      <c r="I294" s="241"/>
      <c r="J294" s="241"/>
      <c r="K294" s="241"/>
      <c r="L294" s="236"/>
      <c r="M294" s="236"/>
    </row>
    <row r="295" spans="1:13" x14ac:dyDescent="0.2">
      <c r="A295" s="241"/>
      <c r="B295" s="375"/>
      <c r="C295" s="375"/>
      <c r="D295" s="375"/>
      <c r="E295" s="253"/>
      <c r="F295" s="375"/>
      <c r="G295" s="375"/>
      <c r="H295" s="375"/>
      <c r="I295" s="253"/>
      <c r="J295" s="375"/>
      <c r="K295" s="375"/>
      <c r="L295" s="375"/>
      <c r="M295" s="236"/>
    </row>
    <row r="296" spans="1:13" x14ac:dyDescent="0.2">
      <c r="A296" s="258"/>
      <c r="B296" s="259"/>
      <c r="C296" s="259"/>
      <c r="D296" s="259"/>
      <c r="E296" s="259"/>
      <c r="F296" s="259"/>
      <c r="G296" s="259"/>
      <c r="H296" s="259"/>
      <c r="I296" s="259"/>
      <c r="J296" s="259"/>
      <c r="K296" s="259"/>
      <c r="L296" s="259"/>
      <c r="M296" s="236"/>
    </row>
    <row r="297" spans="1:13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</row>
    <row r="298" spans="1:13" x14ac:dyDescent="0.2">
      <c r="A298" s="237"/>
      <c r="B298" s="302"/>
      <c r="C298" s="302"/>
      <c r="D298" s="302"/>
      <c r="E298" s="303"/>
      <c r="F298" s="302"/>
      <c r="G298" s="302"/>
      <c r="H298" s="302"/>
      <c r="I298" s="303"/>
      <c r="J298" s="302"/>
      <c r="K298" s="302"/>
      <c r="L298" s="302"/>
      <c r="M298" s="236"/>
    </row>
    <row r="299" spans="1:13" x14ac:dyDescent="0.2">
      <c r="A299" s="237"/>
      <c r="B299" s="302"/>
      <c r="C299" s="302"/>
      <c r="D299" s="302"/>
      <c r="E299" s="303"/>
      <c r="F299" s="302"/>
      <c r="G299" s="302"/>
      <c r="H299" s="302"/>
      <c r="I299" s="303"/>
      <c r="J299" s="302"/>
      <c r="K299" s="302"/>
      <c r="L299" s="302"/>
      <c r="M299" s="236"/>
    </row>
    <row r="300" spans="1:13" x14ac:dyDescent="0.2">
      <c r="A300" s="237"/>
      <c r="B300" s="302"/>
      <c r="C300" s="302"/>
      <c r="D300" s="302"/>
      <c r="E300" s="303"/>
      <c r="F300" s="302"/>
      <c r="G300" s="302"/>
      <c r="H300" s="302"/>
      <c r="I300" s="303"/>
      <c r="J300" s="302"/>
      <c r="K300" s="302"/>
      <c r="L300" s="302"/>
      <c r="M300" s="236"/>
    </row>
    <row r="301" spans="1:13" x14ac:dyDescent="0.2">
      <c r="A301" s="237"/>
      <c r="B301" s="302"/>
      <c r="C301" s="302"/>
      <c r="D301" s="302"/>
      <c r="E301" s="303"/>
      <c r="F301" s="302"/>
      <c r="G301" s="302"/>
      <c r="H301" s="302"/>
      <c r="I301" s="303"/>
      <c r="J301" s="302"/>
      <c r="K301" s="302"/>
      <c r="L301" s="302"/>
      <c r="M301" s="236"/>
    </row>
    <row r="302" spans="1:13" x14ac:dyDescent="0.2">
      <c r="A302" s="237"/>
      <c r="B302" s="302"/>
      <c r="C302" s="302"/>
      <c r="D302" s="302"/>
      <c r="E302" s="303"/>
      <c r="F302" s="302"/>
      <c r="G302" s="302"/>
      <c r="H302" s="302"/>
      <c r="I302" s="303"/>
      <c r="J302" s="302"/>
      <c r="K302" s="302"/>
      <c r="L302" s="302"/>
      <c r="M302" s="236"/>
    </row>
    <row r="303" spans="1:13" x14ac:dyDescent="0.2">
      <c r="A303" s="237"/>
      <c r="B303" s="302"/>
      <c r="C303" s="302"/>
      <c r="D303" s="302"/>
      <c r="E303" s="303"/>
      <c r="F303" s="302"/>
      <c r="G303" s="302"/>
      <c r="H303" s="302"/>
      <c r="I303" s="303"/>
      <c r="J303" s="302"/>
      <c r="K303" s="302"/>
      <c r="L303" s="302"/>
      <c r="M303" s="236"/>
    </row>
    <row r="304" spans="1:13" x14ac:dyDescent="0.2">
      <c r="A304" s="237"/>
      <c r="B304" s="302"/>
      <c r="C304" s="302"/>
      <c r="D304" s="302"/>
      <c r="E304" s="303"/>
      <c r="F304" s="302"/>
      <c r="G304" s="302"/>
      <c r="H304" s="302"/>
      <c r="I304" s="303"/>
      <c r="J304" s="302"/>
      <c r="K304" s="302"/>
      <c r="L304" s="302"/>
      <c r="M304" s="236"/>
    </row>
    <row r="305" spans="1:13" x14ac:dyDescent="0.2">
      <c r="A305" s="237"/>
      <c r="B305" s="302"/>
      <c r="C305" s="302"/>
      <c r="D305" s="302"/>
      <c r="E305" s="303"/>
      <c r="F305" s="302"/>
      <c r="G305" s="302"/>
      <c r="H305" s="302"/>
      <c r="I305" s="303"/>
      <c r="J305" s="302"/>
      <c r="K305" s="302"/>
      <c r="L305" s="302"/>
      <c r="M305" s="236"/>
    </row>
    <row r="306" spans="1:13" x14ac:dyDescent="0.2">
      <c r="A306" s="237"/>
      <c r="B306" s="302"/>
      <c r="C306" s="302"/>
      <c r="D306" s="302"/>
      <c r="E306" s="303"/>
      <c r="F306" s="302"/>
      <c r="G306" s="302"/>
      <c r="H306" s="302"/>
      <c r="I306" s="303"/>
      <c r="J306" s="302"/>
      <c r="K306" s="302"/>
      <c r="L306" s="302"/>
      <c r="M306" s="236"/>
    </row>
    <row r="307" spans="1:13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</row>
    <row r="308" spans="1:13" x14ac:dyDescent="0.2">
      <c r="A308" s="237"/>
      <c r="B308" s="303"/>
      <c r="C308" s="303"/>
      <c r="D308" s="303"/>
      <c r="E308" s="303"/>
      <c r="F308" s="303"/>
      <c r="G308" s="303"/>
      <c r="H308" s="303"/>
      <c r="I308" s="303"/>
      <c r="J308" s="303"/>
      <c r="K308" s="303"/>
      <c r="L308" s="303"/>
      <c r="M308" s="236"/>
    </row>
    <row r="309" spans="1:13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</row>
    <row r="310" spans="1:13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84"/>
      <c r="M310" s="236"/>
    </row>
    <row r="311" spans="1:13" x14ac:dyDescent="0.2">
      <c r="A311" s="258"/>
      <c r="B311" s="241"/>
      <c r="C311" s="241"/>
      <c r="D311" s="241"/>
      <c r="E311" s="241"/>
      <c r="F311" s="241"/>
      <c r="G311" s="241"/>
      <c r="H311" s="241"/>
      <c r="I311" s="241"/>
      <c r="J311" s="241"/>
      <c r="K311" s="241"/>
      <c r="L311" s="236"/>
      <c r="M311" s="236"/>
    </row>
    <row r="312" spans="1:13" x14ac:dyDescent="0.2">
      <c r="A312" s="241"/>
      <c r="B312" s="375"/>
      <c r="C312" s="375"/>
      <c r="D312" s="375"/>
      <c r="E312" s="253"/>
      <c r="F312" s="375"/>
      <c r="G312" s="375"/>
      <c r="H312" s="375"/>
      <c r="I312" s="253"/>
      <c r="J312" s="375"/>
      <c r="K312" s="375"/>
      <c r="L312" s="375"/>
      <c r="M312" s="236"/>
    </row>
    <row r="313" spans="1:13" x14ac:dyDescent="0.2">
      <c r="A313" s="258"/>
      <c r="B313" s="259"/>
      <c r="C313" s="259"/>
      <c r="D313" s="259"/>
      <c r="E313" s="259"/>
      <c r="F313" s="259"/>
      <c r="G313" s="259"/>
      <c r="H313" s="259"/>
      <c r="I313" s="259"/>
      <c r="J313" s="259"/>
      <c r="K313" s="259"/>
      <c r="L313" s="259"/>
      <c r="M313" s="236"/>
    </row>
    <row r="314" spans="1:13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</row>
    <row r="315" spans="1:13" x14ac:dyDescent="0.2">
      <c r="A315" s="237"/>
      <c r="B315" s="302"/>
      <c r="C315" s="302"/>
      <c r="D315" s="302"/>
      <c r="E315" s="303"/>
      <c r="F315" s="302"/>
      <c r="G315" s="302"/>
      <c r="H315" s="302"/>
      <c r="I315" s="303"/>
      <c r="J315" s="302"/>
      <c r="K315" s="302"/>
      <c r="L315" s="302"/>
      <c r="M315" s="236"/>
    </row>
    <row r="316" spans="1:13" x14ac:dyDescent="0.2">
      <c r="A316" s="237"/>
      <c r="B316" s="302"/>
      <c r="C316" s="302"/>
      <c r="D316" s="302"/>
      <c r="E316" s="303"/>
      <c r="F316" s="302"/>
      <c r="G316" s="302"/>
      <c r="H316" s="302"/>
      <c r="I316" s="303"/>
      <c r="J316" s="302"/>
      <c r="K316" s="302"/>
      <c r="L316" s="302"/>
      <c r="M316" s="236"/>
    </row>
    <row r="317" spans="1:13" x14ac:dyDescent="0.2">
      <c r="A317" s="237"/>
      <c r="B317" s="302"/>
      <c r="C317" s="302"/>
      <c r="D317" s="302"/>
      <c r="E317" s="303"/>
      <c r="F317" s="302"/>
      <c r="G317" s="302"/>
      <c r="H317" s="302"/>
      <c r="I317" s="303"/>
      <c r="J317" s="302"/>
      <c r="K317" s="302"/>
      <c r="L317" s="302"/>
      <c r="M317" s="236"/>
    </row>
    <row r="318" spans="1:13" x14ac:dyDescent="0.2">
      <c r="A318" s="237"/>
      <c r="B318" s="302"/>
      <c r="C318" s="302"/>
      <c r="D318" s="302"/>
      <c r="E318" s="303"/>
      <c r="F318" s="302"/>
      <c r="G318" s="302"/>
      <c r="H318" s="302"/>
      <c r="I318" s="303"/>
      <c r="J318" s="302"/>
      <c r="K318" s="302"/>
      <c r="L318" s="302"/>
      <c r="M318" s="236"/>
    </row>
    <row r="319" spans="1:13" x14ac:dyDescent="0.2">
      <c r="A319" s="237"/>
      <c r="B319" s="302"/>
      <c r="C319" s="302"/>
      <c r="D319" s="302"/>
      <c r="E319" s="303"/>
      <c r="F319" s="302"/>
      <c r="G319" s="302"/>
      <c r="H319" s="302"/>
      <c r="I319" s="303"/>
      <c r="J319" s="302"/>
      <c r="K319" s="302"/>
      <c r="L319" s="302"/>
      <c r="M319" s="236"/>
    </row>
    <row r="320" spans="1:13" x14ac:dyDescent="0.2">
      <c r="A320" s="237"/>
      <c r="B320" s="302"/>
      <c r="C320" s="302"/>
      <c r="D320" s="302"/>
      <c r="E320" s="303"/>
      <c r="F320" s="302"/>
      <c r="G320" s="302"/>
      <c r="H320" s="302"/>
      <c r="I320" s="303"/>
      <c r="J320" s="302"/>
      <c r="K320" s="302"/>
      <c r="L320" s="302"/>
      <c r="M320" s="236"/>
    </row>
    <row r="321" spans="1:13" x14ac:dyDescent="0.2">
      <c r="A321" s="237"/>
      <c r="B321" s="302"/>
      <c r="C321" s="302"/>
      <c r="D321" s="302"/>
      <c r="E321" s="303"/>
      <c r="F321" s="302"/>
      <c r="G321" s="302"/>
      <c r="H321" s="302"/>
      <c r="I321" s="303"/>
      <c r="J321" s="302"/>
      <c r="K321" s="302"/>
      <c r="L321" s="302"/>
      <c r="M321" s="236"/>
    </row>
    <row r="322" spans="1:13" x14ac:dyDescent="0.2">
      <c r="A322" s="237"/>
      <c r="B322" s="302"/>
      <c r="C322" s="302"/>
      <c r="D322" s="302"/>
      <c r="E322" s="303"/>
      <c r="F322" s="302"/>
      <c r="G322" s="302"/>
      <c r="H322" s="302"/>
      <c r="I322" s="303"/>
      <c r="J322" s="302"/>
      <c r="K322" s="302"/>
      <c r="L322" s="302"/>
      <c r="M322" s="236"/>
    </row>
    <row r="323" spans="1:13" x14ac:dyDescent="0.2">
      <c r="A323" s="237"/>
      <c r="B323" s="302"/>
      <c r="C323" s="302"/>
      <c r="D323" s="302"/>
      <c r="E323" s="303"/>
      <c r="F323" s="302"/>
      <c r="G323" s="302"/>
      <c r="H323" s="302"/>
      <c r="I323" s="303"/>
      <c r="J323" s="302"/>
      <c r="K323" s="302"/>
      <c r="L323" s="302"/>
      <c r="M323" s="236"/>
    </row>
    <row r="324" spans="1:13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</row>
    <row r="325" spans="1:13" x14ac:dyDescent="0.2">
      <c r="A325" s="237"/>
      <c r="B325" s="303"/>
      <c r="C325" s="303"/>
      <c r="D325" s="303"/>
      <c r="E325" s="303"/>
      <c r="F325" s="303"/>
      <c r="G325" s="303"/>
      <c r="H325" s="303"/>
      <c r="I325" s="303"/>
      <c r="J325" s="303"/>
      <c r="K325" s="303"/>
      <c r="L325" s="303"/>
      <c r="M325" s="236"/>
    </row>
    <row r="326" spans="1:13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</row>
    <row r="327" spans="1:13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84"/>
      <c r="M327" s="236"/>
    </row>
    <row r="328" spans="1:13" x14ac:dyDescent="0.2">
      <c r="A328" s="258"/>
      <c r="B328" s="241"/>
      <c r="C328" s="241"/>
      <c r="D328" s="241"/>
      <c r="E328" s="241"/>
      <c r="F328" s="241"/>
      <c r="G328" s="241"/>
      <c r="H328" s="241"/>
      <c r="I328" s="241"/>
      <c r="J328" s="241"/>
      <c r="K328" s="241"/>
      <c r="L328" s="236"/>
      <c r="M328" s="236"/>
    </row>
    <row r="329" spans="1:13" x14ac:dyDescent="0.2">
      <c r="A329" s="241"/>
      <c r="B329" s="375"/>
      <c r="C329" s="375"/>
      <c r="D329" s="375"/>
      <c r="E329" s="253"/>
      <c r="F329" s="375"/>
      <c r="G329" s="375"/>
      <c r="H329" s="375"/>
      <c r="I329" s="253"/>
      <c r="J329" s="375"/>
      <c r="K329" s="375"/>
      <c r="L329" s="375"/>
      <c r="M329" s="236"/>
    </row>
    <row r="330" spans="1:13" x14ac:dyDescent="0.2">
      <c r="A330" s="258"/>
      <c r="B330" s="259"/>
      <c r="C330" s="259"/>
      <c r="D330" s="259"/>
      <c r="E330" s="259"/>
      <c r="F330" s="259"/>
      <c r="G330" s="259"/>
      <c r="H330" s="259"/>
      <c r="I330" s="259"/>
      <c r="J330" s="259"/>
      <c r="K330" s="259"/>
      <c r="L330" s="259"/>
      <c r="M330" s="236"/>
    </row>
    <row r="331" spans="1:13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</row>
    <row r="332" spans="1:13" x14ac:dyDescent="0.2">
      <c r="A332" s="237"/>
      <c r="B332" s="302"/>
      <c r="C332" s="302"/>
      <c r="D332" s="302"/>
      <c r="E332" s="303"/>
      <c r="F332" s="302"/>
      <c r="G332" s="302"/>
      <c r="H332" s="302"/>
      <c r="I332" s="303"/>
      <c r="J332" s="302"/>
      <c r="K332" s="302"/>
      <c r="L332" s="302"/>
      <c r="M332" s="236"/>
    </row>
    <row r="333" spans="1:13" x14ac:dyDescent="0.2">
      <c r="A333" s="237"/>
      <c r="B333" s="302"/>
      <c r="C333" s="302"/>
      <c r="D333" s="302"/>
      <c r="E333" s="303"/>
      <c r="F333" s="302"/>
      <c r="G333" s="302"/>
      <c r="H333" s="302"/>
      <c r="I333" s="303"/>
      <c r="J333" s="302"/>
      <c r="K333" s="302"/>
      <c r="L333" s="302"/>
      <c r="M333" s="236"/>
    </row>
    <row r="334" spans="1:13" x14ac:dyDescent="0.2">
      <c r="A334" s="237"/>
      <c r="B334" s="302"/>
      <c r="C334" s="302"/>
      <c r="D334" s="302"/>
      <c r="E334" s="303"/>
      <c r="F334" s="302"/>
      <c r="G334" s="302"/>
      <c r="H334" s="302"/>
      <c r="I334" s="303"/>
      <c r="J334" s="302"/>
      <c r="K334" s="302"/>
      <c r="L334" s="302"/>
      <c r="M334" s="236"/>
    </row>
    <row r="335" spans="1:13" x14ac:dyDescent="0.2">
      <c r="A335" s="237"/>
      <c r="B335" s="302"/>
      <c r="C335" s="302"/>
      <c r="D335" s="302"/>
      <c r="E335" s="303"/>
      <c r="F335" s="302"/>
      <c r="G335" s="302"/>
      <c r="H335" s="302"/>
      <c r="I335" s="303"/>
      <c r="J335" s="302"/>
      <c r="K335" s="302"/>
      <c r="L335" s="302"/>
      <c r="M335" s="236"/>
    </row>
    <row r="336" spans="1:13" x14ac:dyDescent="0.2">
      <c r="A336" s="237"/>
      <c r="B336" s="302"/>
      <c r="C336" s="302"/>
      <c r="D336" s="302"/>
      <c r="E336" s="303"/>
      <c r="F336" s="302"/>
      <c r="G336" s="302"/>
      <c r="H336" s="302"/>
      <c r="I336" s="303"/>
      <c r="J336" s="302"/>
      <c r="K336" s="302"/>
      <c r="L336" s="302"/>
      <c r="M336" s="236"/>
    </row>
    <row r="337" spans="1:13" x14ac:dyDescent="0.2">
      <c r="A337" s="237"/>
      <c r="B337" s="302"/>
      <c r="C337" s="302"/>
      <c r="D337" s="302"/>
      <c r="E337" s="303"/>
      <c r="F337" s="302"/>
      <c r="G337" s="302"/>
      <c r="H337" s="302"/>
      <c r="I337" s="303"/>
      <c r="J337" s="302"/>
      <c r="K337" s="302"/>
      <c r="L337" s="302"/>
      <c r="M337" s="236"/>
    </row>
    <row r="338" spans="1:13" x14ac:dyDescent="0.2">
      <c r="A338" s="237"/>
      <c r="B338" s="302"/>
      <c r="C338" s="302"/>
      <c r="D338" s="302"/>
      <c r="E338" s="303"/>
      <c r="F338" s="302"/>
      <c r="G338" s="302"/>
      <c r="H338" s="302"/>
      <c r="I338" s="303"/>
      <c r="J338" s="302"/>
      <c r="K338" s="302"/>
      <c r="L338" s="302"/>
      <c r="M338" s="236"/>
    </row>
    <row r="339" spans="1:13" x14ac:dyDescent="0.2">
      <c r="A339" s="237"/>
      <c r="B339" s="302"/>
      <c r="C339" s="302"/>
      <c r="D339" s="302"/>
      <c r="E339" s="303"/>
      <c r="F339" s="302"/>
      <c r="G339" s="302"/>
      <c r="H339" s="302"/>
      <c r="I339" s="303"/>
      <c r="J339" s="302"/>
      <c r="K339" s="302"/>
      <c r="L339" s="302"/>
      <c r="M339" s="236"/>
    </row>
    <row r="340" spans="1:13" x14ac:dyDescent="0.2">
      <c r="A340" s="237"/>
      <c r="B340" s="302"/>
      <c r="C340" s="302"/>
      <c r="D340" s="302"/>
      <c r="E340" s="303"/>
      <c r="F340" s="302"/>
      <c r="G340" s="302"/>
      <c r="H340" s="302"/>
      <c r="I340" s="303"/>
      <c r="J340" s="302"/>
      <c r="K340" s="302"/>
      <c r="L340" s="302"/>
      <c r="M340" s="236"/>
    </row>
    <row r="341" spans="1:13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</row>
    <row r="342" spans="1:13" x14ac:dyDescent="0.2">
      <c r="A342" s="237"/>
      <c r="B342" s="303"/>
      <c r="C342" s="303"/>
      <c r="D342" s="303"/>
      <c r="E342" s="303"/>
      <c r="F342" s="303"/>
      <c r="G342" s="303"/>
      <c r="H342" s="303"/>
      <c r="I342" s="303"/>
      <c r="J342" s="303"/>
      <c r="K342" s="303"/>
      <c r="L342" s="303"/>
      <c r="M342" s="236"/>
    </row>
    <row r="343" spans="1:13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</row>
    <row r="344" spans="1:13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84"/>
      <c r="M344" s="236"/>
    </row>
    <row r="345" spans="1:13" x14ac:dyDescent="0.2">
      <c r="A345" s="258"/>
      <c r="B345" s="241"/>
      <c r="C345" s="241"/>
      <c r="D345" s="241"/>
      <c r="E345" s="241"/>
      <c r="F345" s="241"/>
      <c r="G345" s="241"/>
      <c r="H345" s="241"/>
      <c r="I345" s="241"/>
      <c r="J345" s="241"/>
      <c r="K345" s="241"/>
      <c r="L345" s="236"/>
      <c r="M345" s="236"/>
    </row>
    <row r="346" spans="1:13" x14ac:dyDescent="0.2">
      <c r="A346" s="241"/>
      <c r="B346" s="375"/>
      <c r="C346" s="375"/>
      <c r="D346" s="375"/>
      <c r="E346" s="253"/>
      <c r="F346" s="375"/>
      <c r="G346" s="375"/>
      <c r="H346" s="375"/>
      <c r="I346" s="253"/>
      <c r="J346" s="375"/>
      <c r="K346" s="375"/>
      <c r="L346" s="375"/>
      <c r="M346" s="236"/>
    </row>
    <row r="347" spans="1:13" x14ac:dyDescent="0.2">
      <c r="A347" s="258"/>
      <c r="B347" s="259"/>
      <c r="C347" s="259"/>
      <c r="D347" s="259"/>
      <c r="E347" s="259"/>
      <c r="F347" s="259"/>
      <c r="G347" s="259"/>
      <c r="H347" s="259"/>
      <c r="I347" s="259"/>
      <c r="J347" s="259"/>
      <c r="K347" s="259"/>
      <c r="L347" s="259"/>
      <c r="M347" s="236"/>
    </row>
    <row r="348" spans="1:13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</row>
    <row r="349" spans="1:13" x14ac:dyDescent="0.2">
      <c r="A349" s="237"/>
      <c r="B349" s="302"/>
      <c r="C349" s="302"/>
      <c r="D349" s="302"/>
      <c r="E349" s="303"/>
      <c r="F349" s="302"/>
      <c r="G349" s="302"/>
      <c r="H349" s="302"/>
      <c r="I349" s="303"/>
      <c r="J349" s="302"/>
      <c r="K349" s="302"/>
      <c r="L349" s="302"/>
      <c r="M349" s="236"/>
    </row>
    <row r="350" spans="1:13" x14ac:dyDescent="0.2">
      <c r="A350" s="237"/>
      <c r="B350" s="302"/>
      <c r="C350" s="302"/>
      <c r="D350" s="302"/>
      <c r="E350" s="303"/>
      <c r="F350" s="302"/>
      <c r="G350" s="302"/>
      <c r="H350" s="302"/>
      <c r="I350" s="303"/>
      <c r="J350" s="302"/>
      <c r="K350" s="302"/>
      <c r="L350" s="302"/>
      <c r="M350" s="236"/>
    </row>
    <row r="351" spans="1:13" x14ac:dyDescent="0.2">
      <c r="A351" s="237"/>
      <c r="B351" s="302"/>
      <c r="C351" s="302"/>
      <c r="D351" s="302"/>
      <c r="E351" s="303"/>
      <c r="F351" s="302"/>
      <c r="G351" s="302"/>
      <c r="H351" s="302"/>
      <c r="I351" s="303"/>
      <c r="J351" s="302"/>
      <c r="K351" s="302"/>
      <c r="L351" s="302"/>
      <c r="M351" s="236"/>
    </row>
    <row r="352" spans="1:13" x14ac:dyDescent="0.2">
      <c r="A352" s="237"/>
      <c r="B352" s="302"/>
      <c r="C352" s="302"/>
      <c r="D352" s="302"/>
      <c r="E352" s="303"/>
      <c r="F352" s="302"/>
      <c r="G352" s="302"/>
      <c r="H352" s="302"/>
      <c r="I352" s="303"/>
      <c r="J352" s="302"/>
      <c r="K352" s="302"/>
      <c r="L352" s="302"/>
      <c r="M352" s="236"/>
    </row>
    <row r="353" spans="1:13" x14ac:dyDescent="0.2">
      <c r="A353" s="237"/>
      <c r="B353" s="302"/>
      <c r="C353" s="302"/>
      <c r="D353" s="302"/>
      <c r="E353" s="303"/>
      <c r="F353" s="302"/>
      <c r="G353" s="302"/>
      <c r="H353" s="302"/>
      <c r="I353" s="303"/>
      <c r="J353" s="302"/>
      <c r="K353" s="302"/>
      <c r="L353" s="302"/>
      <c r="M353" s="236"/>
    </row>
    <row r="354" spans="1:13" x14ac:dyDescent="0.2">
      <c r="A354" s="237"/>
      <c r="B354" s="302"/>
      <c r="C354" s="302"/>
      <c r="D354" s="302"/>
      <c r="E354" s="303"/>
      <c r="F354" s="302"/>
      <c r="G354" s="302"/>
      <c r="H354" s="302"/>
      <c r="I354" s="303"/>
      <c r="J354" s="302"/>
      <c r="K354" s="302"/>
      <c r="L354" s="302"/>
      <c r="M354" s="236"/>
    </row>
    <row r="355" spans="1:13" x14ac:dyDescent="0.2">
      <c r="A355" s="237"/>
      <c r="B355" s="302"/>
      <c r="C355" s="302"/>
      <c r="D355" s="302"/>
      <c r="E355" s="303"/>
      <c r="F355" s="302"/>
      <c r="G355" s="302"/>
      <c r="H355" s="302"/>
      <c r="I355" s="303"/>
      <c r="J355" s="302"/>
      <c r="K355" s="302"/>
      <c r="L355" s="302"/>
      <c r="M355" s="236"/>
    </row>
    <row r="356" spans="1:13" x14ac:dyDescent="0.2">
      <c r="A356" s="237"/>
      <c r="B356" s="302"/>
      <c r="C356" s="302"/>
      <c r="D356" s="302"/>
      <c r="E356" s="303"/>
      <c r="F356" s="302"/>
      <c r="G356" s="302"/>
      <c r="H356" s="302"/>
      <c r="I356" s="303"/>
      <c r="J356" s="302"/>
      <c r="K356" s="302"/>
      <c r="L356" s="302"/>
      <c r="M356" s="236"/>
    </row>
    <row r="357" spans="1:13" x14ac:dyDescent="0.2">
      <c r="A357" s="237"/>
      <c r="B357" s="302"/>
      <c r="C357" s="302"/>
      <c r="D357" s="302"/>
      <c r="E357" s="303"/>
      <c r="F357" s="302"/>
      <c r="G357" s="302"/>
      <c r="H357" s="302"/>
      <c r="I357" s="303"/>
      <c r="J357" s="302"/>
      <c r="K357" s="302"/>
      <c r="L357" s="302"/>
      <c r="M357" s="236"/>
    </row>
    <row r="358" spans="1:13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</row>
    <row r="359" spans="1:13" x14ac:dyDescent="0.2">
      <c r="A359" s="237"/>
      <c r="B359" s="303"/>
      <c r="C359" s="303"/>
      <c r="D359" s="303"/>
      <c r="E359" s="303"/>
      <c r="F359" s="303"/>
      <c r="G359" s="303"/>
      <c r="H359" s="303"/>
      <c r="I359" s="303"/>
      <c r="J359" s="303"/>
      <c r="K359" s="303"/>
      <c r="L359" s="303"/>
      <c r="M359" s="236"/>
    </row>
    <row r="360" spans="1:13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</row>
    <row r="361" spans="1:13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84"/>
      <c r="M361" s="236"/>
    </row>
    <row r="362" spans="1:13" x14ac:dyDescent="0.2">
      <c r="A362" s="258"/>
      <c r="B362" s="241"/>
      <c r="C362" s="241"/>
      <c r="D362" s="241"/>
      <c r="E362" s="241"/>
      <c r="F362" s="241"/>
      <c r="G362" s="241"/>
      <c r="H362" s="241"/>
      <c r="I362" s="241"/>
      <c r="J362" s="241"/>
      <c r="K362" s="241"/>
      <c r="L362" s="236"/>
      <c r="M362" s="236"/>
    </row>
    <row r="363" spans="1:13" x14ac:dyDescent="0.2">
      <c r="A363" s="241"/>
      <c r="B363" s="375"/>
      <c r="C363" s="375"/>
      <c r="D363" s="375"/>
      <c r="E363" s="253"/>
      <c r="F363" s="375"/>
      <c r="G363" s="375"/>
      <c r="H363" s="375"/>
      <c r="I363" s="253"/>
      <c r="J363" s="375"/>
      <c r="K363" s="375"/>
      <c r="L363" s="375"/>
      <c r="M363" s="236"/>
    </row>
    <row r="364" spans="1:13" x14ac:dyDescent="0.2">
      <c r="A364" s="258"/>
      <c r="B364" s="259"/>
      <c r="C364" s="259"/>
      <c r="D364" s="259"/>
      <c r="E364" s="259"/>
      <c r="F364" s="259"/>
      <c r="G364" s="259"/>
      <c r="H364" s="259"/>
      <c r="I364" s="259"/>
      <c r="J364" s="259"/>
      <c r="K364" s="259"/>
      <c r="L364" s="259"/>
      <c r="M364" s="236"/>
    </row>
    <row r="365" spans="1:13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</row>
    <row r="366" spans="1:13" x14ac:dyDescent="0.2">
      <c r="A366" s="237"/>
      <c r="B366" s="302"/>
      <c r="C366" s="302"/>
      <c r="D366" s="302"/>
      <c r="E366" s="303"/>
      <c r="F366" s="302"/>
      <c r="G366" s="302"/>
      <c r="H366" s="302"/>
      <c r="I366" s="303"/>
      <c r="J366" s="302"/>
      <c r="K366" s="302"/>
      <c r="L366" s="302"/>
      <c r="M366" s="236"/>
    </row>
    <row r="367" spans="1:13" x14ac:dyDescent="0.2">
      <c r="A367" s="237"/>
      <c r="B367" s="302"/>
      <c r="C367" s="302"/>
      <c r="D367" s="302"/>
      <c r="E367" s="303"/>
      <c r="F367" s="302"/>
      <c r="G367" s="302"/>
      <c r="H367" s="302"/>
      <c r="I367" s="303"/>
      <c r="J367" s="302"/>
      <c r="K367" s="302"/>
      <c r="L367" s="302"/>
      <c r="M367" s="236"/>
    </row>
    <row r="368" spans="1:13" x14ac:dyDescent="0.2">
      <c r="A368" s="237"/>
      <c r="B368" s="302"/>
      <c r="C368" s="302"/>
      <c r="D368" s="302"/>
      <c r="E368" s="303"/>
      <c r="F368" s="302"/>
      <c r="G368" s="302"/>
      <c r="H368" s="302"/>
      <c r="I368" s="303"/>
      <c r="J368" s="302"/>
      <c r="K368" s="302"/>
      <c r="L368" s="302"/>
      <c r="M368" s="236"/>
    </row>
    <row r="369" spans="1:13" x14ac:dyDescent="0.2">
      <c r="A369" s="237"/>
      <c r="B369" s="302"/>
      <c r="C369" s="302"/>
      <c r="D369" s="302"/>
      <c r="E369" s="303"/>
      <c r="F369" s="302"/>
      <c r="G369" s="302"/>
      <c r="H369" s="302"/>
      <c r="I369" s="303"/>
      <c r="J369" s="302"/>
      <c r="K369" s="302"/>
      <c r="L369" s="302"/>
      <c r="M369" s="236"/>
    </row>
    <row r="370" spans="1:13" x14ac:dyDescent="0.2">
      <c r="A370" s="237"/>
      <c r="B370" s="302"/>
      <c r="C370" s="302"/>
      <c r="D370" s="302"/>
      <c r="E370" s="303"/>
      <c r="F370" s="302"/>
      <c r="G370" s="302"/>
      <c r="H370" s="302"/>
      <c r="I370" s="303"/>
      <c r="J370" s="302"/>
      <c r="K370" s="302"/>
      <c r="L370" s="302"/>
      <c r="M370" s="236"/>
    </row>
    <row r="371" spans="1:13" x14ac:dyDescent="0.2">
      <c r="A371" s="237"/>
      <c r="B371" s="302"/>
      <c r="C371" s="302"/>
      <c r="D371" s="302"/>
      <c r="E371" s="303"/>
      <c r="F371" s="302"/>
      <c r="G371" s="302"/>
      <c r="H371" s="302"/>
      <c r="I371" s="303"/>
      <c r="J371" s="302"/>
      <c r="K371" s="302"/>
      <c r="L371" s="302"/>
      <c r="M371" s="236"/>
    </row>
    <row r="372" spans="1:13" x14ac:dyDescent="0.2">
      <c r="A372" s="237"/>
      <c r="B372" s="302"/>
      <c r="C372" s="302"/>
      <c r="D372" s="302"/>
      <c r="E372" s="303"/>
      <c r="F372" s="302"/>
      <c r="G372" s="302"/>
      <c r="H372" s="302"/>
      <c r="I372" s="303"/>
      <c r="J372" s="302"/>
      <c r="K372" s="302"/>
      <c r="L372" s="302"/>
      <c r="M372" s="236"/>
    </row>
    <row r="373" spans="1:13" x14ac:dyDescent="0.2">
      <c r="A373" s="237"/>
      <c r="B373" s="302"/>
      <c r="C373" s="302"/>
      <c r="D373" s="302"/>
      <c r="E373" s="303"/>
      <c r="F373" s="302"/>
      <c r="G373" s="302"/>
      <c r="H373" s="302"/>
      <c r="I373" s="303"/>
      <c r="J373" s="302"/>
      <c r="K373" s="302"/>
      <c r="L373" s="302"/>
      <c r="M373" s="236"/>
    </row>
    <row r="374" spans="1:13" x14ac:dyDescent="0.2">
      <c r="A374" s="237"/>
      <c r="B374" s="302"/>
      <c r="C374" s="302"/>
      <c r="D374" s="302"/>
      <c r="E374" s="303"/>
      <c r="F374" s="302"/>
      <c r="G374" s="302"/>
      <c r="H374" s="302"/>
      <c r="I374" s="303"/>
      <c r="J374" s="302"/>
      <c r="K374" s="302"/>
      <c r="L374" s="302"/>
      <c r="M374" s="236"/>
    </row>
    <row r="375" spans="1:13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</row>
    <row r="376" spans="1:13" x14ac:dyDescent="0.2">
      <c r="A376" s="237"/>
      <c r="B376" s="303"/>
      <c r="C376" s="303"/>
      <c r="D376" s="303"/>
      <c r="E376" s="303"/>
      <c r="F376" s="303"/>
      <c r="G376" s="303"/>
      <c r="H376" s="303"/>
      <c r="I376" s="303"/>
      <c r="J376" s="303"/>
      <c r="K376" s="303"/>
      <c r="L376" s="303"/>
      <c r="M376" s="236"/>
    </row>
    <row r="377" spans="1:13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</row>
    <row r="378" spans="1:13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84"/>
      <c r="M378" s="236"/>
    </row>
    <row r="379" spans="1:13" x14ac:dyDescent="0.2">
      <c r="A379" s="258"/>
      <c r="B379" s="241"/>
      <c r="C379" s="241"/>
      <c r="D379" s="241"/>
      <c r="E379" s="241"/>
      <c r="F379" s="241"/>
      <c r="G379" s="241"/>
      <c r="H379" s="241"/>
      <c r="I379" s="241"/>
      <c r="J379" s="241"/>
      <c r="K379" s="241"/>
      <c r="L379" s="236"/>
      <c r="M379" s="236"/>
    </row>
    <row r="380" spans="1:13" x14ac:dyDescent="0.2">
      <c r="A380" s="241"/>
      <c r="B380" s="375"/>
      <c r="C380" s="375"/>
      <c r="D380" s="375"/>
      <c r="E380" s="253"/>
      <c r="F380" s="375"/>
      <c r="G380" s="375"/>
      <c r="H380" s="375"/>
      <c r="I380" s="253"/>
      <c r="J380" s="375"/>
      <c r="K380" s="375"/>
      <c r="L380" s="375"/>
      <c r="M380" s="236"/>
    </row>
    <row r="381" spans="1:13" x14ac:dyDescent="0.2">
      <c r="A381" s="258"/>
      <c r="B381" s="259"/>
      <c r="C381" s="259"/>
      <c r="D381" s="259"/>
      <c r="E381" s="259"/>
      <c r="F381" s="259"/>
      <c r="G381" s="259"/>
      <c r="H381" s="259"/>
      <c r="I381" s="259"/>
      <c r="J381" s="259"/>
      <c r="K381" s="259"/>
      <c r="L381" s="259"/>
      <c r="M381" s="236"/>
    </row>
    <row r="382" spans="1:13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</row>
    <row r="383" spans="1:13" x14ac:dyDescent="0.2">
      <c r="A383" s="237"/>
      <c r="B383" s="302"/>
      <c r="C383" s="302"/>
      <c r="D383" s="302"/>
      <c r="E383" s="303"/>
      <c r="F383" s="302"/>
      <c r="G383" s="302"/>
      <c r="H383" s="302"/>
      <c r="I383" s="303"/>
      <c r="J383" s="302"/>
      <c r="K383" s="302"/>
      <c r="L383" s="302"/>
      <c r="M383" s="236"/>
    </row>
    <row r="384" spans="1:13" x14ac:dyDescent="0.2">
      <c r="A384" s="237"/>
      <c r="B384" s="302"/>
      <c r="C384" s="302"/>
      <c r="D384" s="302"/>
      <c r="E384" s="303"/>
      <c r="F384" s="302"/>
      <c r="G384" s="302"/>
      <c r="H384" s="302"/>
      <c r="I384" s="303"/>
      <c r="J384" s="302"/>
      <c r="K384" s="302"/>
      <c r="L384" s="302"/>
      <c r="M384" s="236"/>
    </row>
    <row r="385" spans="1:13" x14ac:dyDescent="0.2">
      <c r="A385" s="237"/>
      <c r="B385" s="302"/>
      <c r="C385" s="302"/>
      <c r="D385" s="302"/>
      <c r="E385" s="303"/>
      <c r="F385" s="302"/>
      <c r="G385" s="302"/>
      <c r="H385" s="302"/>
      <c r="I385" s="303"/>
      <c r="J385" s="302"/>
      <c r="K385" s="302"/>
      <c r="L385" s="302"/>
      <c r="M385" s="236"/>
    </row>
    <row r="386" spans="1:13" x14ac:dyDescent="0.2">
      <c r="A386" s="237"/>
      <c r="B386" s="302"/>
      <c r="C386" s="302"/>
      <c r="D386" s="302"/>
      <c r="E386" s="303"/>
      <c r="F386" s="302"/>
      <c r="G386" s="302"/>
      <c r="H386" s="302"/>
      <c r="I386" s="303"/>
      <c r="J386" s="302"/>
      <c r="K386" s="302"/>
      <c r="L386" s="302"/>
      <c r="M386" s="236"/>
    </row>
    <row r="387" spans="1:13" x14ac:dyDescent="0.2">
      <c r="A387" s="237"/>
      <c r="B387" s="302"/>
      <c r="C387" s="302"/>
      <c r="D387" s="302"/>
      <c r="E387" s="303"/>
      <c r="F387" s="302"/>
      <c r="G387" s="302"/>
      <c r="H387" s="302"/>
      <c r="I387" s="303"/>
      <c r="J387" s="302"/>
      <c r="K387" s="302"/>
      <c r="L387" s="302"/>
      <c r="M387" s="236"/>
    </row>
    <row r="388" spans="1:13" x14ac:dyDescent="0.2">
      <c r="A388" s="237"/>
      <c r="B388" s="302"/>
      <c r="C388" s="302"/>
      <c r="D388" s="302"/>
      <c r="E388" s="303"/>
      <c r="F388" s="302"/>
      <c r="G388" s="302"/>
      <c r="H388" s="302"/>
      <c r="I388" s="303"/>
      <c r="J388" s="302"/>
      <c r="K388" s="302"/>
      <c r="L388" s="302"/>
      <c r="M388" s="236"/>
    </row>
    <row r="389" spans="1:13" x14ac:dyDescent="0.2">
      <c r="A389" s="237"/>
      <c r="B389" s="302"/>
      <c r="C389" s="302"/>
      <c r="D389" s="302"/>
      <c r="E389" s="303"/>
      <c r="F389" s="302"/>
      <c r="G389" s="302"/>
      <c r="H389" s="302"/>
      <c r="I389" s="303"/>
      <c r="J389" s="302"/>
      <c r="K389" s="302"/>
      <c r="L389" s="302"/>
      <c r="M389" s="236"/>
    </row>
    <row r="390" spans="1:13" x14ac:dyDescent="0.2">
      <c r="A390" s="237"/>
      <c r="B390" s="302"/>
      <c r="C390" s="302"/>
      <c r="D390" s="302"/>
      <c r="E390" s="303"/>
      <c r="F390" s="302"/>
      <c r="G390" s="302"/>
      <c r="H390" s="302"/>
      <c r="I390" s="303"/>
      <c r="J390" s="302"/>
      <c r="K390" s="302"/>
      <c r="L390" s="302"/>
      <c r="M390" s="236"/>
    </row>
    <row r="391" spans="1:13" x14ac:dyDescent="0.2">
      <c r="A391" s="237"/>
      <c r="B391" s="302"/>
      <c r="C391" s="302"/>
      <c r="D391" s="302"/>
      <c r="E391" s="303"/>
      <c r="F391" s="302"/>
      <c r="G391" s="302"/>
      <c r="H391" s="302"/>
      <c r="I391" s="303"/>
      <c r="J391" s="302"/>
      <c r="K391" s="302"/>
      <c r="L391" s="302"/>
      <c r="M391" s="236"/>
    </row>
    <row r="392" spans="1:13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</row>
    <row r="393" spans="1:13" x14ac:dyDescent="0.2">
      <c r="A393" s="237"/>
      <c r="B393" s="303"/>
      <c r="C393" s="303"/>
      <c r="D393" s="303"/>
      <c r="E393" s="303"/>
      <c r="F393" s="303"/>
      <c r="G393" s="303"/>
      <c r="H393" s="303"/>
      <c r="I393" s="303"/>
      <c r="J393" s="303"/>
      <c r="K393" s="303"/>
      <c r="L393" s="303"/>
      <c r="M393" s="236"/>
    </row>
    <row r="394" spans="1:13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</row>
    <row r="395" spans="1:13" x14ac:dyDescent="0.2">
      <c r="A395" s="237"/>
      <c r="B395" s="237"/>
      <c r="C395" s="237"/>
      <c r="D395" s="237"/>
      <c r="E395" s="237"/>
      <c r="F395" s="237"/>
      <c r="G395" s="237"/>
      <c r="H395" s="237"/>
      <c r="I395" s="237"/>
      <c r="J395" s="237"/>
      <c r="K395" s="237"/>
      <c r="L395" s="284"/>
      <c r="M395" s="236"/>
    </row>
    <row r="396" spans="1:13" x14ac:dyDescent="0.2">
      <c r="A396" s="258"/>
      <c r="B396" s="241"/>
      <c r="C396" s="241"/>
      <c r="D396" s="241"/>
      <c r="E396" s="241"/>
      <c r="F396" s="241"/>
      <c r="G396" s="241"/>
      <c r="H396" s="241"/>
      <c r="I396" s="241"/>
      <c r="J396" s="241"/>
      <c r="K396" s="241"/>
      <c r="L396" s="236"/>
      <c r="M396" s="236"/>
    </row>
    <row r="397" spans="1:13" x14ac:dyDescent="0.2">
      <c r="A397" s="241"/>
      <c r="B397" s="375"/>
      <c r="C397" s="375"/>
      <c r="D397" s="375"/>
      <c r="E397" s="253"/>
      <c r="F397" s="375"/>
      <c r="G397" s="375"/>
      <c r="H397" s="375"/>
      <c r="I397" s="253"/>
      <c r="J397" s="375"/>
      <c r="K397" s="375"/>
      <c r="L397" s="375"/>
      <c r="M397" s="236"/>
    </row>
    <row r="398" spans="1:13" x14ac:dyDescent="0.2">
      <c r="A398" s="258"/>
      <c r="B398" s="259"/>
      <c r="C398" s="259"/>
      <c r="D398" s="259"/>
      <c r="E398" s="259"/>
      <c r="F398" s="259"/>
      <c r="G398" s="259"/>
      <c r="H398" s="259"/>
      <c r="I398" s="259"/>
      <c r="J398" s="259"/>
      <c r="K398" s="259"/>
      <c r="L398" s="259"/>
      <c r="M398" s="236"/>
    </row>
    <row r="399" spans="1:13" x14ac:dyDescent="0.2">
      <c r="A399" s="258"/>
      <c r="B399" s="259"/>
      <c r="C399" s="259"/>
      <c r="D399" s="259"/>
      <c r="E399" s="259"/>
      <c r="F399" s="259"/>
      <c r="G399" s="259"/>
      <c r="H399" s="259"/>
      <c r="I399" s="259"/>
      <c r="J399" s="259"/>
      <c r="K399" s="259"/>
      <c r="L399" s="259"/>
      <c r="M399" s="236"/>
    </row>
    <row r="400" spans="1:13" x14ac:dyDescent="0.2">
      <c r="A400" s="237"/>
      <c r="B400" s="302"/>
      <c r="C400" s="302"/>
      <c r="D400" s="302"/>
      <c r="E400" s="303"/>
      <c r="F400" s="302"/>
      <c r="G400" s="302"/>
      <c r="H400" s="302"/>
      <c r="I400" s="303"/>
      <c r="J400" s="302"/>
      <c r="K400" s="302"/>
      <c r="L400" s="302"/>
      <c r="M400" s="236"/>
    </row>
    <row r="401" spans="1:13" x14ac:dyDescent="0.2">
      <c r="A401" s="237"/>
      <c r="B401" s="302"/>
      <c r="C401" s="302"/>
      <c r="D401" s="302"/>
      <c r="E401" s="303"/>
      <c r="F401" s="302"/>
      <c r="G401" s="302"/>
      <c r="H401" s="302"/>
      <c r="I401" s="303"/>
      <c r="J401" s="302"/>
      <c r="K401" s="302"/>
      <c r="L401" s="302"/>
      <c r="M401" s="236"/>
    </row>
    <row r="402" spans="1:13" x14ac:dyDescent="0.2">
      <c r="A402" s="237"/>
      <c r="B402" s="302"/>
      <c r="C402" s="302"/>
      <c r="D402" s="302"/>
      <c r="E402" s="303"/>
      <c r="F402" s="302"/>
      <c r="G402" s="302"/>
      <c r="H402" s="302"/>
      <c r="I402" s="303"/>
      <c r="J402" s="302"/>
      <c r="K402" s="302"/>
      <c r="L402" s="302"/>
      <c r="M402" s="236"/>
    </row>
    <row r="403" spans="1:13" x14ac:dyDescent="0.2">
      <c r="A403" s="237"/>
      <c r="B403" s="302"/>
      <c r="C403" s="302"/>
      <c r="D403" s="302"/>
      <c r="E403" s="303"/>
      <c r="F403" s="302"/>
      <c r="G403" s="302"/>
      <c r="H403" s="302"/>
      <c r="I403" s="303"/>
      <c r="J403" s="302"/>
      <c r="K403" s="302"/>
      <c r="L403" s="302"/>
      <c r="M403" s="236"/>
    </row>
    <row r="404" spans="1:13" x14ac:dyDescent="0.2">
      <c r="A404" s="237"/>
      <c r="B404" s="302"/>
      <c r="C404" s="302"/>
      <c r="D404" s="302"/>
      <c r="E404" s="303"/>
      <c r="F404" s="302"/>
      <c r="G404" s="302"/>
      <c r="H404" s="302"/>
      <c r="I404" s="303"/>
      <c r="J404" s="302"/>
      <c r="K404" s="302"/>
      <c r="L404" s="302"/>
      <c r="M404" s="236"/>
    </row>
    <row r="405" spans="1:13" x14ac:dyDescent="0.2">
      <c r="A405" s="237"/>
      <c r="B405" s="302"/>
      <c r="C405" s="302"/>
      <c r="D405" s="302"/>
      <c r="E405" s="303"/>
      <c r="F405" s="302"/>
      <c r="G405" s="302"/>
      <c r="H405" s="302"/>
      <c r="I405" s="303"/>
      <c r="J405" s="302"/>
      <c r="K405" s="302"/>
      <c r="L405" s="302"/>
      <c r="M405" s="236"/>
    </row>
    <row r="406" spans="1:13" x14ac:dyDescent="0.2">
      <c r="A406" s="237"/>
      <c r="B406" s="302"/>
      <c r="C406" s="302"/>
      <c r="D406" s="302"/>
      <c r="E406" s="303"/>
      <c r="F406" s="302"/>
      <c r="G406" s="302"/>
      <c r="H406" s="302"/>
      <c r="I406" s="303"/>
      <c r="J406" s="302"/>
      <c r="K406" s="302"/>
      <c r="L406" s="302"/>
      <c r="M406" s="236"/>
    </row>
    <row r="407" spans="1:13" x14ac:dyDescent="0.2">
      <c r="A407" s="237"/>
      <c r="B407" s="302"/>
      <c r="C407" s="302"/>
      <c r="D407" s="302"/>
      <c r="E407" s="303"/>
      <c r="F407" s="302"/>
      <c r="G407" s="302"/>
      <c r="H407" s="302"/>
      <c r="I407" s="303"/>
      <c r="J407" s="302"/>
      <c r="K407" s="302"/>
      <c r="L407" s="302"/>
      <c r="M407" s="236"/>
    </row>
    <row r="408" spans="1:13" x14ac:dyDescent="0.2">
      <c r="A408" s="237"/>
      <c r="B408" s="302"/>
      <c r="C408" s="302"/>
      <c r="D408" s="302"/>
      <c r="E408" s="303"/>
      <c r="F408" s="302"/>
      <c r="G408" s="302"/>
      <c r="H408" s="302"/>
      <c r="I408" s="303"/>
      <c r="J408" s="302"/>
      <c r="K408" s="302"/>
      <c r="L408" s="302"/>
      <c r="M408" s="236"/>
    </row>
    <row r="409" spans="1:13" x14ac:dyDescent="0.2">
      <c r="A409" s="237"/>
      <c r="B409" s="302"/>
      <c r="C409" s="302"/>
      <c r="D409" s="302"/>
      <c r="E409" s="303"/>
      <c r="F409" s="302"/>
      <c r="G409" s="302"/>
      <c r="H409" s="302"/>
      <c r="I409" s="303"/>
      <c r="J409" s="302"/>
      <c r="K409" s="302"/>
      <c r="L409" s="302"/>
      <c r="M409" s="236"/>
    </row>
    <row r="410" spans="1:13" x14ac:dyDescent="0.2">
      <c r="A410" s="237"/>
      <c r="B410" s="303"/>
      <c r="C410" s="303"/>
      <c r="D410" s="303"/>
      <c r="E410" s="303"/>
      <c r="F410" s="303"/>
      <c r="G410" s="303"/>
      <c r="H410" s="303"/>
      <c r="I410" s="303"/>
      <c r="J410" s="303"/>
      <c r="K410" s="303"/>
      <c r="L410" s="303"/>
      <c r="M410" s="236"/>
    </row>
    <row r="411" spans="1:13" x14ac:dyDescent="0.2">
      <c r="A411" s="237"/>
      <c r="B411" s="237"/>
      <c r="C411" s="237"/>
      <c r="D411" s="237"/>
      <c r="E411" s="237"/>
      <c r="F411" s="237"/>
      <c r="G411" s="237"/>
      <c r="H411" s="237"/>
      <c r="I411" s="237"/>
      <c r="J411" s="237"/>
      <c r="K411" s="237"/>
      <c r="L411" s="240"/>
      <c r="M411" s="236"/>
    </row>
    <row r="412" spans="1:13" x14ac:dyDescent="0.2">
      <c r="A412" s="237"/>
      <c r="B412" s="237"/>
      <c r="C412" s="237"/>
      <c r="D412" s="237"/>
      <c r="E412" s="237"/>
      <c r="F412" s="237"/>
      <c r="G412" s="237"/>
      <c r="H412" s="237"/>
      <c r="I412" s="237"/>
      <c r="J412" s="237"/>
      <c r="K412" s="237"/>
      <c r="L412" s="284"/>
      <c r="M412" s="236"/>
    </row>
    <row r="413" spans="1:13" x14ac:dyDescent="0.2">
      <c r="A413" s="258"/>
      <c r="B413" s="241"/>
      <c r="C413" s="241"/>
      <c r="D413" s="241"/>
      <c r="E413" s="241"/>
      <c r="F413" s="241"/>
      <c r="G413" s="241"/>
      <c r="H413" s="241"/>
      <c r="I413" s="241"/>
      <c r="J413" s="241"/>
      <c r="K413" s="241"/>
      <c r="L413" s="236"/>
      <c r="M413" s="236"/>
    </row>
    <row r="414" spans="1:13" x14ac:dyDescent="0.2">
      <c r="A414" s="241"/>
      <c r="B414" s="375"/>
      <c r="C414" s="375"/>
      <c r="D414" s="375"/>
      <c r="E414" s="253"/>
      <c r="F414" s="375"/>
      <c r="G414" s="375"/>
      <c r="H414" s="375"/>
      <c r="I414" s="253"/>
      <c r="J414" s="375"/>
      <c r="K414" s="375"/>
      <c r="L414" s="375"/>
      <c r="M414" s="236"/>
    </row>
    <row r="415" spans="1:13" x14ac:dyDescent="0.2">
      <c r="A415" s="258"/>
      <c r="B415" s="259"/>
      <c r="C415" s="259"/>
      <c r="D415" s="259"/>
      <c r="E415" s="259"/>
      <c r="F415" s="259"/>
      <c r="G415" s="259"/>
      <c r="H415" s="259"/>
      <c r="I415" s="259"/>
      <c r="J415" s="259"/>
      <c r="K415" s="259"/>
      <c r="L415" s="259"/>
      <c r="M415" s="236"/>
    </row>
    <row r="416" spans="1:13" x14ac:dyDescent="0.2">
      <c r="A416" s="258"/>
      <c r="B416" s="259"/>
      <c r="C416" s="259"/>
      <c r="D416" s="259"/>
      <c r="E416" s="259"/>
      <c r="F416" s="259"/>
      <c r="G416" s="259"/>
      <c r="H416" s="259"/>
      <c r="I416" s="259"/>
      <c r="J416" s="259"/>
      <c r="K416" s="259"/>
      <c r="L416" s="259"/>
      <c r="M416" s="236"/>
    </row>
    <row r="417" spans="1:13" x14ac:dyDescent="0.2">
      <c r="A417" s="237"/>
      <c r="B417" s="302"/>
      <c r="C417" s="302"/>
      <c r="D417" s="302"/>
      <c r="E417" s="303"/>
      <c r="F417" s="302"/>
      <c r="G417" s="302"/>
      <c r="H417" s="302"/>
      <c r="I417" s="303"/>
      <c r="J417" s="302"/>
      <c r="K417" s="302"/>
      <c r="L417" s="302"/>
      <c r="M417" s="236"/>
    </row>
    <row r="418" spans="1:13" x14ac:dyDescent="0.2">
      <c r="A418" s="237"/>
      <c r="B418" s="302"/>
      <c r="C418" s="302"/>
      <c r="D418" s="302"/>
      <c r="E418" s="303"/>
      <c r="F418" s="302"/>
      <c r="G418" s="302"/>
      <c r="H418" s="302"/>
      <c r="I418" s="303"/>
      <c r="J418" s="302"/>
      <c r="K418" s="302"/>
      <c r="L418" s="302"/>
      <c r="M418" s="236"/>
    </row>
    <row r="419" spans="1:13" x14ac:dyDescent="0.2">
      <c r="A419" s="237"/>
      <c r="B419" s="302"/>
      <c r="C419" s="302"/>
      <c r="D419" s="302"/>
      <c r="E419" s="303"/>
      <c r="F419" s="302"/>
      <c r="G419" s="302"/>
      <c r="H419" s="302"/>
      <c r="I419" s="303"/>
      <c r="J419" s="302"/>
      <c r="K419" s="302"/>
      <c r="L419" s="302"/>
      <c r="M419" s="236"/>
    </row>
    <row r="420" spans="1:13" x14ac:dyDescent="0.2">
      <c r="A420" s="237"/>
      <c r="B420" s="302"/>
      <c r="C420" s="302"/>
      <c r="D420" s="302"/>
      <c r="E420" s="303"/>
      <c r="F420" s="302"/>
      <c r="G420" s="302"/>
      <c r="H420" s="302"/>
      <c r="I420" s="303"/>
      <c r="J420" s="302"/>
      <c r="K420" s="302"/>
      <c r="L420" s="302"/>
      <c r="M420" s="236"/>
    </row>
    <row r="421" spans="1:13" x14ac:dyDescent="0.2">
      <c r="A421" s="237"/>
      <c r="B421" s="302"/>
      <c r="C421" s="302"/>
      <c r="D421" s="302"/>
      <c r="E421" s="303"/>
      <c r="F421" s="302"/>
      <c r="G421" s="302"/>
      <c r="H421" s="302"/>
      <c r="I421" s="303"/>
      <c r="J421" s="302"/>
      <c r="K421" s="302"/>
      <c r="L421" s="302"/>
      <c r="M421" s="236"/>
    </row>
    <row r="422" spans="1:13" x14ac:dyDescent="0.2">
      <c r="A422" s="237"/>
      <c r="B422" s="302"/>
      <c r="C422" s="302"/>
      <c r="D422" s="302"/>
      <c r="E422" s="303"/>
      <c r="F422" s="302"/>
      <c r="G422" s="302"/>
      <c r="H422" s="302"/>
      <c r="I422" s="303"/>
      <c r="J422" s="302"/>
      <c r="K422" s="302"/>
      <c r="L422" s="302"/>
      <c r="M422" s="236"/>
    </row>
    <row r="423" spans="1:13" x14ac:dyDescent="0.2">
      <c r="A423" s="237"/>
      <c r="B423" s="302"/>
      <c r="C423" s="302"/>
      <c r="D423" s="302"/>
      <c r="E423" s="303"/>
      <c r="F423" s="302"/>
      <c r="G423" s="302"/>
      <c r="H423" s="302"/>
      <c r="I423" s="303"/>
      <c r="J423" s="302"/>
      <c r="K423" s="302"/>
      <c r="L423" s="302"/>
      <c r="M423" s="236"/>
    </row>
    <row r="424" spans="1:13" x14ac:dyDescent="0.2">
      <c r="A424" s="237"/>
      <c r="B424" s="302"/>
      <c r="C424" s="302"/>
      <c r="D424" s="302"/>
      <c r="E424" s="303"/>
      <c r="F424" s="302"/>
      <c r="G424" s="302"/>
      <c r="H424" s="302"/>
      <c r="I424" s="303"/>
      <c r="J424" s="302"/>
      <c r="K424" s="302"/>
      <c r="L424" s="302"/>
      <c r="M424" s="236"/>
    </row>
    <row r="425" spans="1:13" x14ac:dyDescent="0.2">
      <c r="A425" s="237"/>
      <c r="B425" s="302"/>
      <c r="C425" s="302"/>
      <c r="D425" s="302"/>
      <c r="E425" s="303"/>
      <c r="F425" s="302"/>
      <c r="G425" s="302"/>
      <c r="H425" s="302"/>
      <c r="I425" s="303"/>
      <c r="J425" s="302"/>
      <c r="K425" s="302"/>
      <c r="L425" s="302"/>
      <c r="M425" s="236"/>
    </row>
    <row r="426" spans="1:13" x14ac:dyDescent="0.2">
      <c r="A426" s="237"/>
      <c r="B426" s="302"/>
      <c r="C426" s="302"/>
      <c r="D426" s="302"/>
      <c r="E426" s="303"/>
      <c r="F426" s="302"/>
      <c r="G426" s="302"/>
      <c r="H426" s="302"/>
      <c r="I426" s="303"/>
      <c r="J426" s="302"/>
      <c r="K426" s="302"/>
      <c r="L426" s="302"/>
      <c r="M426" s="236"/>
    </row>
    <row r="427" spans="1:13" x14ac:dyDescent="0.2">
      <c r="A427" s="237"/>
      <c r="B427" s="303"/>
      <c r="C427" s="303"/>
      <c r="D427" s="303"/>
      <c r="E427" s="303"/>
      <c r="F427" s="303"/>
      <c r="G427" s="303"/>
      <c r="H427" s="303"/>
      <c r="I427" s="303"/>
      <c r="J427" s="303"/>
      <c r="K427" s="303"/>
      <c r="L427" s="303"/>
      <c r="M427" s="236"/>
    </row>
    <row r="428" spans="1:13" x14ac:dyDescent="0.2">
      <c r="A428" s="237"/>
      <c r="B428" s="237"/>
      <c r="C428" s="237"/>
      <c r="D428" s="237"/>
      <c r="E428" s="237"/>
      <c r="F428" s="237"/>
      <c r="G428" s="237"/>
      <c r="H428" s="237"/>
      <c r="I428" s="237"/>
      <c r="J428" s="237"/>
      <c r="K428" s="237"/>
      <c r="L428" s="240"/>
      <c r="M428" s="236"/>
    </row>
    <row r="429" spans="1:13" x14ac:dyDescent="0.2">
      <c r="A429" s="237"/>
      <c r="B429" s="237"/>
      <c r="C429" s="237"/>
      <c r="D429" s="237"/>
      <c r="E429" s="237"/>
      <c r="F429" s="237"/>
      <c r="G429" s="237"/>
      <c r="H429" s="237"/>
      <c r="I429" s="237"/>
      <c r="J429" s="237"/>
      <c r="K429" s="237"/>
      <c r="L429" s="284"/>
      <c r="M429" s="236"/>
    </row>
    <row r="430" spans="1:13" x14ac:dyDescent="0.2">
      <c r="A430" s="258"/>
      <c r="B430" s="241"/>
      <c r="C430" s="241"/>
      <c r="D430" s="241"/>
      <c r="E430" s="241"/>
      <c r="F430" s="241"/>
      <c r="G430" s="241"/>
      <c r="H430" s="241"/>
      <c r="I430" s="241"/>
      <c r="J430" s="241"/>
      <c r="K430" s="241"/>
      <c r="L430" s="236"/>
      <c r="M430" s="236"/>
    </row>
    <row r="431" spans="1:13" x14ac:dyDescent="0.2">
      <c r="A431" s="241"/>
      <c r="B431" s="375"/>
      <c r="C431" s="375"/>
      <c r="D431" s="375"/>
      <c r="E431" s="253"/>
      <c r="F431" s="375"/>
      <c r="G431" s="375"/>
      <c r="H431" s="375"/>
      <c r="I431" s="253"/>
      <c r="J431" s="375"/>
      <c r="K431" s="375"/>
      <c r="L431" s="375"/>
      <c r="M431" s="236"/>
    </row>
    <row r="432" spans="1:13" x14ac:dyDescent="0.2">
      <c r="A432" s="258"/>
      <c r="B432" s="259"/>
      <c r="C432" s="259"/>
      <c r="D432" s="259"/>
      <c r="E432" s="259"/>
      <c r="F432" s="259"/>
      <c r="G432" s="259"/>
      <c r="H432" s="259"/>
      <c r="I432" s="259"/>
      <c r="J432" s="259"/>
      <c r="K432" s="259"/>
      <c r="L432" s="259"/>
      <c r="M432" s="236"/>
    </row>
    <row r="433" spans="1:13" x14ac:dyDescent="0.2">
      <c r="A433" s="258"/>
      <c r="B433" s="259"/>
      <c r="C433" s="259"/>
      <c r="D433" s="259"/>
      <c r="E433" s="259"/>
      <c r="F433" s="259"/>
      <c r="G433" s="259"/>
      <c r="H433" s="259"/>
      <c r="I433" s="259"/>
      <c r="J433" s="259"/>
      <c r="K433" s="259"/>
      <c r="L433" s="259"/>
      <c r="M433" s="236"/>
    </row>
    <row r="434" spans="1:13" x14ac:dyDescent="0.2">
      <c r="A434" s="237"/>
      <c r="B434" s="302"/>
      <c r="C434" s="302"/>
      <c r="D434" s="302"/>
      <c r="E434" s="303"/>
      <c r="F434" s="302"/>
      <c r="G434" s="302"/>
      <c r="H434" s="302"/>
      <c r="I434" s="303"/>
      <c r="J434" s="302"/>
      <c r="K434" s="302"/>
      <c r="L434" s="302"/>
      <c r="M434" s="236"/>
    </row>
    <row r="435" spans="1:13" x14ac:dyDescent="0.2">
      <c r="A435" s="237"/>
      <c r="B435" s="302"/>
      <c r="C435" s="302"/>
      <c r="D435" s="302"/>
      <c r="E435" s="303"/>
      <c r="F435" s="302"/>
      <c r="G435" s="302"/>
      <c r="H435" s="302"/>
      <c r="I435" s="303"/>
      <c r="J435" s="302"/>
      <c r="K435" s="302"/>
      <c r="L435" s="302"/>
      <c r="M435" s="236"/>
    </row>
    <row r="436" spans="1:13" x14ac:dyDescent="0.2">
      <c r="A436" s="237"/>
      <c r="B436" s="302"/>
      <c r="C436" s="302"/>
      <c r="D436" s="302"/>
      <c r="E436" s="303"/>
      <c r="F436" s="302"/>
      <c r="G436" s="302"/>
      <c r="H436" s="302"/>
      <c r="I436" s="303"/>
      <c r="J436" s="302"/>
      <c r="K436" s="302"/>
      <c r="L436" s="302"/>
      <c r="M436" s="236"/>
    </row>
    <row r="437" spans="1:13" x14ac:dyDescent="0.2">
      <c r="A437" s="237"/>
      <c r="B437" s="302"/>
      <c r="C437" s="302"/>
      <c r="D437" s="302"/>
      <c r="E437" s="303"/>
      <c r="F437" s="302"/>
      <c r="G437" s="302"/>
      <c r="H437" s="302"/>
      <c r="I437" s="303"/>
      <c r="J437" s="302"/>
      <c r="K437" s="302"/>
      <c r="L437" s="302"/>
      <c r="M437" s="236"/>
    </row>
    <row r="438" spans="1:13" x14ac:dyDescent="0.2">
      <c r="A438" s="237"/>
      <c r="B438" s="302"/>
      <c r="C438" s="302"/>
      <c r="D438" s="302"/>
      <c r="E438" s="303"/>
      <c r="F438" s="302"/>
      <c r="G438" s="302"/>
      <c r="H438" s="302"/>
      <c r="I438" s="303"/>
      <c r="J438" s="302"/>
      <c r="K438" s="302"/>
      <c r="L438" s="302"/>
      <c r="M438" s="236"/>
    </row>
    <row r="439" spans="1:13" x14ac:dyDescent="0.2">
      <c r="A439" s="237"/>
      <c r="B439" s="302"/>
      <c r="C439" s="302"/>
      <c r="D439" s="302"/>
      <c r="E439" s="303"/>
      <c r="F439" s="302"/>
      <c r="G439" s="302"/>
      <c r="H439" s="302"/>
      <c r="I439" s="303"/>
      <c r="J439" s="302"/>
      <c r="K439" s="302"/>
      <c r="L439" s="302"/>
      <c r="M439" s="236"/>
    </row>
    <row r="440" spans="1:13" x14ac:dyDescent="0.2">
      <c r="A440" s="237"/>
      <c r="B440" s="302"/>
      <c r="C440" s="302"/>
      <c r="D440" s="302"/>
      <c r="E440" s="303"/>
      <c r="F440" s="302"/>
      <c r="G440" s="302"/>
      <c r="H440" s="302"/>
      <c r="I440" s="303"/>
      <c r="J440" s="302"/>
      <c r="K440" s="302"/>
      <c r="L440" s="302"/>
      <c r="M440" s="236"/>
    </row>
    <row r="441" spans="1:13" x14ac:dyDescent="0.2">
      <c r="A441" s="237"/>
      <c r="B441" s="302"/>
      <c r="C441" s="302"/>
      <c r="D441" s="302"/>
      <c r="E441" s="303"/>
      <c r="F441" s="302"/>
      <c r="G441" s="302"/>
      <c r="H441" s="302"/>
      <c r="I441" s="303"/>
      <c r="J441" s="302"/>
      <c r="K441" s="302"/>
      <c r="L441" s="302"/>
      <c r="M441" s="236"/>
    </row>
    <row r="442" spans="1:13" x14ac:dyDescent="0.2">
      <c r="A442" s="237"/>
      <c r="B442" s="302"/>
      <c r="C442" s="302"/>
      <c r="D442" s="302"/>
      <c r="E442" s="303"/>
      <c r="F442" s="302"/>
      <c r="G442" s="302"/>
      <c r="H442" s="302"/>
      <c r="I442" s="303"/>
      <c r="J442" s="302"/>
      <c r="K442" s="302"/>
      <c r="L442" s="302"/>
      <c r="M442" s="236"/>
    </row>
    <row r="443" spans="1:13" x14ac:dyDescent="0.2">
      <c r="A443" s="237"/>
      <c r="B443" s="302"/>
      <c r="C443" s="302"/>
      <c r="D443" s="302"/>
      <c r="E443" s="303"/>
      <c r="F443" s="302"/>
      <c r="G443" s="302"/>
      <c r="H443" s="302"/>
      <c r="I443" s="303"/>
      <c r="J443" s="302"/>
      <c r="K443" s="302"/>
      <c r="L443" s="302"/>
      <c r="M443" s="236"/>
    </row>
    <row r="444" spans="1:13" x14ac:dyDescent="0.2">
      <c r="A444" s="237"/>
      <c r="B444" s="303"/>
      <c r="C444" s="303"/>
      <c r="D444" s="303"/>
      <c r="E444" s="303"/>
      <c r="F444" s="303"/>
      <c r="G444" s="303"/>
      <c r="H444" s="303"/>
      <c r="I444" s="303"/>
      <c r="J444" s="303"/>
      <c r="K444" s="303"/>
      <c r="L444" s="303"/>
      <c r="M444" s="236"/>
    </row>
    <row r="445" spans="1:13" x14ac:dyDescent="0.2">
      <c r="A445" s="237"/>
      <c r="B445" s="237"/>
      <c r="C445" s="237"/>
      <c r="D445" s="237"/>
      <c r="E445" s="237"/>
      <c r="F445" s="237"/>
      <c r="G445" s="237"/>
      <c r="H445" s="237"/>
      <c r="I445" s="237"/>
      <c r="J445" s="237"/>
      <c r="K445" s="237"/>
      <c r="L445" s="240"/>
      <c r="M445" s="236"/>
    </row>
    <row r="446" spans="1:13" x14ac:dyDescent="0.2">
      <c r="A446" s="237"/>
      <c r="B446" s="237"/>
      <c r="C446" s="237"/>
      <c r="D446" s="237"/>
      <c r="E446" s="237"/>
      <c r="F446" s="237"/>
      <c r="G446" s="237"/>
      <c r="H446" s="237"/>
      <c r="I446" s="237"/>
      <c r="J446" s="237"/>
      <c r="K446" s="237"/>
      <c r="L446" s="284"/>
      <c r="M446" s="236"/>
    </row>
    <row r="447" spans="1:13" x14ac:dyDescent="0.2">
      <c r="A447" s="258"/>
      <c r="B447" s="241"/>
      <c r="C447" s="241"/>
      <c r="D447" s="241"/>
      <c r="E447" s="241"/>
      <c r="F447" s="241"/>
      <c r="G447" s="241"/>
      <c r="H447" s="241"/>
      <c r="I447" s="241"/>
      <c r="J447" s="241"/>
      <c r="K447" s="241"/>
      <c r="L447" s="236"/>
      <c r="M447" s="236"/>
    </row>
    <row r="448" spans="1:13" x14ac:dyDescent="0.2">
      <c r="A448" s="241"/>
      <c r="B448" s="375"/>
      <c r="C448" s="375"/>
      <c r="D448" s="375"/>
      <c r="E448" s="253"/>
      <c r="F448" s="375"/>
      <c r="G448" s="375"/>
      <c r="H448" s="375"/>
      <c r="I448" s="253"/>
      <c r="J448" s="375"/>
      <c r="K448" s="375"/>
      <c r="L448" s="375"/>
      <c r="M448" s="236"/>
    </row>
    <row r="449" spans="1:13" x14ac:dyDescent="0.2">
      <c r="A449" s="258"/>
      <c r="B449" s="259"/>
      <c r="C449" s="259"/>
      <c r="D449" s="259"/>
      <c r="E449" s="259"/>
      <c r="F449" s="259"/>
      <c r="G449" s="259"/>
      <c r="H449" s="259"/>
      <c r="I449" s="259"/>
      <c r="J449" s="259"/>
      <c r="K449" s="259"/>
      <c r="L449" s="259"/>
      <c r="M449" s="236"/>
    </row>
    <row r="450" spans="1:13" x14ac:dyDescent="0.2">
      <c r="A450" s="258"/>
      <c r="B450" s="259"/>
      <c r="C450" s="259"/>
      <c r="D450" s="259"/>
      <c r="E450" s="259"/>
      <c r="F450" s="259"/>
      <c r="G450" s="259"/>
      <c r="H450" s="259"/>
      <c r="I450" s="259"/>
      <c r="J450" s="259"/>
      <c r="K450" s="259"/>
      <c r="L450" s="259"/>
      <c r="M450" s="236"/>
    </row>
    <row r="451" spans="1:13" x14ac:dyDescent="0.2">
      <c r="A451" s="237"/>
      <c r="B451" s="302"/>
      <c r="C451" s="302"/>
      <c r="D451" s="302"/>
      <c r="E451" s="303"/>
      <c r="F451" s="302"/>
      <c r="G451" s="302"/>
      <c r="H451" s="302"/>
      <c r="I451" s="303"/>
      <c r="J451" s="302"/>
      <c r="K451" s="302"/>
      <c r="L451" s="302"/>
      <c r="M451" s="236"/>
    </row>
    <row r="452" spans="1:13" x14ac:dyDescent="0.2">
      <c r="A452" s="237"/>
      <c r="B452" s="302"/>
      <c r="C452" s="302"/>
      <c r="D452" s="302"/>
      <c r="E452" s="303"/>
      <c r="F452" s="302"/>
      <c r="G452" s="302"/>
      <c r="H452" s="302"/>
      <c r="I452" s="303"/>
      <c r="J452" s="302"/>
      <c r="K452" s="302"/>
      <c r="L452" s="302"/>
      <c r="M452" s="236"/>
    </row>
    <row r="453" spans="1:13" x14ac:dyDescent="0.2">
      <c r="A453" s="237"/>
      <c r="B453" s="302"/>
      <c r="C453" s="302"/>
      <c r="D453" s="302"/>
      <c r="E453" s="303"/>
      <c r="F453" s="302"/>
      <c r="G453" s="302"/>
      <c r="H453" s="302"/>
      <c r="I453" s="303"/>
      <c r="J453" s="302"/>
      <c r="K453" s="302"/>
      <c r="L453" s="302"/>
      <c r="M453" s="236"/>
    </row>
    <row r="454" spans="1:13" x14ac:dyDescent="0.2">
      <c r="A454" s="237"/>
      <c r="B454" s="302"/>
      <c r="C454" s="302"/>
      <c r="D454" s="302"/>
      <c r="E454" s="303"/>
      <c r="F454" s="302"/>
      <c r="G454" s="302"/>
      <c r="H454" s="302"/>
      <c r="I454" s="303"/>
      <c r="J454" s="302"/>
      <c r="K454" s="302"/>
      <c r="L454" s="302"/>
      <c r="M454" s="236"/>
    </row>
    <row r="455" spans="1:13" x14ac:dyDescent="0.2">
      <c r="A455" s="237"/>
      <c r="B455" s="302"/>
      <c r="C455" s="302"/>
      <c r="D455" s="302"/>
      <c r="E455" s="303"/>
      <c r="F455" s="302"/>
      <c r="G455" s="302"/>
      <c r="H455" s="302"/>
      <c r="I455" s="303"/>
      <c r="J455" s="302"/>
      <c r="K455" s="302"/>
      <c r="L455" s="302"/>
      <c r="M455" s="236"/>
    </row>
    <row r="456" spans="1:13" x14ac:dyDescent="0.2">
      <c r="A456" s="237"/>
      <c r="B456" s="302"/>
      <c r="C456" s="302"/>
      <c r="D456" s="302"/>
      <c r="E456" s="303"/>
      <c r="F456" s="302"/>
      <c r="G456" s="302"/>
      <c r="H456" s="302"/>
      <c r="I456" s="303"/>
      <c r="J456" s="302"/>
      <c r="K456" s="302"/>
      <c r="L456" s="302"/>
      <c r="M456" s="236"/>
    </row>
    <row r="457" spans="1:13" x14ac:dyDescent="0.2">
      <c r="A457" s="237"/>
      <c r="B457" s="302"/>
      <c r="C457" s="302"/>
      <c r="D457" s="302"/>
      <c r="E457" s="303"/>
      <c r="F457" s="302"/>
      <c r="G457" s="302"/>
      <c r="H457" s="302"/>
      <c r="I457" s="303"/>
      <c r="J457" s="302"/>
      <c r="K457" s="302"/>
      <c r="L457" s="302"/>
      <c r="M457" s="236"/>
    </row>
    <row r="458" spans="1:13" x14ac:dyDescent="0.2">
      <c r="A458" s="237"/>
      <c r="B458" s="302"/>
      <c r="C458" s="302"/>
      <c r="D458" s="302"/>
      <c r="E458" s="303"/>
      <c r="F458" s="302"/>
      <c r="G458" s="302"/>
      <c r="H458" s="302"/>
      <c r="I458" s="303"/>
      <c r="J458" s="302"/>
      <c r="K458" s="302"/>
      <c r="L458" s="302"/>
      <c r="M458" s="236"/>
    </row>
    <row r="459" spans="1:13" x14ac:dyDescent="0.2">
      <c r="A459" s="237"/>
      <c r="B459" s="302"/>
      <c r="C459" s="302"/>
      <c r="D459" s="302"/>
      <c r="E459" s="303"/>
      <c r="F459" s="302"/>
      <c r="G459" s="302"/>
      <c r="H459" s="302"/>
      <c r="I459" s="303"/>
      <c r="J459" s="302"/>
      <c r="K459" s="302"/>
      <c r="L459" s="302"/>
      <c r="M459" s="236"/>
    </row>
    <row r="460" spans="1:13" x14ac:dyDescent="0.2">
      <c r="A460" s="237"/>
      <c r="B460" s="302"/>
      <c r="C460" s="302"/>
      <c r="D460" s="302"/>
      <c r="E460" s="303"/>
      <c r="F460" s="302"/>
      <c r="G460" s="302"/>
      <c r="H460" s="302"/>
      <c r="I460" s="303"/>
      <c r="J460" s="302"/>
      <c r="K460" s="302"/>
      <c r="L460" s="302"/>
      <c r="M460" s="236"/>
    </row>
    <row r="461" spans="1:13" x14ac:dyDescent="0.2">
      <c r="A461" s="237"/>
      <c r="B461" s="303"/>
      <c r="C461" s="303"/>
      <c r="D461" s="303"/>
      <c r="E461" s="303"/>
      <c r="F461" s="303"/>
      <c r="G461" s="303"/>
      <c r="H461" s="303"/>
      <c r="I461" s="303"/>
      <c r="J461" s="303"/>
      <c r="K461" s="303"/>
      <c r="L461" s="303"/>
      <c r="M461" s="236"/>
    </row>
    <row r="462" spans="1:13" x14ac:dyDescent="0.2">
      <c r="A462" s="237"/>
      <c r="B462" s="237"/>
      <c r="C462" s="237"/>
      <c r="D462" s="237"/>
      <c r="E462" s="237"/>
      <c r="F462" s="237"/>
      <c r="G462" s="237"/>
      <c r="H462" s="237"/>
      <c r="I462" s="237"/>
      <c r="J462" s="237"/>
      <c r="K462" s="237"/>
      <c r="L462" s="240"/>
      <c r="M462" s="236"/>
    </row>
    <row r="463" spans="1:13" x14ac:dyDescent="0.2">
      <c r="A463" s="237"/>
      <c r="B463" s="237"/>
      <c r="C463" s="237"/>
      <c r="D463" s="237"/>
      <c r="E463" s="237"/>
      <c r="F463" s="237"/>
      <c r="G463" s="237"/>
      <c r="H463" s="237"/>
      <c r="I463" s="237"/>
      <c r="J463" s="237"/>
      <c r="K463" s="237"/>
      <c r="L463" s="284"/>
      <c r="M463" s="236"/>
    </row>
    <row r="464" spans="1:13" x14ac:dyDescent="0.2">
      <c r="A464" s="258"/>
      <c r="B464" s="241"/>
      <c r="C464" s="241"/>
      <c r="D464" s="241"/>
      <c r="E464" s="241"/>
      <c r="F464" s="241"/>
      <c r="G464" s="241"/>
      <c r="H464" s="241"/>
      <c r="I464" s="241"/>
      <c r="J464" s="241"/>
      <c r="K464" s="241"/>
      <c r="L464" s="236"/>
      <c r="M464" s="236"/>
    </row>
    <row r="465" spans="1:13" x14ac:dyDescent="0.2">
      <c r="A465" s="241"/>
      <c r="B465" s="375"/>
      <c r="C465" s="375"/>
      <c r="D465" s="375"/>
      <c r="E465" s="253"/>
      <c r="F465" s="375"/>
      <c r="G465" s="375"/>
      <c r="H465" s="375"/>
      <c r="I465" s="253"/>
      <c r="J465" s="375"/>
      <c r="K465" s="375"/>
      <c r="L465" s="375"/>
      <c r="M465" s="236"/>
    </row>
    <row r="466" spans="1:13" x14ac:dyDescent="0.2">
      <c r="A466" s="258"/>
      <c r="B466" s="259"/>
      <c r="C466" s="259"/>
      <c r="D466" s="259"/>
      <c r="E466" s="259"/>
      <c r="F466" s="259"/>
      <c r="G466" s="259"/>
      <c r="H466" s="259"/>
      <c r="I466" s="259"/>
      <c r="J466" s="259"/>
      <c r="K466" s="259"/>
      <c r="L466" s="259"/>
      <c r="M466" s="236"/>
    </row>
    <row r="467" spans="1:13" x14ac:dyDescent="0.2">
      <c r="A467" s="258"/>
      <c r="B467" s="259"/>
      <c r="C467" s="259"/>
      <c r="D467" s="259"/>
      <c r="E467" s="259"/>
      <c r="F467" s="259"/>
      <c r="G467" s="259"/>
      <c r="H467" s="259"/>
      <c r="I467" s="259"/>
      <c r="J467" s="259"/>
      <c r="K467" s="259"/>
      <c r="L467" s="259"/>
      <c r="M467" s="236"/>
    </row>
    <row r="468" spans="1:13" x14ac:dyDescent="0.2">
      <c r="A468" s="237"/>
      <c r="B468" s="302"/>
      <c r="C468" s="302"/>
      <c r="D468" s="302"/>
      <c r="E468" s="303"/>
      <c r="F468" s="302"/>
      <c r="G468" s="302"/>
      <c r="H468" s="302"/>
      <c r="I468" s="303"/>
      <c r="J468" s="302"/>
      <c r="K468" s="302"/>
      <c r="L468" s="302"/>
      <c r="M468" s="236"/>
    </row>
    <row r="469" spans="1:13" x14ac:dyDescent="0.2">
      <c r="A469" s="237"/>
      <c r="B469" s="302"/>
      <c r="C469" s="302"/>
      <c r="D469" s="302"/>
      <c r="E469" s="303"/>
      <c r="F469" s="302"/>
      <c r="G469" s="302"/>
      <c r="H469" s="302"/>
      <c r="I469" s="303"/>
      <c r="J469" s="302"/>
      <c r="K469" s="302"/>
      <c r="L469" s="302"/>
      <c r="M469" s="236"/>
    </row>
    <row r="470" spans="1:13" x14ac:dyDescent="0.2">
      <c r="A470" s="237"/>
      <c r="B470" s="302"/>
      <c r="C470" s="302"/>
      <c r="D470" s="302"/>
      <c r="E470" s="303"/>
      <c r="F470" s="302"/>
      <c r="G470" s="302"/>
      <c r="H470" s="302"/>
      <c r="I470" s="303"/>
      <c r="J470" s="302"/>
      <c r="K470" s="302"/>
      <c r="L470" s="302"/>
      <c r="M470" s="236"/>
    </row>
    <row r="471" spans="1:13" x14ac:dyDescent="0.2">
      <c r="A471" s="237"/>
      <c r="B471" s="302"/>
      <c r="C471" s="302"/>
      <c r="D471" s="302"/>
      <c r="E471" s="303"/>
      <c r="F471" s="302"/>
      <c r="G471" s="302"/>
      <c r="H471" s="302"/>
      <c r="I471" s="303"/>
      <c r="J471" s="302"/>
      <c r="K471" s="302"/>
      <c r="L471" s="302"/>
      <c r="M471" s="236"/>
    </row>
    <row r="472" spans="1:13" x14ac:dyDescent="0.2">
      <c r="A472" s="237"/>
      <c r="B472" s="302"/>
      <c r="C472" s="302"/>
      <c r="D472" s="302"/>
      <c r="E472" s="303"/>
      <c r="F472" s="302"/>
      <c r="G472" s="302"/>
      <c r="H472" s="302"/>
      <c r="I472" s="303"/>
      <c r="J472" s="302"/>
      <c r="K472" s="302"/>
      <c r="L472" s="302"/>
      <c r="M472" s="236"/>
    </row>
    <row r="473" spans="1:13" x14ac:dyDescent="0.2">
      <c r="A473" s="237"/>
      <c r="B473" s="302"/>
      <c r="C473" s="302"/>
      <c r="D473" s="302"/>
      <c r="E473" s="303"/>
      <c r="F473" s="302"/>
      <c r="G473" s="302"/>
      <c r="H473" s="302"/>
      <c r="I473" s="303"/>
      <c r="J473" s="302"/>
      <c r="K473" s="302"/>
      <c r="L473" s="302"/>
      <c r="M473" s="236"/>
    </row>
    <row r="474" spans="1:13" x14ac:dyDescent="0.2">
      <c r="A474" s="237"/>
      <c r="B474" s="302"/>
      <c r="C474" s="302"/>
      <c r="D474" s="302"/>
      <c r="E474" s="303"/>
      <c r="F474" s="302"/>
      <c r="G474" s="302"/>
      <c r="H474" s="302"/>
      <c r="I474" s="303"/>
      <c r="J474" s="302"/>
      <c r="K474" s="302"/>
      <c r="L474" s="302"/>
      <c r="M474" s="236"/>
    </row>
    <row r="475" spans="1:13" x14ac:dyDescent="0.2">
      <c r="A475" s="237"/>
      <c r="B475" s="302"/>
      <c r="C475" s="302"/>
      <c r="D475" s="302"/>
      <c r="E475" s="303"/>
      <c r="F475" s="302"/>
      <c r="G475" s="302"/>
      <c r="H475" s="302"/>
      <c r="I475" s="303"/>
      <c r="J475" s="302"/>
      <c r="K475" s="302"/>
      <c r="L475" s="302"/>
      <c r="M475" s="236"/>
    </row>
    <row r="476" spans="1:13" x14ac:dyDescent="0.2">
      <c r="A476" s="237"/>
      <c r="B476" s="302"/>
      <c r="C476" s="302"/>
      <c r="D476" s="302"/>
      <c r="E476" s="303"/>
      <c r="F476" s="302"/>
      <c r="G476" s="302"/>
      <c r="H476" s="302"/>
      <c r="I476" s="303"/>
      <c r="J476" s="302"/>
      <c r="K476" s="302"/>
      <c r="L476" s="302"/>
      <c r="M476" s="236"/>
    </row>
    <row r="477" spans="1:13" x14ac:dyDescent="0.2">
      <c r="A477" s="237"/>
      <c r="B477" s="302"/>
      <c r="C477" s="302"/>
      <c r="D477" s="302"/>
      <c r="E477" s="303"/>
      <c r="F477" s="302"/>
      <c r="G477" s="302"/>
      <c r="H477" s="302"/>
      <c r="I477" s="303"/>
      <c r="J477" s="302"/>
      <c r="K477" s="302"/>
      <c r="L477" s="302"/>
      <c r="M477" s="236"/>
    </row>
    <row r="478" spans="1:13" x14ac:dyDescent="0.2">
      <c r="A478" s="237"/>
      <c r="B478" s="303"/>
      <c r="C478" s="303"/>
      <c r="D478" s="303"/>
      <c r="E478" s="303"/>
      <c r="F478" s="303"/>
      <c r="G478" s="303"/>
      <c r="H478" s="303"/>
      <c r="I478" s="303"/>
      <c r="J478" s="303"/>
      <c r="K478" s="303"/>
      <c r="L478" s="303"/>
      <c r="M478" s="236"/>
    </row>
    <row r="479" spans="1:13" x14ac:dyDescent="0.2">
      <c r="A479" s="237"/>
      <c r="B479" s="237"/>
      <c r="C479" s="237"/>
      <c r="D479" s="237"/>
      <c r="E479" s="237"/>
      <c r="F479" s="237"/>
      <c r="G479" s="237"/>
      <c r="H479" s="237"/>
      <c r="I479" s="237"/>
      <c r="J479" s="237"/>
      <c r="K479" s="237"/>
      <c r="L479" s="240"/>
      <c r="M479" s="236"/>
    </row>
    <row r="480" spans="1:13" x14ac:dyDescent="0.2">
      <c r="A480" s="237"/>
      <c r="B480" s="237"/>
      <c r="C480" s="237"/>
      <c r="D480" s="237"/>
      <c r="E480" s="237"/>
      <c r="F480" s="237"/>
      <c r="G480" s="237"/>
      <c r="H480" s="237"/>
      <c r="I480" s="237"/>
      <c r="J480" s="237"/>
      <c r="K480" s="237"/>
      <c r="L480" s="284"/>
      <c r="M480" s="236"/>
    </row>
    <row r="481" spans="1:13" x14ac:dyDescent="0.2">
      <c r="A481" s="258"/>
      <c r="B481" s="241"/>
      <c r="C481" s="241"/>
      <c r="D481" s="241"/>
      <c r="E481" s="241"/>
      <c r="F481" s="241"/>
      <c r="G481" s="241"/>
      <c r="H481" s="241"/>
      <c r="I481" s="241"/>
      <c r="J481" s="241"/>
      <c r="K481" s="241"/>
      <c r="L481" s="236"/>
      <c r="M481" s="236"/>
    </row>
    <row r="482" spans="1:13" x14ac:dyDescent="0.2">
      <c r="A482" s="241"/>
      <c r="B482" s="375"/>
      <c r="C482" s="375"/>
      <c r="D482" s="375"/>
      <c r="E482" s="253"/>
      <c r="F482" s="375"/>
      <c r="G482" s="375"/>
      <c r="H482" s="375"/>
      <c r="I482" s="253"/>
      <c r="J482" s="375"/>
      <c r="K482" s="375"/>
      <c r="L482" s="375"/>
      <c r="M482" s="236"/>
    </row>
    <row r="483" spans="1:13" x14ac:dyDescent="0.2">
      <c r="A483" s="258"/>
      <c r="B483" s="259"/>
      <c r="C483" s="259"/>
      <c r="D483" s="259"/>
      <c r="E483" s="259"/>
      <c r="F483" s="259"/>
      <c r="G483" s="259"/>
      <c r="H483" s="259"/>
      <c r="I483" s="259"/>
      <c r="J483" s="259"/>
      <c r="K483" s="259"/>
      <c r="L483" s="259"/>
      <c r="M483" s="236"/>
    </row>
    <row r="484" spans="1:13" x14ac:dyDescent="0.2">
      <c r="A484" s="258"/>
      <c r="B484" s="259"/>
      <c r="C484" s="259"/>
      <c r="D484" s="259"/>
      <c r="E484" s="259"/>
      <c r="F484" s="259"/>
      <c r="G484" s="259"/>
      <c r="H484" s="259"/>
      <c r="I484" s="259"/>
      <c r="J484" s="259"/>
      <c r="K484" s="259"/>
      <c r="L484" s="259"/>
      <c r="M484" s="236"/>
    </row>
    <row r="485" spans="1:13" x14ac:dyDescent="0.2">
      <c r="A485" s="237"/>
      <c r="B485" s="302"/>
      <c r="C485" s="302"/>
      <c r="D485" s="302"/>
      <c r="E485" s="303"/>
      <c r="F485" s="302"/>
      <c r="G485" s="302"/>
      <c r="H485" s="302"/>
      <c r="I485" s="303"/>
      <c r="J485" s="302"/>
      <c r="K485" s="302"/>
      <c r="L485" s="302"/>
      <c r="M485" s="236"/>
    </row>
    <row r="486" spans="1:13" x14ac:dyDescent="0.2">
      <c r="A486" s="237"/>
      <c r="B486" s="302"/>
      <c r="C486" s="302"/>
      <c r="D486" s="302"/>
      <c r="E486" s="303"/>
      <c r="F486" s="302"/>
      <c r="G486" s="302"/>
      <c r="H486" s="302"/>
      <c r="I486" s="303"/>
      <c r="J486" s="302"/>
      <c r="K486" s="302"/>
      <c r="L486" s="302"/>
      <c r="M486" s="236"/>
    </row>
    <row r="487" spans="1:13" x14ac:dyDescent="0.2">
      <c r="A487" s="237"/>
      <c r="B487" s="302"/>
      <c r="C487" s="302"/>
      <c r="D487" s="302"/>
      <c r="E487" s="303"/>
      <c r="F487" s="302"/>
      <c r="G487" s="302"/>
      <c r="H487" s="302"/>
      <c r="I487" s="303"/>
      <c r="J487" s="302"/>
      <c r="K487" s="302"/>
      <c r="L487" s="302"/>
      <c r="M487" s="236"/>
    </row>
    <row r="488" spans="1:13" x14ac:dyDescent="0.2">
      <c r="A488" s="237"/>
      <c r="B488" s="302"/>
      <c r="C488" s="302"/>
      <c r="D488" s="302"/>
      <c r="E488" s="303"/>
      <c r="F488" s="302"/>
      <c r="G488" s="302"/>
      <c r="H488" s="302"/>
      <c r="I488" s="303"/>
      <c r="J488" s="302"/>
      <c r="K488" s="302"/>
      <c r="L488" s="302"/>
      <c r="M488" s="236"/>
    </row>
    <row r="489" spans="1:13" x14ac:dyDescent="0.2">
      <c r="A489" s="237"/>
      <c r="B489" s="302"/>
      <c r="C489" s="302"/>
      <c r="D489" s="302"/>
      <c r="E489" s="303"/>
      <c r="F489" s="302"/>
      <c r="G489" s="302"/>
      <c r="H489" s="302"/>
      <c r="I489" s="303"/>
      <c r="J489" s="302"/>
      <c r="K489" s="302"/>
      <c r="L489" s="302"/>
      <c r="M489" s="236"/>
    </row>
    <row r="490" spans="1:13" x14ac:dyDescent="0.2">
      <c r="A490" s="237"/>
      <c r="B490" s="302"/>
      <c r="C490" s="302"/>
      <c r="D490" s="302"/>
      <c r="E490" s="303"/>
      <c r="F490" s="302"/>
      <c r="G490" s="302"/>
      <c r="H490" s="302"/>
      <c r="I490" s="303"/>
      <c r="J490" s="302"/>
      <c r="K490" s="302"/>
      <c r="L490" s="302"/>
      <c r="M490" s="236"/>
    </row>
    <row r="491" spans="1:13" x14ac:dyDescent="0.2">
      <c r="A491" s="237"/>
      <c r="B491" s="302"/>
      <c r="C491" s="302"/>
      <c r="D491" s="302"/>
      <c r="E491" s="303"/>
      <c r="F491" s="302"/>
      <c r="G491" s="302"/>
      <c r="H491" s="302"/>
      <c r="I491" s="303"/>
      <c r="J491" s="302"/>
      <c r="K491" s="302"/>
      <c r="L491" s="302"/>
      <c r="M491" s="236"/>
    </row>
    <row r="492" spans="1:13" x14ac:dyDescent="0.2">
      <c r="A492" s="237"/>
      <c r="B492" s="302"/>
      <c r="C492" s="302"/>
      <c r="D492" s="302"/>
      <c r="E492" s="303"/>
      <c r="F492" s="302"/>
      <c r="G492" s="302"/>
      <c r="H492" s="302"/>
      <c r="I492" s="303"/>
      <c r="J492" s="302"/>
      <c r="K492" s="302"/>
      <c r="L492" s="302"/>
      <c r="M492" s="236"/>
    </row>
    <row r="493" spans="1:13" x14ac:dyDescent="0.2">
      <c r="A493" s="237"/>
      <c r="B493" s="302"/>
      <c r="C493" s="302"/>
      <c r="D493" s="302"/>
      <c r="E493" s="303"/>
      <c r="F493" s="302"/>
      <c r="G493" s="302"/>
      <c r="H493" s="302"/>
      <c r="I493" s="303"/>
      <c r="J493" s="302"/>
      <c r="K493" s="302"/>
      <c r="L493" s="302"/>
      <c r="M493" s="236"/>
    </row>
    <row r="494" spans="1:13" x14ac:dyDescent="0.2">
      <c r="A494" s="237"/>
      <c r="B494" s="302"/>
      <c r="C494" s="302"/>
      <c r="D494" s="302"/>
      <c r="E494" s="303"/>
      <c r="F494" s="302"/>
      <c r="G494" s="302"/>
      <c r="H494" s="302"/>
      <c r="I494" s="303"/>
      <c r="J494" s="302"/>
      <c r="K494" s="302"/>
      <c r="L494" s="302"/>
      <c r="M494" s="236"/>
    </row>
    <row r="495" spans="1:13" x14ac:dyDescent="0.2">
      <c r="A495" s="237"/>
      <c r="B495" s="303"/>
      <c r="C495" s="303"/>
      <c r="D495" s="303"/>
      <c r="E495" s="303"/>
      <c r="F495" s="303"/>
      <c r="G495" s="303"/>
      <c r="H495" s="303"/>
      <c r="I495" s="303"/>
      <c r="J495" s="303"/>
      <c r="K495" s="303"/>
      <c r="L495" s="303"/>
      <c r="M495" s="236"/>
    </row>
    <row r="496" spans="1:13" x14ac:dyDescent="0.2">
      <c r="A496" s="237"/>
      <c r="B496" s="237"/>
      <c r="C496" s="237"/>
      <c r="D496" s="237"/>
      <c r="E496" s="237"/>
      <c r="F496" s="237"/>
      <c r="G496" s="237"/>
      <c r="H496" s="237"/>
      <c r="I496" s="237"/>
      <c r="J496" s="237"/>
      <c r="K496" s="237"/>
      <c r="L496" s="240"/>
      <c r="M496" s="236"/>
    </row>
    <row r="497" spans="1:13" x14ac:dyDescent="0.2">
      <c r="A497" s="237"/>
      <c r="B497" s="237"/>
      <c r="C497" s="237"/>
      <c r="D497" s="237"/>
      <c r="E497" s="237"/>
      <c r="F497" s="237"/>
      <c r="G497" s="237"/>
      <c r="H497" s="237"/>
      <c r="I497" s="237"/>
      <c r="J497" s="237"/>
      <c r="K497" s="237"/>
      <c r="L497" s="284"/>
      <c r="M497" s="236"/>
    </row>
    <row r="498" spans="1:13" x14ac:dyDescent="0.2">
      <c r="A498" s="258"/>
      <c r="B498" s="241"/>
      <c r="C498" s="241"/>
      <c r="D498" s="241"/>
      <c r="E498" s="241"/>
      <c r="F498" s="241"/>
      <c r="G498" s="241"/>
      <c r="H498" s="241"/>
      <c r="I498" s="241"/>
      <c r="J498" s="241"/>
      <c r="K498" s="241"/>
      <c r="L498" s="236"/>
      <c r="M498" s="236"/>
    </row>
    <row r="499" spans="1:13" x14ac:dyDescent="0.2">
      <c r="A499" s="241"/>
      <c r="B499" s="375"/>
      <c r="C499" s="375"/>
      <c r="D499" s="375"/>
      <c r="E499" s="253"/>
      <c r="F499" s="375"/>
      <c r="G499" s="375"/>
      <c r="H499" s="375"/>
      <c r="I499" s="253"/>
      <c r="J499" s="375"/>
      <c r="K499" s="375"/>
      <c r="L499" s="375"/>
      <c r="M499" s="236"/>
    </row>
    <row r="500" spans="1:13" x14ac:dyDescent="0.2">
      <c r="A500" s="258"/>
      <c r="B500" s="259"/>
      <c r="C500" s="259"/>
      <c r="D500" s="259"/>
      <c r="E500" s="259"/>
      <c r="F500" s="259"/>
      <c r="G500" s="259"/>
      <c r="H500" s="259"/>
      <c r="I500" s="259"/>
      <c r="J500" s="259"/>
      <c r="K500" s="259"/>
      <c r="L500" s="259"/>
      <c r="M500" s="236"/>
    </row>
    <row r="501" spans="1:13" x14ac:dyDescent="0.2">
      <c r="A501" s="258"/>
      <c r="B501" s="259"/>
      <c r="C501" s="259"/>
      <c r="D501" s="259"/>
      <c r="E501" s="259"/>
      <c r="F501" s="259"/>
      <c r="G501" s="259"/>
      <c r="H501" s="259"/>
      <c r="I501" s="259"/>
      <c r="J501" s="259"/>
      <c r="K501" s="259"/>
      <c r="L501" s="259"/>
      <c r="M501" s="236"/>
    </row>
    <row r="502" spans="1:13" x14ac:dyDescent="0.2">
      <c r="A502" s="237"/>
      <c r="B502" s="302"/>
      <c r="C502" s="302"/>
      <c r="D502" s="302"/>
      <c r="E502" s="303"/>
      <c r="F502" s="302"/>
      <c r="G502" s="302"/>
      <c r="H502" s="302"/>
      <c r="I502" s="303"/>
      <c r="J502" s="302"/>
      <c r="K502" s="302"/>
      <c r="L502" s="302"/>
      <c r="M502" s="236"/>
    </row>
    <row r="503" spans="1:13" x14ac:dyDescent="0.2">
      <c r="A503" s="237"/>
      <c r="B503" s="302"/>
      <c r="C503" s="302"/>
      <c r="D503" s="302"/>
      <c r="E503" s="303"/>
      <c r="F503" s="302"/>
      <c r="G503" s="302"/>
      <c r="H503" s="302"/>
      <c r="I503" s="303"/>
      <c r="J503" s="302"/>
      <c r="K503" s="302"/>
      <c r="L503" s="302"/>
      <c r="M503" s="236"/>
    </row>
    <row r="504" spans="1:13" x14ac:dyDescent="0.2">
      <c r="A504" s="237"/>
      <c r="B504" s="302"/>
      <c r="C504" s="302"/>
      <c r="D504" s="302"/>
      <c r="E504" s="303"/>
      <c r="F504" s="302"/>
      <c r="G504" s="302"/>
      <c r="H504" s="302"/>
      <c r="I504" s="303"/>
      <c r="J504" s="302"/>
      <c r="K504" s="302"/>
      <c r="L504" s="302"/>
      <c r="M504" s="236"/>
    </row>
    <row r="505" spans="1:13" x14ac:dyDescent="0.2">
      <c r="A505" s="237"/>
      <c r="B505" s="302"/>
      <c r="C505" s="302"/>
      <c r="D505" s="302"/>
      <c r="E505" s="303"/>
      <c r="F505" s="302"/>
      <c r="G505" s="302"/>
      <c r="H505" s="302"/>
      <c r="I505" s="303"/>
      <c r="J505" s="302"/>
      <c r="K505" s="302"/>
      <c r="L505" s="302"/>
      <c r="M505" s="236"/>
    </row>
    <row r="506" spans="1:13" x14ac:dyDescent="0.2">
      <c r="A506" s="237"/>
      <c r="B506" s="302"/>
      <c r="C506" s="302"/>
      <c r="D506" s="302"/>
      <c r="E506" s="303"/>
      <c r="F506" s="302"/>
      <c r="G506" s="302"/>
      <c r="H506" s="302"/>
      <c r="I506" s="303"/>
      <c r="J506" s="302"/>
      <c r="K506" s="302"/>
      <c r="L506" s="302"/>
      <c r="M506" s="236"/>
    </row>
    <row r="507" spans="1:13" x14ac:dyDescent="0.2">
      <c r="A507" s="237"/>
      <c r="B507" s="302"/>
      <c r="C507" s="302"/>
      <c r="D507" s="302"/>
      <c r="E507" s="303"/>
      <c r="F507" s="302"/>
      <c r="G507" s="302"/>
      <c r="H507" s="302"/>
      <c r="I507" s="303"/>
      <c r="J507" s="302"/>
      <c r="K507" s="302"/>
      <c r="L507" s="302"/>
      <c r="M507" s="236"/>
    </row>
    <row r="508" spans="1:13" x14ac:dyDescent="0.2">
      <c r="A508" s="237"/>
      <c r="B508" s="302"/>
      <c r="C508" s="302"/>
      <c r="D508" s="302"/>
      <c r="E508" s="303"/>
      <c r="F508" s="302"/>
      <c r="G508" s="302"/>
      <c r="H508" s="302"/>
      <c r="I508" s="303"/>
      <c r="J508" s="302"/>
      <c r="K508" s="302"/>
      <c r="L508" s="302"/>
      <c r="M508" s="236"/>
    </row>
    <row r="509" spans="1:13" x14ac:dyDescent="0.2">
      <c r="A509" s="237"/>
      <c r="B509" s="302"/>
      <c r="C509" s="302"/>
      <c r="D509" s="302"/>
      <c r="E509" s="303"/>
      <c r="F509" s="302"/>
      <c r="G509" s="302"/>
      <c r="H509" s="302"/>
      <c r="I509" s="303"/>
      <c r="J509" s="302"/>
      <c r="K509" s="302"/>
      <c r="L509" s="302"/>
      <c r="M509" s="236"/>
    </row>
    <row r="510" spans="1:13" x14ac:dyDescent="0.2">
      <c r="A510" s="237"/>
      <c r="B510" s="302"/>
      <c r="C510" s="302"/>
      <c r="D510" s="302"/>
      <c r="E510" s="303"/>
      <c r="F510" s="302"/>
      <c r="G510" s="302"/>
      <c r="H510" s="302"/>
      <c r="I510" s="303"/>
      <c r="J510" s="302"/>
      <c r="K510" s="302"/>
      <c r="L510" s="302"/>
      <c r="M510" s="236"/>
    </row>
    <row r="511" spans="1:13" x14ac:dyDescent="0.2">
      <c r="A511" s="237"/>
      <c r="B511" s="302"/>
      <c r="C511" s="302"/>
      <c r="D511" s="302"/>
      <c r="E511" s="303"/>
      <c r="F511" s="302"/>
      <c r="G511" s="302"/>
      <c r="H511" s="302"/>
      <c r="I511" s="303"/>
      <c r="J511" s="302"/>
      <c r="K511" s="302"/>
      <c r="L511" s="302"/>
      <c r="M511" s="236"/>
    </row>
    <row r="512" spans="1:13" x14ac:dyDescent="0.2">
      <c r="A512" s="237"/>
      <c r="B512" s="303"/>
      <c r="C512" s="303"/>
      <c r="D512" s="303"/>
      <c r="E512" s="303"/>
      <c r="F512" s="303"/>
      <c r="G512" s="303"/>
      <c r="H512" s="303"/>
      <c r="I512" s="303"/>
      <c r="J512" s="303"/>
      <c r="K512" s="303"/>
      <c r="L512" s="303"/>
      <c r="M512" s="236"/>
    </row>
    <row r="513" spans="1:13" x14ac:dyDescent="0.2">
      <c r="A513" s="237"/>
      <c r="B513" s="237"/>
      <c r="C513" s="237"/>
      <c r="D513" s="237"/>
      <c r="E513" s="237"/>
      <c r="F513" s="237"/>
      <c r="G513" s="237"/>
      <c r="H513" s="237"/>
      <c r="I513" s="237"/>
      <c r="J513" s="237"/>
      <c r="K513" s="237"/>
      <c r="L513" s="240"/>
      <c r="M513" s="236"/>
    </row>
    <row r="514" spans="1:13" x14ac:dyDescent="0.2">
      <c r="A514" s="237"/>
      <c r="B514" s="237"/>
      <c r="C514" s="237"/>
      <c r="D514" s="237"/>
      <c r="E514" s="237"/>
      <c r="F514" s="237"/>
      <c r="G514" s="237"/>
      <c r="H514" s="237"/>
      <c r="I514" s="237"/>
      <c r="J514" s="237"/>
      <c r="K514" s="237"/>
      <c r="L514" s="284"/>
      <c r="M514" s="236"/>
    </row>
    <row r="515" spans="1:13" x14ac:dyDescent="0.2">
      <c r="A515" s="258"/>
      <c r="B515" s="241"/>
      <c r="C515" s="241"/>
      <c r="D515" s="241"/>
      <c r="E515" s="241"/>
      <c r="F515" s="241"/>
      <c r="G515" s="241"/>
      <c r="H515" s="241"/>
      <c r="I515" s="241"/>
      <c r="J515" s="241"/>
      <c r="K515" s="241"/>
      <c r="L515" s="236"/>
      <c r="M515" s="236"/>
    </row>
    <row r="516" spans="1:13" x14ac:dyDescent="0.2">
      <c r="A516" s="241"/>
      <c r="B516" s="375"/>
      <c r="C516" s="375"/>
      <c r="D516" s="375"/>
      <c r="E516" s="253"/>
      <c r="F516" s="375"/>
      <c r="G516" s="375"/>
      <c r="H516" s="375"/>
      <c r="I516" s="253"/>
      <c r="J516" s="375"/>
      <c r="K516" s="375"/>
      <c r="L516" s="375"/>
      <c r="M516" s="236"/>
    </row>
    <row r="517" spans="1:13" x14ac:dyDescent="0.2">
      <c r="A517" s="258"/>
      <c r="B517" s="259"/>
      <c r="C517" s="259"/>
      <c r="D517" s="259"/>
      <c r="E517" s="259"/>
      <c r="F517" s="259"/>
      <c r="G517" s="259"/>
      <c r="H517" s="259"/>
      <c r="I517" s="259"/>
      <c r="J517" s="259"/>
      <c r="K517" s="259"/>
      <c r="L517" s="259"/>
      <c r="M517" s="236"/>
    </row>
    <row r="518" spans="1:13" x14ac:dyDescent="0.2">
      <c r="A518" s="258"/>
      <c r="B518" s="259"/>
      <c r="C518" s="259"/>
      <c r="D518" s="259"/>
      <c r="E518" s="259"/>
      <c r="F518" s="259"/>
      <c r="G518" s="259"/>
      <c r="H518" s="259"/>
      <c r="I518" s="259"/>
      <c r="J518" s="259"/>
      <c r="K518" s="259"/>
      <c r="L518" s="259"/>
      <c r="M518" s="236"/>
    </row>
    <row r="519" spans="1:13" x14ac:dyDescent="0.2">
      <c r="A519" s="237"/>
      <c r="B519" s="302"/>
      <c r="C519" s="302"/>
      <c r="D519" s="302"/>
      <c r="E519" s="303"/>
      <c r="F519" s="302"/>
      <c r="G519" s="302"/>
      <c r="H519" s="302"/>
      <c r="I519" s="303"/>
      <c r="J519" s="302"/>
      <c r="K519" s="302"/>
      <c r="L519" s="302"/>
      <c r="M519" s="236"/>
    </row>
    <row r="520" spans="1:13" x14ac:dyDescent="0.2">
      <c r="A520" s="237"/>
      <c r="B520" s="302"/>
      <c r="C520" s="302"/>
      <c r="D520" s="302"/>
      <c r="E520" s="303"/>
      <c r="F520" s="302"/>
      <c r="G520" s="302"/>
      <c r="H520" s="302"/>
      <c r="I520" s="303"/>
      <c r="J520" s="302"/>
      <c r="K520" s="302"/>
      <c r="L520" s="302"/>
      <c r="M520" s="236"/>
    </row>
    <row r="521" spans="1:13" x14ac:dyDescent="0.2">
      <c r="A521" s="237"/>
      <c r="B521" s="302"/>
      <c r="C521" s="302"/>
      <c r="D521" s="302"/>
      <c r="E521" s="303"/>
      <c r="F521" s="302"/>
      <c r="G521" s="302"/>
      <c r="H521" s="302"/>
      <c r="I521" s="303"/>
      <c r="J521" s="302"/>
      <c r="K521" s="302"/>
      <c r="L521" s="302"/>
      <c r="M521" s="236"/>
    </row>
    <row r="522" spans="1:13" x14ac:dyDescent="0.2">
      <c r="A522" s="237"/>
      <c r="B522" s="302"/>
      <c r="C522" s="302"/>
      <c r="D522" s="302"/>
      <c r="E522" s="303"/>
      <c r="F522" s="302"/>
      <c r="G522" s="302"/>
      <c r="H522" s="302"/>
      <c r="I522" s="303"/>
      <c r="J522" s="302"/>
      <c r="K522" s="302"/>
      <c r="L522" s="302"/>
      <c r="M522" s="236"/>
    </row>
    <row r="523" spans="1:13" x14ac:dyDescent="0.2">
      <c r="A523" s="237"/>
      <c r="B523" s="302"/>
      <c r="C523" s="302"/>
      <c r="D523" s="302"/>
      <c r="E523" s="303"/>
      <c r="F523" s="302"/>
      <c r="G523" s="302"/>
      <c r="H523" s="302"/>
      <c r="I523" s="303"/>
      <c r="J523" s="302"/>
      <c r="K523" s="302"/>
      <c r="L523" s="302"/>
      <c r="M523" s="236"/>
    </row>
    <row r="524" spans="1:13" x14ac:dyDescent="0.2">
      <c r="A524" s="237"/>
      <c r="B524" s="302"/>
      <c r="C524" s="302"/>
      <c r="D524" s="302"/>
      <c r="E524" s="303"/>
      <c r="F524" s="302"/>
      <c r="G524" s="302"/>
      <c r="H524" s="302"/>
      <c r="I524" s="303"/>
      <c r="J524" s="302"/>
      <c r="K524" s="302"/>
      <c r="L524" s="302"/>
      <c r="M524" s="236"/>
    </row>
    <row r="525" spans="1:13" x14ac:dyDescent="0.2">
      <c r="A525" s="237"/>
      <c r="B525" s="302"/>
      <c r="C525" s="302"/>
      <c r="D525" s="302"/>
      <c r="E525" s="303"/>
      <c r="F525" s="302"/>
      <c r="G525" s="302"/>
      <c r="H525" s="302"/>
      <c r="I525" s="303"/>
      <c r="J525" s="302"/>
      <c r="K525" s="302"/>
      <c r="L525" s="302"/>
      <c r="M525" s="236"/>
    </row>
    <row r="526" spans="1:13" x14ac:dyDescent="0.2">
      <c r="A526" s="237"/>
      <c r="B526" s="302"/>
      <c r="C526" s="302"/>
      <c r="D526" s="302"/>
      <c r="E526" s="303"/>
      <c r="F526" s="302"/>
      <c r="G526" s="302"/>
      <c r="H526" s="302"/>
      <c r="I526" s="303"/>
      <c r="J526" s="302"/>
      <c r="K526" s="302"/>
      <c r="L526" s="302"/>
      <c r="M526" s="236"/>
    </row>
    <row r="527" spans="1:13" x14ac:dyDescent="0.2">
      <c r="A527" s="237"/>
      <c r="B527" s="302"/>
      <c r="C527" s="302"/>
      <c r="D527" s="302"/>
      <c r="E527" s="303"/>
      <c r="F527" s="302"/>
      <c r="G527" s="302"/>
      <c r="H527" s="302"/>
      <c r="I527" s="303"/>
      <c r="J527" s="302"/>
      <c r="K527" s="302"/>
      <c r="L527" s="302"/>
      <c r="M527" s="236"/>
    </row>
    <row r="528" spans="1:13" x14ac:dyDescent="0.2">
      <c r="A528" s="237"/>
      <c r="B528" s="302"/>
      <c r="C528" s="302"/>
      <c r="D528" s="302"/>
      <c r="E528" s="303"/>
      <c r="F528" s="302"/>
      <c r="G528" s="302"/>
      <c r="H528" s="302"/>
      <c r="I528" s="303"/>
      <c r="J528" s="302"/>
      <c r="K528" s="302"/>
      <c r="L528" s="302"/>
      <c r="M528" s="236"/>
    </row>
    <row r="529" spans="1:13" x14ac:dyDescent="0.2">
      <c r="A529" s="237"/>
      <c r="B529" s="303"/>
      <c r="C529" s="303"/>
      <c r="D529" s="303"/>
      <c r="E529" s="303"/>
      <c r="F529" s="303"/>
      <c r="G529" s="303"/>
      <c r="H529" s="303"/>
      <c r="I529" s="303"/>
      <c r="J529" s="303"/>
      <c r="K529" s="303"/>
      <c r="L529" s="303"/>
      <c r="M529" s="236"/>
    </row>
    <row r="530" spans="1:13" x14ac:dyDescent="0.2">
      <c r="A530" s="237"/>
      <c r="B530" s="237"/>
      <c r="C530" s="237"/>
      <c r="D530" s="237"/>
      <c r="E530" s="237"/>
      <c r="F530" s="237"/>
      <c r="G530" s="237"/>
      <c r="H530" s="237"/>
      <c r="I530" s="237"/>
      <c r="J530" s="237"/>
      <c r="K530" s="237"/>
      <c r="L530" s="240"/>
      <c r="M530" s="236"/>
    </row>
    <row r="531" spans="1:13" x14ac:dyDescent="0.2">
      <c r="A531" s="237"/>
      <c r="B531" s="237"/>
      <c r="C531" s="237"/>
      <c r="D531" s="237"/>
      <c r="E531" s="237"/>
      <c r="F531" s="237"/>
      <c r="G531" s="237"/>
      <c r="H531" s="237"/>
      <c r="I531" s="237"/>
      <c r="J531" s="237"/>
      <c r="K531" s="237"/>
      <c r="L531" s="284"/>
      <c r="M531" s="236"/>
    </row>
    <row r="532" spans="1:13" x14ac:dyDescent="0.2">
      <c r="A532" s="258"/>
      <c r="B532" s="241"/>
      <c r="C532" s="241"/>
      <c r="D532" s="241"/>
      <c r="E532" s="241"/>
      <c r="F532" s="241"/>
      <c r="G532" s="241"/>
      <c r="H532" s="241"/>
      <c r="I532" s="241"/>
      <c r="J532" s="241"/>
      <c r="K532" s="241"/>
      <c r="L532" s="236"/>
      <c r="M532" s="236"/>
    </row>
    <row r="533" spans="1:13" x14ac:dyDescent="0.2">
      <c r="A533" s="241"/>
      <c r="B533" s="375"/>
      <c r="C533" s="375"/>
      <c r="D533" s="375"/>
      <c r="E533" s="253"/>
      <c r="F533" s="375"/>
      <c r="G533" s="375"/>
      <c r="H533" s="375"/>
      <c r="I533" s="253"/>
      <c r="J533" s="375"/>
      <c r="K533" s="375"/>
      <c r="L533" s="375"/>
      <c r="M533" s="236"/>
    </row>
    <row r="534" spans="1:13" x14ac:dyDescent="0.2">
      <c r="A534" s="258"/>
      <c r="B534" s="259"/>
      <c r="C534" s="259"/>
      <c r="D534" s="259"/>
      <c r="E534" s="259"/>
      <c r="F534" s="259"/>
      <c r="G534" s="259"/>
      <c r="H534" s="259"/>
      <c r="I534" s="259"/>
      <c r="J534" s="259"/>
      <c r="K534" s="259"/>
      <c r="L534" s="259"/>
      <c r="M534" s="236"/>
    </row>
    <row r="535" spans="1:13" x14ac:dyDescent="0.2">
      <c r="A535" s="258"/>
      <c r="B535" s="259"/>
      <c r="C535" s="259"/>
      <c r="D535" s="259"/>
      <c r="E535" s="259"/>
      <c r="F535" s="259"/>
      <c r="G535" s="259"/>
      <c r="H535" s="259"/>
      <c r="I535" s="259"/>
      <c r="J535" s="259"/>
      <c r="K535" s="259"/>
      <c r="L535" s="259"/>
      <c r="M535" s="236"/>
    </row>
    <row r="536" spans="1:13" x14ac:dyDescent="0.2">
      <c r="A536" s="237"/>
      <c r="B536" s="302"/>
      <c r="C536" s="302"/>
      <c r="D536" s="302"/>
      <c r="E536" s="303"/>
      <c r="F536" s="302"/>
      <c r="G536" s="302"/>
      <c r="H536" s="302"/>
      <c r="I536" s="303"/>
      <c r="J536" s="302"/>
      <c r="K536" s="302"/>
      <c r="L536" s="302"/>
      <c r="M536" s="236"/>
    </row>
    <row r="537" spans="1:13" x14ac:dyDescent="0.2">
      <c r="A537" s="237"/>
      <c r="B537" s="302"/>
      <c r="C537" s="302"/>
      <c r="D537" s="302"/>
      <c r="E537" s="303"/>
      <c r="F537" s="302"/>
      <c r="G537" s="302"/>
      <c r="H537" s="302"/>
      <c r="I537" s="303"/>
      <c r="J537" s="302"/>
      <c r="K537" s="302"/>
      <c r="L537" s="302"/>
      <c r="M537" s="236"/>
    </row>
    <row r="538" spans="1:13" x14ac:dyDescent="0.2">
      <c r="A538" s="237"/>
      <c r="B538" s="302"/>
      <c r="C538" s="302"/>
      <c r="D538" s="302"/>
      <c r="E538" s="303"/>
      <c r="F538" s="302"/>
      <c r="G538" s="302"/>
      <c r="H538" s="302"/>
      <c r="I538" s="303"/>
      <c r="J538" s="302"/>
      <c r="K538" s="302"/>
      <c r="L538" s="302"/>
      <c r="M538" s="236"/>
    </row>
    <row r="539" spans="1:13" x14ac:dyDescent="0.2">
      <c r="A539" s="237"/>
      <c r="B539" s="302"/>
      <c r="C539" s="302"/>
      <c r="D539" s="302"/>
      <c r="E539" s="303"/>
      <c r="F539" s="302"/>
      <c r="G539" s="302"/>
      <c r="H539" s="302"/>
      <c r="I539" s="303"/>
      <c r="J539" s="302"/>
      <c r="K539" s="302"/>
      <c r="L539" s="302"/>
      <c r="M539" s="236"/>
    </row>
    <row r="540" spans="1:13" x14ac:dyDescent="0.2">
      <c r="A540" s="237"/>
      <c r="B540" s="302"/>
      <c r="C540" s="302"/>
      <c r="D540" s="302"/>
      <c r="E540" s="303"/>
      <c r="F540" s="302"/>
      <c r="G540" s="302"/>
      <c r="H540" s="302"/>
      <c r="I540" s="303"/>
      <c r="J540" s="302"/>
      <c r="K540" s="302"/>
      <c r="L540" s="302"/>
      <c r="M540" s="236"/>
    </row>
    <row r="541" spans="1:13" x14ac:dyDescent="0.2">
      <c r="A541" s="237"/>
      <c r="B541" s="302"/>
      <c r="C541" s="302"/>
      <c r="D541" s="302"/>
      <c r="E541" s="303"/>
      <c r="F541" s="302"/>
      <c r="G541" s="302"/>
      <c r="H541" s="302"/>
      <c r="I541" s="303"/>
      <c r="J541" s="302"/>
      <c r="K541" s="302"/>
      <c r="L541" s="302"/>
      <c r="M541" s="236"/>
    </row>
    <row r="542" spans="1:13" x14ac:dyDescent="0.2">
      <c r="A542" s="237"/>
      <c r="B542" s="302"/>
      <c r="C542" s="302"/>
      <c r="D542" s="302"/>
      <c r="E542" s="303"/>
      <c r="F542" s="302"/>
      <c r="G542" s="302"/>
      <c r="H542" s="302"/>
      <c r="I542" s="303"/>
      <c r="J542" s="302"/>
      <c r="K542" s="302"/>
      <c r="L542" s="302"/>
      <c r="M542" s="236"/>
    </row>
    <row r="543" spans="1:13" x14ac:dyDescent="0.2">
      <c r="A543" s="237"/>
      <c r="B543" s="302"/>
      <c r="C543" s="302"/>
      <c r="D543" s="302"/>
      <c r="E543" s="303"/>
      <c r="F543" s="302"/>
      <c r="G543" s="302"/>
      <c r="H543" s="302"/>
      <c r="I543" s="303"/>
      <c r="J543" s="302"/>
      <c r="K543" s="302"/>
      <c r="L543" s="302"/>
      <c r="M543" s="236"/>
    </row>
    <row r="544" spans="1:13" x14ac:dyDescent="0.2">
      <c r="A544" s="237"/>
      <c r="B544" s="302"/>
      <c r="C544" s="302"/>
      <c r="D544" s="302"/>
      <c r="E544" s="303"/>
      <c r="F544" s="302"/>
      <c r="G544" s="302"/>
      <c r="H544" s="302"/>
      <c r="I544" s="303"/>
      <c r="J544" s="302"/>
      <c r="K544" s="302"/>
      <c r="L544" s="302"/>
      <c r="M544" s="236"/>
    </row>
    <row r="545" spans="1:13" x14ac:dyDescent="0.2">
      <c r="A545" s="237"/>
      <c r="B545" s="302"/>
      <c r="C545" s="302"/>
      <c r="D545" s="302"/>
      <c r="E545" s="303"/>
      <c r="F545" s="302"/>
      <c r="G545" s="302"/>
      <c r="H545" s="302"/>
      <c r="I545" s="303"/>
      <c r="J545" s="302"/>
      <c r="K545" s="302"/>
      <c r="L545" s="302"/>
      <c r="M545" s="236"/>
    </row>
    <row r="546" spans="1:13" x14ac:dyDescent="0.2">
      <c r="A546" s="237"/>
      <c r="B546" s="303"/>
      <c r="C546" s="303"/>
      <c r="D546" s="303"/>
      <c r="E546" s="303"/>
      <c r="F546" s="303"/>
      <c r="G546" s="303"/>
      <c r="H546" s="303"/>
      <c r="I546" s="303"/>
      <c r="J546" s="303"/>
      <c r="K546" s="303"/>
      <c r="L546" s="303"/>
      <c r="M546" s="236"/>
    </row>
    <row r="547" spans="1:13" x14ac:dyDescent="0.2">
      <c r="A547" s="237"/>
      <c r="B547" s="237"/>
      <c r="C547" s="237"/>
      <c r="D547" s="237"/>
      <c r="E547" s="237"/>
      <c r="F547" s="237"/>
      <c r="G547" s="237"/>
      <c r="H547" s="237"/>
      <c r="I547" s="237"/>
      <c r="J547" s="237"/>
      <c r="K547" s="237"/>
      <c r="L547" s="240"/>
      <c r="M547" s="236"/>
    </row>
    <row r="548" spans="1:13" x14ac:dyDescent="0.2">
      <c r="A548" s="237"/>
      <c r="B548" s="237"/>
      <c r="C548" s="237"/>
      <c r="D548" s="237"/>
      <c r="E548" s="237"/>
      <c r="F548" s="237"/>
      <c r="G548" s="237"/>
      <c r="H548" s="237"/>
      <c r="I548" s="237"/>
      <c r="J548" s="237"/>
      <c r="K548" s="237"/>
      <c r="L548" s="284"/>
      <c r="M548" s="236"/>
    </row>
    <row r="549" spans="1:13" x14ac:dyDescent="0.2">
      <c r="A549" s="258"/>
      <c r="B549" s="241"/>
      <c r="C549" s="241"/>
      <c r="D549" s="241"/>
      <c r="E549" s="241"/>
      <c r="F549" s="241"/>
      <c r="G549" s="241"/>
      <c r="H549" s="241"/>
      <c r="I549" s="241"/>
      <c r="J549" s="241"/>
      <c r="K549" s="241"/>
      <c r="L549" s="236"/>
      <c r="M549" s="236"/>
    </row>
    <row r="550" spans="1:13" x14ac:dyDescent="0.2">
      <c r="A550" s="241"/>
      <c r="B550" s="375"/>
      <c r="C550" s="375"/>
      <c r="D550" s="375"/>
      <c r="E550" s="253"/>
      <c r="F550" s="375"/>
      <c r="G550" s="375"/>
      <c r="H550" s="375"/>
      <c r="I550" s="253"/>
      <c r="J550" s="375"/>
      <c r="K550" s="375"/>
      <c r="L550" s="375"/>
      <c r="M550" s="236"/>
    </row>
    <row r="551" spans="1:13" x14ac:dyDescent="0.2">
      <c r="A551" s="258"/>
      <c r="B551" s="259"/>
      <c r="C551" s="259"/>
      <c r="D551" s="259"/>
      <c r="E551" s="259"/>
      <c r="F551" s="259"/>
      <c r="G551" s="259"/>
      <c r="H551" s="259"/>
      <c r="I551" s="259"/>
      <c r="J551" s="259"/>
      <c r="K551" s="259"/>
      <c r="L551" s="259"/>
      <c r="M551" s="236"/>
    </row>
    <row r="552" spans="1:13" x14ac:dyDescent="0.2">
      <c r="A552" s="258"/>
      <c r="B552" s="259"/>
      <c r="C552" s="259"/>
      <c r="D552" s="259"/>
      <c r="E552" s="259"/>
      <c r="F552" s="259"/>
      <c r="G552" s="259"/>
      <c r="H552" s="259"/>
      <c r="I552" s="259"/>
      <c r="J552" s="259"/>
      <c r="K552" s="259"/>
      <c r="L552" s="259"/>
      <c r="M552" s="236"/>
    </row>
    <row r="553" spans="1:13" x14ac:dyDescent="0.2">
      <c r="A553" s="237"/>
      <c r="B553" s="302"/>
      <c r="C553" s="302"/>
      <c r="D553" s="302"/>
      <c r="E553" s="303"/>
      <c r="F553" s="302"/>
      <c r="G553" s="302"/>
      <c r="H553" s="302"/>
      <c r="I553" s="303"/>
      <c r="J553" s="302"/>
      <c r="K553" s="302"/>
      <c r="L553" s="302"/>
      <c r="M553" s="236"/>
    </row>
    <row r="554" spans="1:13" x14ac:dyDescent="0.2">
      <c r="A554" s="237"/>
      <c r="B554" s="302"/>
      <c r="C554" s="302"/>
      <c r="D554" s="302"/>
      <c r="E554" s="303"/>
      <c r="F554" s="302"/>
      <c r="G554" s="302"/>
      <c r="H554" s="302"/>
      <c r="I554" s="303"/>
      <c r="J554" s="302"/>
      <c r="K554" s="302"/>
      <c r="L554" s="302"/>
      <c r="M554" s="236"/>
    </row>
    <row r="555" spans="1:13" x14ac:dyDescent="0.2">
      <c r="A555" s="237"/>
      <c r="B555" s="302"/>
      <c r="C555" s="302"/>
      <c r="D555" s="302"/>
      <c r="E555" s="303"/>
      <c r="F555" s="302"/>
      <c r="G555" s="302"/>
      <c r="H555" s="302"/>
      <c r="I555" s="303"/>
      <c r="J555" s="302"/>
      <c r="K555" s="302"/>
      <c r="L555" s="302"/>
      <c r="M555" s="236"/>
    </row>
    <row r="556" spans="1:13" x14ac:dyDescent="0.2">
      <c r="A556" s="237"/>
      <c r="B556" s="302"/>
      <c r="C556" s="302"/>
      <c r="D556" s="302"/>
      <c r="E556" s="303"/>
      <c r="F556" s="302"/>
      <c r="G556" s="302"/>
      <c r="H556" s="302"/>
      <c r="I556" s="303"/>
      <c r="J556" s="302"/>
      <c r="K556" s="302"/>
      <c r="L556" s="302"/>
      <c r="M556" s="236"/>
    </row>
    <row r="557" spans="1:13" x14ac:dyDescent="0.2">
      <c r="A557" s="237"/>
      <c r="B557" s="302"/>
      <c r="C557" s="302"/>
      <c r="D557" s="302"/>
      <c r="E557" s="303"/>
      <c r="F557" s="302"/>
      <c r="G557" s="302"/>
      <c r="H557" s="302"/>
      <c r="I557" s="303"/>
      <c r="J557" s="302"/>
      <c r="K557" s="302"/>
      <c r="L557" s="302"/>
      <c r="M557" s="236"/>
    </row>
    <row r="558" spans="1:13" x14ac:dyDescent="0.2">
      <c r="A558" s="237"/>
      <c r="B558" s="302"/>
      <c r="C558" s="302"/>
      <c r="D558" s="302"/>
      <c r="E558" s="303"/>
      <c r="F558" s="302"/>
      <c r="G558" s="302"/>
      <c r="H558" s="302"/>
      <c r="I558" s="303"/>
      <c r="J558" s="302"/>
      <c r="K558" s="302"/>
      <c r="L558" s="302"/>
      <c r="M558" s="236"/>
    </row>
    <row r="559" spans="1:13" x14ac:dyDescent="0.2">
      <c r="A559" s="237"/>
      <c r="B559" s="302"/>
      <c r="C559" s="302"/>
      <c r="D559" s="302"/>
      <c r="E559" s="303"/>
      <c r="F559" s="302"/>
      <c r="G559" s="302"/>
      <c r="H559" s="302"/>
      <c r="I559" s="303"/>
      <c r="J559" s="302"/>
      <c r="K559" s="302"/>
      <c r="L559" s="302"/>
      <c r="M559" s="236"/>
    </row>
    <row r="560" spans="1:13" x14ac:dyDescent="0.2">
      <c r="A560" s="237"/>
      <c r="B560" s="302"/>
      <c r="C560" s="302"/>
      <c r="D560" s="302"/>
      <c r="E560" s="303"/>
      <c r="F560" s="302"/>
      <c r="G560" s="302"/>
      <c r="H560" s="302"/>
      <c r="I560" s="303"/>
      <c r="J560" s="302"/>
      <c r="K560" s="302"/>
      <c r="L560" s="302"/>
      <c r="M560" s="236"/>
    </row>
    <row r="561" spans="1:13" x14ac:dyDescent="0.2">
      <c r="A561" s="237"/>
      <c r="B561" s="302"/>
      <c r="C561" s="302"/>
      <c r="D561" s="302"/>
      <c r="E561" s="303"/>
      <c r="F561" s="302"/>
      <c r="G561" s="302"/>
      <c r="H561" s="302"/>
      <c r="I561" s="303"/>
      <c r="J561" s="302"/>
      <c r="K561" s="302"/>
      <c r="L561" s="302"/>
      <c r="M561" s="236"/>
    </row>
    <row r="562" spans="1:13" x14ac:dyDescent="0.2">
      <c r="A562" s="237"/>
      <c r="B562" s="302"/>
      <c r="C562" s="302"/>
      <c r="D562" s="302"/>
      <c r="E562" s="303"/>
      <c r="F562" s="302"/>
      <c r="G562" s="302"/>
      <c r="H562" s="302"/>
      <c r="I562" s="303"/>
      <c r="J562" s="302"/>
      <c r="K562" s="302"/>
      <c r="L562" s="302"/>
      <c r="M562" s="236"/>
    </row>
    <row r="563" spans="1:13" x14ac:dyDescent="0.2">
      <c r="A563" s="237"/>
      <c r="B563" s="303"/>
      <c r="C563" s="303"/>
      <c r="D563" s="303"/>
      <c r="E563" s="303"/>
      <c r="F563" s="303"/>
      <c r="G563" s="303"/>
      <c r="H563" s="303"/>
      <c r="I563" s="303"/>
      <c r="J563" s="303"/>
      <c r="K563" s="303"/>
      <c r="L563" s="303"/>
      <c r="M563" s="236"/>
    </row>
    <row r="564" spans="1:13" x14ac:dyDescent="0.2">
      <c r="A564" s="237"/>
      <c r="B564" s="237"/>
      <c r="C564" s="237"/>
      <c r="D564" s="237"/>
      <c r="E564" s="237"/>
      <c r="F564" s="237"/>
      <c r="G564" s="237"/>
      <c r="H564" s="237"/>
      <c r="I564" s="237"/>
      <c r="J564" s="237"/>
      <c r="K564" s="237"/>
      <c r="L564" s="240"/>
      <c r="M564" s="236"/>
    </row>
    <row r="565" spans="1:13" x14ac:dyDescent="0.2">
      <c r="A565" s="237"/>
      <c r="B565" s="237"/>
      <c r="C565" s="237"/>
      <c r="D565" s="237"/>
      <c r="E565" s="237"/>
      <c r="F565" s="237"/>
      <c r="G565" s="237"/>
      <c r="H565" s="237"/>
      <c r="I565" s="237"/>
      <c r="J565" s="237"/>
      <c r="K565" s="237"/>
      <c r="L565" s="284"/>
      <c r="M565" s="236"/>
    </row>
    <row r="566" spans="1:13" x14ac:dyDescent="0.2">
      <c r="A566" s="258"/>
      <c r="B566" s="241"/>
      <c r="C566" s="241"/>
      <c r="D566" s="241"/>
      <c r="E566" s="241"/>
      <c r="F566" s="241"/>
      <c r="G566" s="241"/>
      <c r="H566" s="241"/>
      <c r="I566" s="241"/>
      <c r="J566" s="241"/>
      <c r="K566" s="241"/>
      <c r="L566" s="236"/>
      <c r="M566" s="236"/>
    </row>
    <row r="567" spans="1:13" x14ac:dyDescent="0.2">
      <c r="A567" s="241"/>
      <c r="B567" s="375"/>
      <c r="C567" s="375"/>
      <c r="D567" s="375"/>
      <c r="E567" s="253"/>
      <c r="F567" s="375"/>
      <c r="G567" s="375"/>
      <c r="H567" s="375"/>
      <c r="I567" s="253"/>
      <c r="J567" s="375"/>
      <c r="K567" s="375"/>
      <c r="L567" s="375"/>
      <c r="M567" s="236"/>
    </row>
    <row r="568" spans="1:13" x14ac:dyDescent="0.2">
      <c r="A568" s="258"/>
      <c r="B568" s="259"/>
      <c r="C568" s="259"/>
      <c r="D568" s="259"/>
      <c r="E568" s="259"/>
      <c r="F568" s="259"/>
      <c r="G568" s="259"/>
      <c r="H568" s="259"/>
      <c r="I568" s="259"/>
      <c r="J568" s="259"/>
      <c r="K568" s="259"/>
      <c r="L568" s="259"/>
      <c r="M568" s="236"/>
    </row>
    <row r="569" spans="1:13" x14ac:dyDescent="0.2">
      <c r="A569" s="258"/>
      <c r="B569" s="259"/>
      <c r="C569" s="259"/>
      <c r="D569" s="259"/>
      <c r="E569" s="259"/>
      <c r="F569" s="259"/>
      <c r="G569" s="259"/>
      <c r="H569" s="259"/>
      <c r="I569" s="259"/>
      <c r="J569" s="259"/>
      <c r="K569" s="259"/>
      <c r="L569" s="259"/>
      <c r="M569" s="236"/>
    </row>
    <row r="570" spans="1:13" x14ac:dyDescent="0.2">
      <c r="A570" s="237"/>
      <c r="B570" s="302"/>
      <c r="C570" s="302"/>
      <c r="D570" s="302"/>
      <c r="E570" s="303"/>
      <c r="F570" s="302"/>
      <c r="G570" s="302"/>
      <c r="H570" s="302"/>
      <c r="I570" s="303"/>
      <c r="J570" s="302"/>
      <c r="K570" s="302"/>
      <c r="L570" s="302"/>
      <c r="M570" s="236"/>
    </row>
    <row r="571" spans="1:13" x14ac:dyDescent="0.2">
      <c r="A571" s="237"/>
      <c r="B571" s="302"/>
      <c r="C571" s="302"/>
      <c r="D571" s="302"/>
      <c r="E571" s="303"/>
      <c r="F571" s="302"/>
      <c r="G571" s="302"/>
      <c r="H571" s="302"/>
      <c r="I571" s="303"/>
      <c r="J571" s="302"/>
      <c r="K571" s="302"/>
      <c r="L571" s="302"/>
      <c r="M571" s="236"/>
    </row>
    <row r="572" spans="1:13" x14ac:dyDescent="0.2">
      <c r="A572" s="237"/>
      <c r="B572" s="302"/>
      <c r="C572" s="302"/>
      <c r="D572" s="302"/>
      <c r="E572" s="303"/>
      <c r="F572" s="302"/>
      <c r="G572" s="302"/>
      <c r="H572" s="302"/>
      <c r="I572" s="303"/>
      <c r="J572" s="302"/>
      <c r="K572" s="302"/>
      <c r="L572" s="302"/>
      <c r="M572" s="236"/>
    </row>
    <row r="573" spans="1:13" x14ac:dyDescent="0.2">
      <c r="A573" s="237"/>
      <c r="B573" s="302"/>
      <c r="C573" s="302"/>
      <c r="D573" s="302"/>
      <c r="E573" s="303"/>
      <c r="F573" s="302"/>
      <c r="G573" s="302"/>
      <c r="H573" s="302"/>
      <c r="I573" s="303"/>
      <c r="J573" s="302"/>
      <c r="K573" s="302"/>
      <c r="L573" s="302"/>
      <c r="M573" s="236"/>
    </row>
    <row r="574" spans="1:13" x14ac:dyDescent="0.2">
      <c r="A574" s="237"/>
      <c r="B574" s="302"/>
      <c r="C574" s="302"/>
      <c r="D574" s="302"/>
      <c r="E574" s="303"/>
      <c r="F574" s="302"/>
      <c r="G574" s="302"/>
      <c r="H574" s="302"/>
      <c r="I574" s="303"/>
      <c r="J574" s="302"/>
      <c r="K574" s="302"/>
      <c r="L574" s="302"/>
      <c r="M574" s="236"/>
    </row>
    <row r="575" spans="1:13" x14ac:dyDescent="0.2">
      <c r="A575" s="237"/>
      <c r="B575" s="302"/>
      <c r="C575" s="302"/>
      <c r="D575" s="302"/>
      <c r="E575" s="303"/>
      <c r="F575" s="302"/>
      <c r="G575" s="302"/>
      <c r="H575" s="302"/>
      <c r="I575" s="303"/>
      <c r="J575" s="302"/>
      <c r="K575" s="302"/>
      <c r="L575" s="302"/>
      <c r="M575" s="236"/>
    </row>
    <row r="576" spans="1:13" x14ac:dyDescent="0.2">
      <c r="A576" s="237"/>
      <c r="B576" s="302"/>
      <c r="C576" s="302"/>
      <c r="D576" s="302"/>
      <c r="E576" s="303"/>
      <c r="F576" s="302"/>
      <c r="G576" s="302"/>
      <c r="H576" s="302"/>
      <c r="I576" s="303"/>
      <c r="J576" s="302"/>
      <c r="K576" s="302"/>
      <c r="L576" s="302"/>
      <c r="M576" s="236"/>
    </row>
    <row r="577" spans="1:13" x14ac:dyDescent="0.2">
      <c r="A577" s="237"/>
      <c r="B577" s="302"/>
      <c r="C577" s="302"/>
      <c r="D577" s="302"/>
      <c r="E577" s="303"/>
      <c r="F577" s="302"/>
      <c r="G577" s="302"/>
      <c r="H577" s="302"/>
      <c r="I577" s="303"/>
      <c r="J577" s="302"/>
      <c r="K577" s="302"/>
      <c r="L577" s="302"/>
      <c r="M577" s="236"/>
    </row>
    <row r="578" spans="1:13" x14ac:dyDescent="0.2">
      <c r="A578" s="237"/>
      <c r="B578" s="302"/>
      <c r="C578" s="302"/>
      <c r="D578" s="302"/>
      <c r="E578" s="303"/>
      <c r="F578" s="302"/>
      <c r="G578" s="302"/>
      <c r="H578" s="302"/>
      <c r="I578" s="303"/>
      <c r="J578" s="302"/>
      <c r="K578" s="302"/>
      <c r="L578" s="302"/>
      <c r="M578" s="236"/>
    </row>
    <row r="579" spans="1:13" x14ac:dyDescent="0.2">
      <c r="A579" s="237"/>
      <c r="B579" s="302"/>
      <c r="C579" s="302"/>
      <c r="D579" s="302"/>
      <c r="E579" s="303"/>
      <c r="F579" s="302"/>
      <c r="G579" s="302"/>
      <c r="H579" s="302"/>
      <c r="I579" s="303"/>
      <c r="J579" s="302"/>
      <c r="K579" s="302"/>
      <c r="L579" s="302"/>
      <c r="M579" s="236"/>
    </row>
    <row r="580" spans="1:13" x14ac:dyDescent="0.2">
      <c r="A580" s="237"/>
      <c r="B580" s="303"/>
      <c r="C580" s="303"/>
      <c r="D580" s="303"/>
      <c r="E580" s="303"/>
      <c r="F580" s="303"/>
      <c r="G580" s="303"/>
      <c r="H580" s="303"/>
      <c r="I580" s="303"/>
      <c r="J580" s="303"/>
      <c r="K580" s="303"/>
      <c r="L580" s="303"/>
      <c r="M580" s="236"/>
    </row>
    <row r="581" spans="1:13" x14ac:dyDescent="0.2">
      <c r="A581" s="237"/>
      <c r="B581" s="237"/>
      <c r="C581" s="237"/>
      <c r="D581" s="237"/>
      <c r="E581" s="237"/>
      <c r="F581" s="237"/>
      <c r="G581" s="237"/>
      <c r="H581" s="237"/>
      <c r="I581" s="237"/>
      <c r="J581" s="237"/>
      <c r="K581" s="237"/>
      <c r="L581" s="240"/>
      <c r="M581" s="236"/>
    </row>
    <row r="582" spans="1:13" x14ac:dyDescent="0.2">
      <c r="A582" s="237"/>
      <c r="B582" s="237"/>
      <c r="C582" s="237"/>
      <c r="D582" s="237"/>
      <c r="E582" s="237"/>
      <c r="F582" s="237"/>
      <c r="G582" s="237"/>
      <c r="H582" s="237"/>
      <c r="I582" s="237"/>
      <c r="J582" s="237"/>
      <c r="K582" s="237"/>
      <c r="L582" s="284"/>
      <c r="M582" s="236"/>
    </row>
    <row r="583" spans="1:13" x14ac:dyDescent="0.2">
      <c r="A583" s="258"/>
      <c r="B583" s="241"/>
      <c r="C583" s="241"/>
      <c r="D583" s="241"/>
      <c r="E583" s="241"/>
      <c r="F583" s="241"/>
      <c r="G583" s="241"/>
      <c r="H583" s="241"/>
      <c r="I583" s="241"/>
      <c r="J583" s="241"/>
      <c r="K583" s="241"/>
      <c r="L583" s="236"/>
      <c r="M583" s="236"/>
    </row>
    <row r="584" spans="1:13" x14ac:dyDescent="0.2">
      <c r="A584" s="241"/>
      <c r="B584" s="375"/>
      <c r="C584" s="375"/>
      <c r="D584" s="375"/>
      <c r="E584" s="253"/>
      <c r="F584" s="375"/>
      <c r="G584" s="375"/>
      <c r="H584" s="375"/>
      <c r="I584" s="253"/>
      <c r="J584" s="375"/>
      <c r="K584" s="375"/>
      <c r="L584" s="375"/>
      <c r="M584" s="236"/>
    </row>
    <row r="585" spans="1:13" x14ac:dyDescent="0.2">
      <c r="A585" s="258"/>
      <c r="B585" s="259"/>
      <c r="C585" s="259"/>
      <c r="D585" s="259"/>
      <c r="E585" s="259"/>
      <c r="F585" s="259"/>
      <c r="G585" s="259"/>
      <c r="H585" s="259"/>
      <c r="I585" s="259"/>
      <c r="J585" s="259"/>
      <c r="K585" s="259"/>
      <c r="L585" s="259"/>
      <c r="M585" s="236"/>
    </row>
    <row r="586" spans="1:13" x14ac:dyDescent="0.2">
      <c r="A586" s="258"/>
      <c r="B586" s="259"/>
      <c r="C586" s="259"/>
      <c r="D586" s="259"/>
      <c r="E586" s="259"/>
      <c r="F586" s="259"/>
      <c r="G586" s="259"/>
      <c r="H586" s="259"/>
      <c r="I586" s="259"/>
      <c r="J586" s="259"/>
      <c r="K586" s="259"/>
      <c r="L586" s="259"/>
      <c r="M586" s="236"/>
    </row>
    <row r="587" spans="1:13" x14ac:dyDescent="0.2">
      <c r="A587" s="237"/>
      <c r="B587" s="302"/>
      <c r="C587" s="302"/>
      <c r="D587" s="302"/>
      <c r="E587" s="303"/>
      <c r="F587" s="302"/>
      <c r="G587" s="302"/>
      <c r="H587" s="302"/>
      <c r="I587" s="303"/>
      <c r="J587" s="302"/>
      <c r="K587" s="302"/>
      <c r="L587" s="302"/>
      <c r="M587" s="236"/>
    </row>
    <row r="588" spans="1:13" x14ac:dyDescent="0.2">
      <c r="A588" s="237"/>
      <c r="B588" s="302"/>
      <c r="C588" s="302"/>
      <c r="D588" s="302"/>
      <c r="E588" s="303"/>
      <c r="F588" s="302"/>
      <c r="G588" s="302"/>
      <c r="H588" s="302"/>
      <c r="I588" s="303"/>
      <c r="J588" s="302"/>
      <c r="K588" s="302"/>
      <c r="L588" s="302"/>
      <c r="M588" s="236"/>
    </row>
    <row r="589" spans="1:13" x14ac:dyDescent="0.2">
      <c r="A589" s="237"/>
      <c r="B589" s="302"/>
      <c r="C589" s="302"/>
      <c r="D589" s="302"/>
      <c r="E589" s="303"/>
      <c r="F589" s="302"/>
      <c r="G589" s="302"/>
      <c r="H589" s="302"/>
      <c r="I589" s="303"/>
      <c r="J589" s="302"/>
      <c r="K589" s="302"/>
      <c r="L589" s="302"/>
      <c r="M589" s="236"/>
    </row>
    <row r="590" spans="1:13" x14ac:dyDescent="0.2">
      <c r="A590" s="237"/>
      <c r="B590" s="302"/>
      <c r="C590" s="302"/>
      <c r="D590" s="302"/>
      <c r="E590" s="303"/>
      <c r="F590" s="302"/>
      <c r="G590" s="302"/>
      <c r="H590" s="302"/>
      <c r="I590" s="303"/>
      <c r="J590" s="302"/>
      <c r="K590" s="302"/>
      <c r="L590" s="302"/>
      <c r="M590" s="236"/>
    </row>
    <row r="591" spans="1:13" x14ac:dyDescent="0.2">
      <c r="A591" s="237"/>
      <c r="B591" s="302"/>
      <c r="C591" s="302"/>
      <c r="D591" s="302"/>
      <c r="E591" s="303"/>
      <c r="F591" s="302"/>
      <c r="G591" s="302"/>
      <c r="H591" s="302"/>
      <c r="I591" s="303"/>
      <c r="J591" s="302"/>
      <c r="K591" s="302"/>
      <c r="L591" s="302"/>
      <c r="M591" s="236"/>
    </row>
    <row r="592" spans="1:13" x14ac:dyDescent="0.2">
      <c r="A592" s="237"/>
      <c r="B592" s="302"/>
      <c r="C592" s="302"/>
      <c r="D592" s="302"/>
      <c r="E592" s="303"/>
      <c r="F592" s="302"/>
      <c r="G592" s="302"/>
      <c r="H592" s="302"/>
      <c r="I592" s="303"/>
      <c r="J592" s="302"/>
      <c r="K592" s="302"/>
      <c r="L592" s="302"/>
      <c r="M592" s="236"/>
    </row>
    <row r="593" spans="1:13" x14ac:dyDescent="0.2">
      <c r="A593" s="237"/>
      <c r="B593" s="302"/>
      <c r="C593" s="302"/>
      <c r="D593" s="302"/>
      <c r="E593" s="303"/>
      <c r="F593" s="302"/>
      <c r="G593" s="302"/>
      <c r="H593" s="302"/>
      <c r="I593" s="303"/>
      <c r="J593" s="302"/>
      <c r="K593" s="302"/>
      <c r="L593" s="302"/>
      <c r="M593" s="236"/>
    </row>
    <row r="594" spans="1:13" x14ac:dyDescent="0.2">
      <c r="A594" s="237"/>
      <c r="B594" s="302"/>
      <c r="C594" s="302"/>
      <c r="D594" s="302"/>
      <c r="E594" s="303"/>
      <c r="F594" s="302"/>
      <c r="G594" s="302"/>
      <c r="H594" s="302"/>
      <c r="I594" s="303"/>
      <c r="J594" s="302"/>
      <c r="K594" s="302"/>
      <c r="L594" s="302"/>
      <c r="M594" s="236"/>
    </row>
    <row r="595" spans="1:13" x14ac:dyDescent="0.2">
      <c r="A595" s="237"/>
      <c r="B595" s="302"/>
      <c r="C595" s="302"/>
      <c r="D595" s="302"/>
      <c r="E595" s="303"/>
      <c r="F595" s="302"/>
      <c r="G595" s="302"/>
      <c r="H595" s="302"/>
      <c r="I595" s="303"/>
      <c r="J595" s="302"/>
      <c r="K595" s="302"/>
      <c r="L595" s="302"/>
      <c r="M595" s="236"/>
    </row>
    <row r="596" spans="1:13" x14ac:dyDescent="0.2">
      <c r="A596" s="237"/>
      <c r="B596" s="302"/>
      <c r="C596" s="302"/>
      <c r="D596" s="302"/>
      <c r="E596" s="303"/>
      <c r="F596" s="302"/>
      <c r="G596" s="302"/>
      <c r="H596" s="302"/>
      <c r="I596" s="303"/>
      <c r="J596" s="302"/>
      <c r="K596" s="302"/>
      <c r="L596" s="302"/>
      <c r="M596" s="236"/>
    </row>
    <row r="597" spans="1:13" x14ac:dyDescent="0.2">
      <c r="A597" s="237"/>
      <c r="B597" s="303"/>
      <c r="C597" s="303"/>
      <c r="D597" s="303"/>
      <c r="E597" s="303"/>
      <c r="F597" s="303"/>
      <c r="G597" s="303"/>
      <c r="H597" s="303"/>
      <c r="I597" s="303"/>
      <c r="J597" s="303"/>
      <c r="K597" s="303"/>
      <c r="L597" s="303"/>
      <c r="M597" s="236"/>
    </row>
    <row r="598" spans="1:13" x14ac:dyDescent="0.2">
      <c r="A598" s="237"/>
      <c r="B598" s="237"/>
      <c r="C598" s="237"/>
      <c r="D598" s="237"/>
      <c r="E598" s="237"/>
      <c r="F598" s="237"/>
      <c r="G598" s="237"/>
      <c r="H598" s="237"/>
      <c r="I598" s="237"/>
      <c r="J598" s="237"/>
      <c r="K598" s="237"/>
      <c r="L598" s="240"/>
      <c r="M598" s="236"/>
    </row>
    <row r="599" spans="1:13" x14ac:dyDescent="0.2">
      <c r="A599" s="237"/>
      <c r="B599" s="237"/>
      <c r="C599" s="237"/>
      <c r="D599" s="237"/>
      <c r="E599" s="237"/>
      <c r="F599" s="237"/>
      <c r="G599" s="237"/>
      <c r="H599" s="237"/>
      <c r="I599" s="237"/>
      <c r="J599" s="237"/>
      <c r="K599" s="237"/>
      <c r="L599" s="284"/>
      <c r="M599" s="236"/>
    </row>
    <row r="600" spans="1:13" x14ac:dyDescent="0.2">
      <c r="A600" s="258"/>
      <c r="B600" s="241"/>
      <c r="C600" s="241"/>
      <c r="D600" s="241"/>
      <c r="E600" s="241"/>
      <c r="F600" s="241"/>
      <c r="G600" s="241"/>
      <c r="H600" s="241"/>
      <c r="I600" s="241"/>
      <c r="J600" s="241"/>
      <c r="K600" s="241"/>
      <c r="L600" s="236"/>
      <c r="M600" s="236"/>
    </row>
    <row r="601" spans="1:13" x14ac:dyDescent="0.2">
      <c r="A601" s="241"/>
      <c r="B601" s="375"/>
      <c r="C601" s="375"/>
      <c r="D601" s="375"/>
      <c r="E601" s="253"/>
      <c r="F601" s="375"/>
      <c r="G601" s="375"/>
      <c r="H601" s="375"/>
      <c r="I601" s="253"/>
      <c r="J601" s="375"/>
      <c r="K601" s="375"/>
      <c r="L601" s="375"/>
      <c r="M601" s="236"/>
    </row>
    <row r="602" spans="1:13" x14ac:dyDescent="0.2">
      <c r="A602" s="258"/>
      <c r="B602" s="259"/>
      <c r="C602" s="259"/>
      <c r="D602" s="259"/>
      <c r="E602" s="259"/>
      <c r="F602" s="259"/>
      <c r="G602" s="259"/>
      <c r="H602" s="259"/>
      <c r="I602" s="259"/>
      <c r="J602" s="259"/>
      <c r="K602" s="259"/>
      <c r="L602" s="259"/>
      <c r="M602" s="236"/>
    </row>
    <row r="603" spans="1:13" x14ac:dyDescent="0.2">
      <c r="A603" s="258"/>
      <c r="B603" s="259"/>
      <c r="C603" s="259"/>
      <c r="D603" s="259"/>
      <c r="E603" s="259"/>
      <c r="F603" s="259"/>
      <c r="G603" s="259"/>
      <c r="H603" s="259"/>
      <c r="I603" s="259"/>
      <c r="J603" s="259"/>
      <c r="K603" s="259"/>
      <c r="L603" s="259"/>
      <c r="M603" s="236"/>
    </row>
    <row r="604" spans="1:13" x14ac:dyDescent="0.2">
      <c r="A604" s="237"/>
      <c r="B604" s="302"/>
      <c r="C604" s="302"/>
      <c r="D604" s="302"/>
      <c r="E604" s="303"/>
      <c r="F604" s="302"/>
      <c r="G604" s="302"/>
      <c r="H604" s="302"/>
      <c r="I604" s="303"/>
      <c r="J604" s="302"/>
      <c r="K604" s="302"/>
      <c r="L604" s="302"/>
      <c r="M604" s="236"/>
    </row>
    <row r="605" spans="1:13" x14ac:dyDescent="0.2">
      <c r="A605" s="237"/>
      <c r="B605" s="302"/>
      <c r="C605" s="302"/>
      <c r="D605" s="302"/>
      <c r="E605" s="303"/>
      <c r="F605" s="302"/>
      <c r="G605" s="302"/>
      <c r="H605" s="302"/>
      <c r="I605" s="303"/>
      <c r="J605" s="302"/>
      <c r="K605" s="302"/>
      <c r="L605" s="302"/>
      <c r="M605" s="236"/>
    </row>
    <row r="606" spans="1:13" x14ac:dyDescent="0.2">
      <c r="A606" s="237"/>
      <c r="B606" s="302"/>
      <c r="C606" s="302"/>
      <c r="D606" s="302"/>
      <c r="E606" s="303"/>
      <c r="F606" s="302"/>
      <c r="G606" s="302"/>
      <c r="H606" s="302"/>
      <c r="I606" s="303"/>
      <c r="J606" s="302"/>
      <c r="K606" s="302"/>
      <c r="L606" s="302"/>
      <c r="M606" s="236"/>
    </row>
    <row r="607" spans="1:13" x14ac:dyDescent="0.2">
      <c r="A607" s="237"/>
      <c r="B607" s="302"/>
      <c r="C607" s="302"/>
      <c r="D607" s="302"/>
      <c r="E607" s="303"/>
      <c r="F607" s="302"/>
      <c r="G607" s="302"/>
      <c r="H607" s="302"/>
      <c r="I607" s="303"/>
      <c r="J607" s="302"/>
      <c r="K607" s="302"/>
      <c r="L607" s="302"/>
      <c r="M607" s="236"/>
    </row>
    <row r="608" spans="1:13" x14ac:dyDescent="0.2">
      <c r="A608" s="237"/>
      <c r="B608" s="302"/>
      <c r="C608" s="302"/>
      <c r="D608" s="302"/>
      <c r="E608" s="303"/>
      <c r="F608" s="302"/>
      <c r="G608" s="302"/>
      <c r="H608" s="302"/>
      <c r="I608" s="303"/>
      <c r="J608" s="302"/>
      <c r="K608" s="302"/>
      <c r="L608" s="302"/>
      <c r="M608" s="236"/>
    </row>
    <row r="609" spans="1:13" x14ac:dyDescent="0.2">
      <c r="A609" s="237"/>
      <c r="B609" s="302"/>
      <c r="C609" s="302"/>
      <c r="D609" s="302"/>
      <c r="E609" s="303"/>
      <c r="F609" s="302"/>
      <c r="G609" s="302"/>
      <c r="H609" s="302"/>
      <c r="I609" s="303"/>
      <c r="J609" s="302"/>
      <c r="K609" s="302"/>
      <c r="L609" s="302"/>
      <c r="M609" s="236"/>
    </row>
    <row r="610" spans="1:13" x14ac:dyDescent="0.2">
      <c r="A610" s="237"/>
      <c r="B610" s="302"/>
      <c r="C610" s="302"/>
      <c r="D610" s="302"/>
      <c r="E610" s="303"/>
      <c r="F610" s="302"/>
      <c r="G610" s="302"/>
      <c r="H610" s="302"/>
      <c r="I610" s="303"/>
      <c r="J610" s="302"/>
      <c r="K610" s="302"/>
      <c r="L610" s="302"/>
      <c r="M610" s="236"/>
    </row>
    <row r="611" spans="1:13" x14ac:dyDescent="0.2">
      <c r="A611" s="237"/>
      <c r="B611" s="302"/>
      <c r="C611" s="302"/>
      <c r="D611" s="302"/>
      <c r="E611" s="303"/>
      <c r="F611" s="302"/>
      <c r="G611" s="302"/>
      <c r="H611" s="302"/>
      <c r="I611" s="303"/>
      <c r="J611" s="302"/>
      <c r="K611" s="302"/>
      <c r="L611" s="302"/>
      <c r="M611" s="236"/>
    </row>
    <row r="612" spans="1:13" x14ac:dyDescent="0.2">
      <c r="A612" s="237"/>
      <c r="B612" s="302"/>
      <c r="C612" s="302"/>
      <c r="D612" s="302"/>
      <c r="E612" s="303"/>
      <c r="F612" s="302"/>
      <c r="G612" s="302"/>
      <c r="H612" s="302"/>
      <c r="I612" s="303"/>
      <c r="J612" s="302"/>
      <c r="K612" s="302"/>
      <c r="L612" s="302"/>
      <c r="M612" s="236"/>
    </row>
    <row r="613" spans="1:13" x14ac:dyDescent="0.2">
      <c r="A613" s="237"/>
      <c r="B613" s="302"/>
      <c r="C613" s="302"/>
      <c r="D613" s="302"/>
      <c r="E613" s="303"/>
      <c r="F613" s="302"/>
      <c r="G613" s="302"/>
      <c r="H613" s="302"/>
      <c r="I613" s="303"/>
      <c r="J613" s="302"/>
      <c r="K613" s="302"/>
      <c r="L613" s="302"/>
      <c r="M613" s="236"/>
    </row>
    <row r="614" spans="1:13" x14ac:dyDescent="0.2">
      <c r="A614" s="237"/>
      <c r="B614" s="303"/>
      <c r="C614" s="303"/>
      <c r="D614" s="303"/>
      <c r="E614" s="303"/>
      <c r="F614" s="303"/>
      <c r="G614" s="303"/>
      <c r="H614" s="303"/>
      <c r="I614" s="303"/>
      <c r="J614" s="303"/>
      <c r="K614" s="303"/>
      <c r="L614" s="303"/>
      <c r="M614" s="236"/>
    </row>
    <row r="615" spans="1:13" x14ac:dyDescent="0.2">
      <c r="A615" s="237"/>
      <c r="B615" s="237"/>
      <c r="C615" s="237"/>
      <c r="D615" s="237"/>
      <c r="E615" s="237"/>
      <c r="F615" s="237"/>
      <c r="G615" s="237"/>
      <c r="H615" s="237"/>
      <c r="I615" s="237"/>
      <c r="J615" s="237"/>
      <c r="K615" s="237"/>
      <c r="L615" s="240"/>
      <c r="M615" s="236"/>
    </row>
    <row r="616" spans="1:13" x14ac:dyDescent="0.2">
      <c r="A616" s="237"/>
      <c r="B616" s="237"/>
      <c r="C616" s="237"/>
      <c r="D616" s="237"/>
      <c r="E616" s="237"/>
      <c r="F616" s="237"/>
      <c r="G616" s="237"/>
      <c r="H616" s="237"/>
      <c r="I616" s="237"/>
      <c r="J616" s="237"/>
      <c r="K616" s="237"/>
      <c r="L616" s="284"/>
      <c r="M616" s="236"/>
    </row>
    <row r="617" spans="1:13" x14ac:dyDescent="0.2">
      <c r="A617" s="258"/>
      <c r="B617" s="241"/>
      <c r="C617" s="241"/>
      <c r="D617" s="241"/>
      <c r="E617" s="241"/>
      <c r="F617" s="241"/>
      <c r="G617" s="241"/>
      <c r="H617" s="241"/>
      <c r="I617" s="241"/>
      <c r="J617" s="241"/>
      <c r="K617" s="241"/>
      <c r="L617" s="236"/>
      <c r="M617" s="236"/>
    </row>
    <row r="618" spans="1:13" x14ac:dyDescent="0.2">
      <c r="A618" s="241"/>
      <c r="B618" s="375"/>
      <c r="C618" s="375"/>
      <c r="D618" s="375"/>
      <c r="E618" s="253"/>
      <c r="F618" s="375"/>
      <c r="G618" s="375"/>
      <c r="H618" s="375"/>
      <c r="I618" s="253"/>
      <c r="J618" s="375"/>
      <c r="K618" s="375"/>
      <c r="L618" s="375"/>
      <c r="M618" s="236"/>
    </row>
    <row r="619" spans="1:13" x14ac:dyDescent="0.2">
      <c r="A619" s="258"/>
      <c r="B619" s="259"/>
      <c r="C619" s="259"/>
      <c r="D619" s="259"/>
      <c r="E619" s="259"/>
      <c r="F619" s="259"/>
      <c r="G619" s="259"/>
      <c r="H619" s="259"/>
      <c r="I619" s="259"/>
      <c r="J619" s="259"/>
      <c r="K619" s="259"/>
      <c r="L619" s="259"/>
      <c r="M619" s="236"/>
    </row>
    <row r="620" spans="1:13" x14ac:dyDescent="0.2">
      <c r="A620" s="258"/>
      <c r="B620" s="259"/>
      <c r="C620" s="259"/>
      <c r="D620" s="259"/>
      <c r="E620" s="259"/>
      <c r="F620" s="259"/>
      <c r="G620" s="259"/>
      <c r="H620" s="259"/>
      <c r="I620" s="259"/>
      <c r="J620" s="259"/>
      <c r="K620" s="259"/>
      <c r="L620" s="259"/>
      <c r="M620" s="236"/>
    </row>
    <row r="621" spans="1:13" x14ac:dyDescent="0.2">
      <c r="A621" s="237"/>
      <c r="B621" s="302"/>
      <c r="C621" s="302"/>
      <c r="D621" s="302"/>
      <c r="E621" s="303"/>
      <c r="F621" s="302"/>
      <c r="G621" s="302"/>
      <c r="H621" s="302"/>
      <c r="I621" s="303"/>
      <c r="J621" s="302"/>
      <c r="K621" s="302"/>
      <c r="L621" s="302"/>
      <c r="M621" s="236"/>
    </row>
    <row r="622" spans="1:13" x14ac:dyDescent="0.2">
      <c r="A622" s="237"/>
      <c r="B622" s="302"/>
      <c r="C622" s="302"/>
      <c r="D622" s="302"/>
      <c r="E622" s="303"/>
      <c r="F622" s="302"/>
      <c r="G622" s="302"/>
      <c r="H622" s="302"/>
      <c r="I622" s="303"/>
      <c r="J622" s="302"/>
      <c r="K622" s="302"/>
      <c r="L622" s="302"/>
      <c r="M622" s="236"/>
    </row>
    <row r="623" spans="1:13" x14ac:dyDescent="0.2">
      <c r="A623" s="237"/>
      <c r="B623" s="302"/>
      <c r="C623" s="302"/>
      <c r="D623" s="302"/>
      <c r="E623" s="303"/>
      <c r="F623" s="302"/>
      <c r="G623" s="302"/>
      <c r="H623" s="302"/>
      <c r="I623" s="303"/>
      <c r="J623" s="302"/>
      <c r="K623" s="302"/>
      <c r="L623" s="302"/>
      <c r="M623" s="236"/>
    </row>
    <row r="624" spans="1:13" x14ac:dyDescent="0.2">
      <c r="A624" s="237"/>
      <c r="B624" s="302"/>
      <c r="C624" s="302"/>
      <c r="D624" s="302"/>
      <c r="E624" s="303"/>
      <c r="F624" s="302"/>
      <c r="G624" s="302"/>
      <c r="H624" s="302"/>
      <c r="I624" s="303"/>
      <c r="J624" s="302"/>
      <c r="K624" s="302"/>
      <c r="L624" s="302"/>
      <c r="M624" s="236"/>
    </row>
    <row r="625" spans="1:13" x14ac:dyDescent="0.2">
      <c r="A625" s="237"/>
      <c r="B625" s="302"/>
      <c r="C625" s="302"/>
      <c r="D625" s="302"/>
      <c r="E625" s="303"/>
      <c r="F625" s="302"/>
      <c r="G625" s="302"/>
      <c r="H625" s="302"/>
      <c r="I625" s="303"/>
      <c r="J625" s="302"/>
      <c r="K625" s="302"/>
      <c r="L625" s="302"/>
      <c r="M625" s="236"/>
    </row>
    <row r="626" spans="1:13" x14ac:dyDescent="0.2">
      <c r="A626" s="237"/>
      <c r="B626" s="302"/>
      <c r="C626" s="302"/>
      <c r="D626" s="302"/>
      <c r="E626" s="303"/>
      <c r="F626" s="302"/>
      <c r="G626" s="302"/>
      <c r="H626" s="302"/>
      <c r="I626" s="303"/>
      <c r="J626" s="302"/>
      <c r="K626" s="302"/>
      <c r="L626" s="302"/>
      <c r="M626" s="236"/>
    </row>
    <row r="627" spans="1:13" x14ac:dyDescent="0.2">
      <c r="A627" s="237"/>
      <c r="B627" s="302"/>
      <c r="C627" s="302"/>
      <c r="D627" s="302"/>
      <c r="E627" s="303"/>
      <c r="F627" s="302"/>
      <c r="G627" s="302"/>
      <c r="H627" s="302"/>
      <c r="I627" s="303"/>
      <c r="J627" s="302"/>
      <c r="K627" s="302"/>
      <c r="L627" s="302"/>
      <c r="M627" s="236"/>
    </row>
    <row r="628" spans="1:13" x14ac:dyDescent="0.2">
      <c r="A628" s="237"/>
      <c r="B628" s="302"/>
      <c r="C628" s="302"/>
      <c r="D628" s="302"/>
      <c r="E628" s="303"/>
      <c r="F628" s="302"/>
      <c r="G628" s="302"/>
      <c r="H628" s="302"/>
      <c r="I628" s="303"/>
      <c r="J628" s="302"/>
      <c r="K628" s="302"/>
      <c r="L628" s="302"/>
      <c r="M628" s="236"/>
    </row>
    <row r="629" spans="1:13" x14ac:dyDescent="0.2">
      <c r="A629" s="237"/>
      <c r="B629" s="302"/>
      <c r="C629" s="302"/>
      <c r="D629" s="302"/>
      <c r="E629" s="303"/>
      <c r="F629" s="302"/>
      <c r="G629" s="302"/>
      <c r="H629" s="302"/>
      <c r="I629" s="303"/>
      <c r="J629" s="302"/>
      <c r="K629" s="302"/>
      <c r="L629" s="302"/>
      <c r="M629" s="236"/>
    </row>
    <row r="630" spans="1:13" x14ac:dyDescent="0.2">
      <c r="A630" s="237"/>
      <c r="B630" s="302"/>
      <c r="C630" s="302"/>
      <c r="D630" s="302"/>
      <c r="E630" s="303"/>
      <c r="F630" s="302"/>
      <c r="G630" s="302"/>
      <c r="H630" s="302"/>
      <c r="I630" s="303"/>
      <c r="J630" s="302"/>
      <c r="K630" s="302"/>
      <c r="L630" s="302"/>
      <c r="M630" s="236"/>
    </row>
    <row r="631" spans="1:13" x14ac:dyDescent="0.2">
      <c r="A631" s="237"/>
      <c r="B631" s="303"/>
      <c r="C631" s="303"/>
      <c r="D631" s="303"/>
      <c r="E631" s="303"/>
      <c r="F631" s="303"/>
      <c r="G631" s="303"/>
      <c r="H631" s="303"/>
      <c r="I631" s="303"/>
      <c r="J631" s="303"/>
      <c r="K631" s="303"/>
      <c r="L631" s="303"/>
      <c r="M631" s="236"/>
    </row>
    <row r="632" spans="1:13" x14ac:dyDescent="0.2">
      <c r="A632" s="237"/>
      <c r="B632" s="237"/>
      <c r="C632" s="237"/>
      <c r="D632" s="237"/>
      <c r="E632" s="237"/>
      <c r="F632" s="237"/>
      <c r="G632" s="237"/>
      <c r="H632" s="237"/>
      <c r="I632" s="237"/>
      <c r="J632" s="237"/>
      <c r="K632" s="237"/>
      <c r="L632" s="240"/>
      <c r="M632" s="236"/>
    </row>
    <row r="633" spans="1:13" x14ac:dyDescent="0.2">
      <c r="A633" s="237"/>
      <c r="B633" s="237"/>
      <c r="C633" s="237"/>
      <c r="D633" s="237"/>
      <c r="E633" s="237"/>
      <c r="F633" s="237"/>
      <c r="G633" s="237"/>
      <c r="H633" s="237"/>
      <c r="I633" s="237"/>
      <c r="J633" s="237"/>
      <c r="K633" s="237"/>
      <c r="L633" s="284"/>
      <c r="M633" s="236"/>
    </row>
    <row r="634" spans="1:13" x14ac:dyDescent="0.2">
      <c r="A634" s="258"/>
      <c r="B634" s="241"/>
      <c r="C634" s="241"/>
      <c r="D634" s="241"/>
      <c r="E634" s="241"/>
      <c r="F634" s="241"/>
      <c r="G634" s="241"/>
      <c r="H634" s="241"/>
      <c r="I634" s="241"/>
      <c r="J634" s="241"/>
      <c r="K634" s="241"/>
      <c r="L634" s="236"/>
      <c r="M634" s="236"/>
    </row>
    <row r="635" spans="1:13" x14ac:dyDescent="0.2">
      <c r="A635" s="241"/>
      <c r="B635" s="375"/>
      <c r="C635" s="375"/>
      <c r="D635" s="375"/>
      <c r="E635" s="253"/>
      <c r="F635" s="375"/>
      <c r="G635" s="375"/>
      <c r="H635" s="375"/>
      <c r="I635" s="253"/>
      <c r="J635" s="375"/>
      <c r="K635" s="375"/>
      <c r="L635" s="375"/>
      <c r="M635" s="236"/>
    </row>
    <row r="636" spans="1:13" x14ac:dyDescent="0.2">
      <c r="A636" s="258"/>
      <c r="B636" s="259"/>
      <c r="C636" s="259"/>
      <c r="D636" s="259"/>
      <c r="E636" s="259"/>
      <c r="F636" s="259"/>
      <c r="G636" s="259"/>
      <c r="H636" s="259"/>
      <c r="I636" s="259"/>
      <c r="J636" s="259"/>
      <c r="K636" s="259"/>
      <c r="L636" s="259"/>
      <c r="M636" s="236"/>
    </row>
    <row r="637" spans="1:13" x14ac:dyDescent="0.2">
      <c r="A637" s="258"/>
      <c r="B637" s="259"/>
      <c r="C637" s="259"/>
      <c r="D637" s="259"/>
      <c r="E637" s="259"/>
      <c r="F637" s="259"/>
      <c r="G637" s="259"/>
      <c r="H637" s="259"/>
      <c r="I637" s="259"/>
      <c r="J637" s="259"/>
      <c r="K637" s="259"/>
      <c r="L637" s="259"/>
      <c r="M637" s="236"/>
    </row>
    <row r="638" spans="1:13" x14ac:dyDescent="0.2">
      <c r="A638" s="237"/>
      <c r="B638" s="302"/>
      <c r="C638" s="302"/>
      <c r="D638" s="302"/>
      <c r="E638" s="303"/>
      <c r="F638" s="302"/>
      <c r="G638" s="302"/>
      <c r="H638" s="302"/>
      <c r="I638" s="303"/>
      <c r="J638" s="302"/>
      <c r="K638" s="302"/>
      <c r="L638" s="302"/>
      <c r="M638" s="236"/>
    </row>
    <row r="639" spans="1:13" x14ac:dyDescent="0.2">
      <c r="A639" s="237"/>
      <c r="B639" s="302"/>
      <c r="C639" s="302"/>
      <c r="D639" s="302"/>
      <c r="E639" s="303"/>
      <c r="F639" s="302"/>
      <c r="G639" s="302"/>
      <c r="H639" s="302"/>
      <c r="I639" s="303"/>
      <c r="J639" s="302"/>
      <c r="K639" s="302"/>
      <c r="L639" s="302"/>
      <c r="M639" s="236"/>
    </row>
    <row r="640" spans="1:13" x14ac:dyDescent="0.2">
      <c r="A640" s="237"/>
      <c r="B640" s="302"/>
      <c r="C640" s="302"/>
      <c r="D640" s="302"/>
      <c r="E640" s="303"/>
      <c r="F640" s="302"/>
      <c r="G640" s="302"/>
      <c r="H640" s="302"/>
      <c r="I640" s="303"/>
      <c r="J640" s="302"/>
      <c r="K640" s="302"/>
      <c r="L640" s="302"/>
      <c r="M640" s="236"/>
    </row>
    <row r="641" spans="1:13" x14ac:dyDescent="0.2">
      <c r="A641" s="237"/>
      <c r="B641" s="302"/>
      <c r="C641" s="302"/>
      <c r="D641" s="302"/>
      <c r="E641" s="303"/>
      <c r="F641" s="302"/>
      <c r="G641" s="302"/>
      <c r="H641" s="302"/>
      <c r="I641" s="303"/>
      <c r="J641" s="302"/>
      <c r="K641" s="302"/>
      <c r="L641" s="302"/>
      <c r="M641" s="236"/>
    </row>
    <row r="642" spans="1:13" x14ac:dyDescent="0.2">
      <c r="A642" s="237"/>
      <c r="B642" s="302"/>
      <c r="C642" s="302"/>
      <c r="D642" s="302"/>
      <c r="E642" s="303"/>
      <c r="F642" s="302"/>
      <c r="G642" s="302"/>
      <c r="H642" s="302"/>
      <c r="I642" s="303"/>
      <c r="J642" s="302"/>
      <c r="K642" s="302"/>
      <c r="L642" s="302"/>
      <c r="M642" s="236"/>
    </row>
    <row r="643" spans="1:13" x14ac:dyDescent="0.2">
      <c r="A643" s="237"/>
      <c r="B643" s="302"/>
      <c r="C643" s="302"/>
      <c r="D643" s="302"/>
      <c r="E643" s="303"/>
      <c r="F643" s="302"/>
      <c r="G643" s="302"/>
      <c r="H643" s="302"/>
      <c r="I643" s="303"/>
      <c r="J643" s="302"/>
      <c r="K643" s="302"/>
      <c r="L643" s="302"/>
      <c r="M643" s="236"/>
    </row>
    <row r="644" spans="1:13" x14ac:dyDescent="0.2">
      <c r="A644" s="237"/>
      <c r="B644" s="302"/>
      <c r="C644" s="302"/>
      <c r="D644" s="302"/>
      <c r="E644" s="303"/>
      <c r="F644" s="302"/>
      <c r="G644" s="302"/>
      <c r="H644" s="302"/>
      <c r="I644" s="303"/>
      <c r="J644" s="302"/>
      <c r="K644" s="302"/>
      <c r="L644" s="302"/>
      <c r="M644" s="236"/>
    </row>
    <row r="645" spans="1:13" x14ac:dyDescent="0.2">
      <c r="A645" s="237"/>
      <c r="B645" s="302"/>
      <c r="C645" s="302"/>
      <c r="D645" s="302"/>
      <c r="E645" s="303"/>
      <c r="F645" s="302"/>
      <c r="G645" s="302"/>
      <c r="H645" s="302"/>
      <c r="I645" s="303"/>
      <c r="J645" s="302"/>
      <c r="K645" s="302"/>
      <c r="L645" s="302"/>
      <c r="M645" s="236"/>
    </row>
    <row r="646" spans="1:13" x14ac:dyDescent="0.2">
      <c r="A646" s="237"/>
      <c r="B646" s="302"/>
      <c r="C646" s="302"/>
      <c r="D646" s="302"/>
      <c r="E646" s="303"/>
      <c r="F646" s="302"/>
      <c r="G646" s="302"/>
      <c r="H646" s="302"/>
      <c r="I646" s="303"/>
      <c r="J646" s="302"/>
      <c r="K646" s="302"/>
      <c r="L646" s="302"/>
      <c r="M646" s="236"/>
    </row>
    <row r="647" spans="1:13" x14ac:dyDescent="0.2">
      <c r="A647" s="237"/>
      <c r="B647" s="302"/>
      <c r="C647" s="302"/>
      <c r="D647" s="302"/>
      <c r="E647" s="303"/>
      <c r="F647" s="302"/>
      <c r="G647" s="302"/>
      <c r="H647" s="302"/>
      <c r="I647" s="303"/>
      <c r="J647" s="302"/>
      <c r="K647" s="302"/>
      <c r="L647" s="302"/>
      <c r="M647" s="236"/>
    </row>
    <row r="648" spans="1:13" x14ac:dyDescent="0.2">
      <c r="A648" s="237"/>
      <c r="B648" s="303"/>
      <c r="C648" s="303"/>
      <c r="D648" s="303"/>
      <c r="E648" s="303"/>
      <c r="F648" s="303"/>
      <c r="G648" s="303"/>
      <c r="H648" s="303"/>
      <c r="I648" s="303"/>
      <c r="J648" s="303"/>
      <c r="K648" s="303"/>
      <c r="L648" s="303"/>
      <c r="M648" s="236"/>
    </row>
    <row r="649" spans="1:13" x14ac:dyDescent="0.2">
      <c r="A649" s="237"/>
      <c r="B649" s="237"/>
      <c r="C649" s="237"/>
      <c r="D649" s="237"/>
      <c r="E649" s="237"/>
      <c r="F649" s="237"/>
      <c r="G649" s="237"/>
      <c r="H649" s="237"/>
      <c r="I649" s="237"/>
      <c r="J649" s="237"/>
      <c r="K649" s="237"/>
      <c r="L649" s="240"/>
      <c r="M649" s="236"/>
    </row>
    <row r="650" spans="1:13" x14ac:dyDescent="0.2">
      <c r="A650" s="237"/>
      <c r="B650" s="237"/>
      <c r="C650" s="237"/>
      <c r="D650" s="237"/>
      <c r="E650" s="237"/>
      <c r="F650" s="237"/>
      <c r="G650" s="237"/>
      <c r="H650" s="237"/>
      <c r="I650" s="237"/>
      <c r="J650" s="237"/>
      <c r="K650" s="237"/>
      <c r="L650" s="284"/>
      <c r="M650" s="236"/>
    </row>
    <row r="651" spans="1:13" x14ac:dyDescent="0.2">
      <c r="A651" s="258"/>
      <c r="B651" s="241"/>
      <c r="C651" s="241"/>
      <c r="D651" s="241"/>
      <c r="E651" s="241"/>
      <c r="F651" s="241"/>
      <c r="G651" s="241"/>
      <c r="H651" s="241"/>
      <c r="I651" s="241"/>
      <c r="J651" s="241"/>
      <c r="K651" s="241"/>
      <c r="L651" s="236"/>
      <c r="M651" s="236"/>
    </row>
    <row r="652" spans="1:13" x14ac:dyDescent="0.2">
      <c r="A652" s="241"/>
      <c r="B652" s="375"/>
      <c r="C652" s="375"/>
      <c r="D652" s="375"/>
      <c r="E652" s="253"/>
      <c r="F652" s="375"/>
      <c r="G652" s="375"/>
      <c r="H652" s="375"/>
      <c r="I652" s="253"/>
      <c r="J652" s="375"/>
      <c r="K652" s="375"/>
      <c r="L652" s="375"/>
      <c r="M652" s="236"/>
    </row>
    <row r="653" spans="1:13" x14ac:dyDescent="0.2">
      <c r="A653" s="258"/>
      <c r="B653" s="259"/>
      <c r="C653" s="259"/>
      <c r="D653" s="259"/>
      <c r="E653" s="259"/>
      <c r="F653" s="259"/>
      <c r="G653" s="259"/>
      <c r="H653" s="259"/>
      <c r="I653" s="259"/>
      <c r="J653" s="259"/>
      <c r="K653" s="259"/>
      <c r="L653" s="259"/>
      <c r="M653" s="236"/>
    </row>
    <row r="654" spans="1:13" x14ac:dyDescent="0.2">
      <c r="A654" s="258"/>
      <c r="B654" s="259"/>
      <c r="C654" s="259"/>
      <c r="D654" s="259"/>
      <c r="E654" s="259"/>
      <c r="F654" s="259"/>
      <c r="G654" s="259"/>
      <c r="H654" s="259"/>
      <c r="I654" s="259"/>
      <c r="J654" s="259"/>
      <c r="K654" s="259"/>
      <c r="L654" s="259"/>
      <c r="M654" s="236"/>
    </row>
    <row r="655" spans="1:13" x14ac:dyDescent="0.2">
      <c r="A655" s="237"/>
      <c r="B655" s="302"/>
      <c r="C655" s="302"/>
      <c r="D655" s="302"/>
      <c r="E655" s="303"/>
      <c r="F655" s="302"/>
      <c r="G655" s="302"/>
      <c r="H655" s="302"/>
      <c r="I655" s="303"/>
      <c r="J655" s="302"/>
      <c r="K655" s="302"/>
      <c r="L655" s="302"/>
      <c r="M655" s="236"/>
    </row>
    <row r="656" spans="1:13" x14ac:dyDescent="0.2">
      <c r="A656" s="237"/>
      <c r="B656" s="302"/>
      <c r="C656" s="302"/>
      <c r="D656" s="302"/>
      <c r="E656" s="303"/>
      <c r="F656" s="302"/>
      <c r="G656" s="302"/>
      <c r="H656" s="302"/>
      <c r="I656" s="303"/>
      <c r="J656" s="302"/>
      <c r="K656" s="302"/>
      <c r="L656" s="302"/>
      <c r="M656" s="236"/>
    </row>
    <row r="657" spans="1:13" x14ac:dyDescent="0.2">
      <c r="A657" s="237"/>
      <c r="B657" s="302"/>
      <c r="C657" s="302"/>
      <c r="D657" s="302"/>
      <c r="E657" s="303"/>
      <c r="F657" s="302"/>
      <c r="G657" s="302"/>
      <c r="H657" s="302"/>
      <c r="I657" s="303"/>
      <c r="J657" s="302"/>
      <c r="K657" s="302"/>
      <c r="L657" s="302"/>
      <c r="M657" s="236"/>
    </row>
    <row r="658" spans="1:13" x14ac:dyDescent="0.2">
      <c r="A658" s="237"/>
      <c r="B658" s="302"/>
      <c r="C658" s="302"/>
      <c r="D658" s="302"/>
      <c r="E658" s="303"/>
      <c r="F658" s="302"/>
      <c r="G658" s="302"/>
      <c r="H658" s="302"/>
      <c r="I658" s="303"/>
      <c r="J658" s="302"/>
      <c r="K658" s="302"/>
      <c r="L658" s="302"/>
      <c r="M658" s="236"/>
    </row>
    <row r="659" spans="1:13" x14ac:dyDescent="0.2">
      <c r="A659" s="237"/>
      <c r="B659" s="302"/>
      <c r="C659" s="302"/>
      <c r="D659" s="302"/>
      <c r="E659" s="303"/>
      <c r="F659" s="302"/>
      <c r="G659" s="302"/>
      <c r="H659" s="302"/>
      <c r="I659" s="303"/>
      <c r="J659" s="302"/>
      <c r="K659" s="302"/>
      <c r="L659" s="302"/>
      <c r="M659" s="236"/>
    </row>
    <row r="660" spans="1:13" x14ac:dyDescent="0.2">
      <c r="A660" s="237"/>
      <c r="B660" s="302"/>
      <c r="C660" s="302"/>
      <c r="D660" s="302"/>
      <c r="E660" s="303"/>
      <c r="F660" s="302"/>
      <c r="G660" s="302"/>
      <c r="H660" s="302"/>
      <c r="I660" s="303"/>
      <c r="J660" s="302"/>
      <c r="K660" s="302"/>
      <c r="L660" s="302"/>
      <c r="M660" s="236"/>
    </row>
    <row r="661" spans="1:13" x14ac:dyDescent="0.2">
      <c r="A661" s="237"/>
      <c r="B661" s="302"/>
      <c r="C661" s="302"/>
      <c r="D661" s="302"/>
      <c r="E661" s="303"/>
      <c r="F661" s="302"/>
      <c r="G661" s="302"/>
      <c r="H661" s="302"/>
      <c r="I661" s="303"/>
      <c r="J661" s="302"/>
      <c r="K661" s="302"/>
      <c r="L661" s="302"/>
      <c r="M661" s="236"/>
    </row>
    <row r="662" spans="1:13" x14ac:dyDescent="0.2">
      <c r="A662" s="237"/>
      <c r="B662" s="302"/>
      <c r="C662" s="302"/>
      <c r="D662" s="302"/>
      <c r="E662" s="303"/>
      <c r="F662" s="302"/>
      <c r="G662" s="302"/>
      <c r="H662" s="302"/>
      <c r="I662" s="303"/>
      <c r="J662" s="302"/>
      <c r="K662" s="302"/>
      <c r="L662" s="302"/>
      <c r="M662" s="236"/>
    </row>
    <row r="663" spans="1:13" x14ac:dyDescent="0.2">
      <c r="A663" s="237"/>
      <c r="B663" s="302"/>
      <c r="C663" s="302"/>
      <c r="D663" s="302"/>
      <c r="E663" s="303"/>
      <c r="F663" s="302"/>
      <c r="G663" s="302"/>
      <c r="H663" s="302"/>
      <c r="I663" s="303"/>
      <c r="J663" s="302"/>
      <c r="K663" s="302"/>
      <c r="L663" s="302"/>
      <c r="M663" s="236"/>
    </row>
    <row r="664" spans="1:13" x14ac:dyDescent="0.2">
      <c r="A664" s="237"/>
      <c r="B664" s="302"/>
      <c r="C664" s="302"/>
      <c r="D664" s="302"/>
      <c r="E664" s="303"/>
      <c r="F664" s="302"/>
      <c r="G664" s="302"/>
      <c r="H664" s="302"/>
      <c r="I664" s="303"/>
      <c r="J664" s="302"/>
      <c r="K664" s="302"/>
      <c r="L664" s="302"/>
      <c r="M664" s="236"/>
    </row>
    <row r="665" spans="1:13" x14ac:dyDescent="0.2">
      <c r="A665" s="237"/>
      <c r="B665" s="303"/>
      <c r="C665" s="303"/>
      <c r="D665" s="303"/>
      <c r="E665" s="303"/>
      <c r="F665" s="303"/>
      <c r="G665" s="303"/>
      <c r="H665" s="303"/>
      <c r="I665" s="303"/>
      <c r="J665" s="303"/>
      <c r="K665" s="303"/>
      <c r="L665" s="303"/>
      <c r="M665" s="236"/>
    </row>
    <row r="666" spans="1:13" x14ac:dyDescent="0.2">
      <c r="A666" s="237"/>
      <c r="B666" s="237"/>
      <c r="C666" s="237"/>
      <c r="D666" s="237"/>
      <c r="E666" s="237"/>
      <c r="F666" s="237"/>
      <c r="G666" s="237"/>
      <c r="H666" s="237"/>
      <c r="I666" s="237"/>
      <c r="J666" s="237"/>
      <c r="K666" s="237"/>
      <c r="L666" s="240"/>
      <c r="M666" s="236"/>
    </row>
    <row r="667" spans="1:13" x14ac:dyDescent="0.2">
      <c r="A667" s="237"/>
      <c r="B667" s="237"/>
      <c r="C667" s="237"/>
      <c r="D667" s="237"/>
      <c r="E667" s="237"/>
      <c r="F667" s="237"/>
      <c r="G667" s="237"/>
      <c r="H667" s="237"/>
      <c r="I667" s="237"/>
      <c r="J667" s="237"/>
      <c r="K667" s="237"/>
      <c r="L667" s="284"/>
      <c r="M667" s="236"/>
    </row>
    <row r="668" spans="1:13" x14ac:dyDescent="0.2">
      <c r="A668" s="258"/>
      <c r="B668" s="241"/>
      <c r="C668" s="241"/>
      <c r="D668" s="241"/>
      <c r="E668" s="241"/>
      <c r="F668" s="241"/>
      <c r="G668" s="241"/>
      <c r="H668" s="241"/>
      <c r="I668" s="241"/>
      <c r="J668" s="241"/>
      <c r="K668" s="241"/>
      <c r="L668" s="236"/>
      <c r="M668" s="236"/>
    </row>
    <row r="669" spans="1:13" x14ac:dyDescent="0.2">
      <c r="A669" s="241"/>
      <c r="B669" s="375"/>
      <c r="C669" s="375"/>
      <c r="D669" s="375"/>
      <c r="E669" s="253"/>
      <c r="F669" s="375"/>
      <c r="G669" s="375"/>
      <c r="H669" s="375"/>
      <c r="I669" s="253"/>
      <c r="J669" s="375"/>
      <c r="K669" s="375"/>
      <c r="L669" s="375"/>
      <c r="M669" s="236"/>
    </row>
    <row r="670" spans="1:13" x14ac:dyDescent="0.2">
      <c r="A670" s="258"/>
      <c r="B670" s="259"/>
      <c r="C670" s="259"/>
      <c r="D670" s="259"/>
      <c r="E670" s="259"/>
      <c r="F670" s="259"/>
      <c r="G670" s="259"/>
      <c r="H670" s="259"/>
      <c r="I670" s="259"/>
      <c r="J670" s="259"/>
      <c r="K670" s="259"/>
      <c r="L670" s="259"/>
      <c r="M670" s="236"/>
    </row>
    <row r="671" spans="1:13" x14ac:dyDescent="0.2">
      <c r="A671" s="258"/>
      <c r="B671" s="259"/>
      <c r="C671" s="259"/>
      <c r="D671" s="259"/>
      <c r="E671" s="259"/>
      <c r="F671" s="259"/>
      <c r="G671" s="259"/>
      <c r="H671" s="259"/>
      <c r="I671" s="259"/>
      <c r="J671" s="259"/>
      <c r="K671" s="259"/>
      <c r="L671" s="259"/>
      <c r="M671" s="236"/>
    </row>
    <row r="672" spans="1:13" x14ac:dyDescent="0.2">
      <c r="A672" s="237"/>
      <c r="B672" s="302"/>
      <c r="C672" s="302"/>
      <c r="D672" s="302"/>
      <c r="E672" s="303"/>
      <c r="F672" s="302"/>
      <c r="G672" s="302"/>
      <c r="H672" s="302"/>
      <c r="I672" s="303"/>
      <c r="J672" s="302"/>
      <c r="K672" s="302"/>
      <c r="L672" s="302"/>
      <c r="M672" s="236"/>
    </row>
    <row r="673" spans="1:13" x14ac:dyDescent="0.2">
      <c r="A673" s="237"/>
      <c r="B673" s="302"/>
      <c r="C673" s="302"/>
      <c r="D673" s="302"/>
      <c r="E673" s="303"/>
      <c r="F673" s="302"/>
      <c r="G673" s="302"/>
      <c r="H673" s="302"/>
      <c r="I673" s="303"/>
      <c r="J673" s="302"/>
      <c r="K673" s="302"/>
      <c r="L673" s="302"/>
      <c r="M673" s="236"/>
    </row>
    <row r="674" spans="1:13" x14ac:dyDescent="0.2">
      <c r="A674" s="237"/>
      <c r="B674" s="302"/>
      <c r="C674" s="302"/>
      <c r="D674" s="302"/>
      <c r="E674" s="303"/>
      <c r="F674" s="302"/>
      <c r="G674" s="302"/>
      <c r="H674" s="302"/>
      <c r="I674" s="303"/>
      <c r="J674" s="302"/>
      <c r="K674" s="302"/>
      <c r="L674" s="302"/>
      <c r="M674" s="236"/>
    </row>
    <row r="675" spans="1:13" x14ac:dyDescent="0.2">
      <c r="A675" s="237"/>
      <c r="B675" s="302"/>
      <c r="C675" s="302"/>
      <c r="D675" s="302"/>
      <c r="E675" s="303"/>
      <c r="F675" s="302"/>
      <c r="G675" s="302"/>
      <c r="H675" s="302"/>
      <c r="I675" s="303"/>
      <c r="J675" s="302"/>
      <c r="K675" s="302"/>
      <c r="L675" s="302"/>
      <c r="M675" s="236"/>
    </row>
    <row r="676" spans="1:13" x14ac:dyDescent="0.2">
      <c r="A676" s="237"/>
      <c r="B676" s="302"/>
      <c r="C676" s="302"/>
      <c r="D676" s="302"/>
      <c r="E676" s="303"/>
      <c r="F676" s="302"/>
      <c r="G676" s="302"/>
      <c r="H676" s="302"/>
      <c r="I676" s="303"/>
      <c r="J676" s="302"/>
      <c r="K676" s="302"/>
      <c r="L676" s="302"/>
      <c r="M676" s="236"/>
    </row>
    <row r="677" spans="1:13" x14ac:dyDescent="0.2">
      <c r="A677" s="237"/>
      <c r="B677" s="302"/>
      <c r="C677" s="302"/>
      <c r="D677" s="302"/>
      <c r="E677" s="303"/>
      <c r="F677" s="302"/>
      <c r="G677" s="302"/>
      <c r="H677" s="302"/>
      <c r="I677" s="303"/>
      <c r="J677" s="302"/>
      <c r="K677" s="302"/>
      <c r="L677" s="302"/>
      <c r="M677" s="236"/>
    </row>
    <row r="678" spans="1:13" x14ac:dyDescent="0.2">
      <c r="A678" s="237"/>
      <c r="B678" s="302"/>
      <c r="C678" s="302"/>
      <c r="D678" s="302"/>
      <c r="E678" s="303"/>
      <c r="F678" s="302"/>
      <c r="G678" s="302"/>
      <c r="H678" s="302"/>
      <c r="I678" s="303"/>
      <c r="J678" s="302"/>
      <c r="K678" s="302"/>
      <c r="L678" s="302"/>
      <c r="M678" s="236"/>
    </row>
    <row r="679" spans="1:13" x14ac:dyDescent="0.2">
      <c r="A679" s="237"/>
      <c r="B679" s="302"/>
      <c r="C679" s="302"/>
      <c r="D679" s="302"/>
      <c r="E679" s="303"/>
      <c r="F679" s="302"/>
      <c r="G679" s="302"/>
      <c r="H679" s="302"/>
      <c r="I679" s="303"/>
      <c r="J679" s="302"/>
      <c r="K679" s="302"/>
      <c r="L679" s="302"/>
      <c r="M679" s="236"/>
    </row>
    <row r="680" spans="1:13" x14ac:dyDescent="0.2">
      <c r="A680" s="237"/>
      <c r="B680" s="302"/>
      <c r="C680" s="302"/>
      <c r="D680" s="302"/>
      <c r="E680" s="303"/>
      <c r="F680" s="302"/>
      <c r="G680" s="302"/>
      <c r="H680" s="302"/>
      <c r="I680" s="303"/>
      <c r="J680" s="302"/>
      <c r="K680" s="302"/>
      <c r="L680" s="302"/>
      <c r="M680" s="236"/>
    </row>
    <row r="681" spans="1:13" x14ac:dyDescent="0.2">
      <c r="A681" s="237"/>
      <c r="B681" s="302"/>
      <c r="C681" s="302"/>
      <c r="D681" s="302"/>
      <c r="E681" s="303"/>
      <c r="F681" s="302"/>
      <c r="G681" s="302"/>
      <c r="H681" s="302"/>
      <c r="I681" s="303"/>
      <c r="J681" s="302"/>
      <c r="K681" s="302"/>
      <c r="L681" s="302"/>
      <c r="M681" s="236"/>
    </row>
    <row r="682" spans="1:13" x14ac:dyDescent="0.2">
      <c r="A682" s="237"/>
      <c r="B682" s="303"/>
      <c r="C682" s="303"/>
      <c r="D682" s="303"/>
      <c r="E682" s="303"/>
      <c r="F682" s="303"/>
      <c r="G682" s="303"/>
      <c r="H682" s="303"/>
      <c r="I682" s="303"/>
      <c r="J682" s="303"/>
      <c r="K682" s="303"/>
      <c r="L682" s="303"/>
      <c r="M682" s="236"/>
    </row>
    <row r="683" spans="1:13" x14ac:dyDescent="0.2">
      <c r="A683" s="237"/>
      <c r="B683" s="237"/>
      <c r="C683" s="237"/>
      <c r="D683" s="237"/>
      <c r="E683" s="237"/>
      <c r="F683" s="237"/>
      <c r="G683" s="237"/>
      <c r="H683" s="237"/>
      <c r="I683" s="237"/>
      <c r="J683" s="237"/>
      <c r="K683" s="237"/>
      <c r="L683" s="240"/>
      <c r="M683" s="236"/>
    </row>
    <row r="684" spans="1:13" x14ac:dyDescent="0.2">
      <c r="A684" s="237"/>
      <c r="B684" s="237"/>
      <c r="C684" s="237"/>
      <c r="D684" s="237"/>
      <c r="E684" s="237"/>
      <c r="F684" s="237"/>
      <c r="G684" s="237"/>
      <c r="H684" s="237"/>
      <c r="I684" s="237"/>
      <c r="J684" s="237"/>
      <c r="K684" s="237"/>
      <c r="L684" s="284"/>
      <c r="M684" s="236"/>
    </row>
    <row r="685" spans="1:13" x14ac:dyDescent="0.2">
      <c r="A685" s="258"/>
      <c r="B685" s="241"/>
      <c r="C685" s="241"/>
      <c r="D685" s="241"/>
      <c r="E685" s="241"/>
      <c r="F685" s="241"/>
      <c r="G685" s="241"/>
      <c r="H685" s="241"/>
      <c r="I685" s="241"/>
      <c r="J685" s="241"/>
      <c r="K685" s="241"/>
      <c r="L685" s="236"/>
      <c r="M685" s="236"/>
    </row>
    <row r="686" spans="1:13" x14ac:dyDescent="0.2">
      <c r="A686" s="241"/>
      <c r="B686" s="375"/>
      <c r="C686" s="375"/>
      <c r="D686" s="375"/>
      <c r="E686" s="253"/>
      <c r="F686" s="375"/>
      <c r="G686" s="375"/>
      <c r="H686" s="375"/>
      <c r="I686" s="253"/>
      <c r="J686" s="375"/>
      <c r="K686" s="375"/>
      <c r="L686" s="375"/>
      <c r="M686" s="236"/>
    </row>
    <row r="687" spans="1:13" x14ac:dyDescent="0.2">
      <c r="A687" s="258"/>
      <c r="B687" s="259"/>
      <c r="C687" s="259"/>
      <c r="D687" s="259"/>
      <c r="E687" s="259"/>
      <c r="F687" s="259"/>
      <c r="G687" s="259"/>
      <c r="H687" s="259"/>
      <c r="I687" s="259"/>
      <c r="J687" s="259"/>
      <c r="K687" s="259"/>
      <c r="L687" s="259"/>
      <c r="M687" s="236"/>
    </row>
    <row r="688" spans="1:13" x14ac:dyDescent="0.2">
      <c r="A688" s="258"/>
      <c r="B688" s="259"/>
      <c r="C688" s="259"/>
      <c r="D688" s="259"/>
      <c r="E688" s="259"/>
      <c r="F688" s="259"/>
      <c r="G688" s="259"/>
      <c r="H688" s="259"/>
      <c r="I688" s="259"/>
      <c r="J688" s="259"/>
      <c r="K688" s="259"/>
      <c r="L688" s="259"/>
      <c r="M688" s="236"/>
    </row>
    <row r="689" spans="1:13" x14ac:dyDescent="0.2">
      <c r="A689" s="237"/>
      <c r="B689" s="302"/>
      <c r="C689" s="302"/>
      <c r="D689" s="302"/>
      <c r="E689" s="303"/>
      <c r="F689" s="302"/>
      <c r="G689" s="302"/>
      <c r="H689" s="302"/>
      <c r="I689" s="303"/>
      <c r="J689" s="302"/>
      <c r="K689" s="302"/>
      <c r="L689" s="302"/>
      <c r="M689" s="236"/>
    </row>
    <row r="690" spans="1:13" x14ac:dyDescent="0.2">
      <c r="A690" s="237"/>
      <c r="B690" s="302"/>
      <c r="C690" s="302"/>
      <c r="D690" s="302"/>
      <c r="E690" s="303"/>
      <c r="F690" s="302"/>
      <c r="G690" s="302"/>
      <c r="H690" s="302"/>
      <c r="I690" s="303"/>
      <c r="J690" s="302"/>
      <c r="K690" s="302"/>
      <c r="L690" s="302"/>
      <c r="M690" s="236"/>
    </row>
    <row r="691" spans="1:13" x14ac:dyDescent="0.2">
      <c r="A691" s="237"/>
      <c r="B691" s="302"/>
      <c r="C691" s="302"/>
      <c r="D691" s="302"/>
      <c r="E691" s="303"/>
      <c r="F691" s="302"/>
      <c r="G691" s="302"/>
      <c r="H691" s="302"/>
      <c r="I691" s="303"/>
      <c r="J691" s="302"/>
      <c r="K691" s="302"/>
      <c r="L691" s="302"/>
      <c r="M691" s="236"/>
    </row>
    <row r="692" spans="1:13" x14ac:dyDescent="0.2">
      <c r="A692" s="237"/>
      <c r="B692" s="302"/>
      <c r="C692" s="302"/>
      <c r="D692" s="302"/>
      <c r="E692" s="303"/>
      <c r="F692" s="302"/>
      <c r="G692" s="302"/>
      <c r="H692" s="302"/>
      <c r="I692" s="303"/>
      <c r="J692" s="302"/>
      <c r="K692" s="302"/>
      <c r="L692" s="302"/>
      <c r="M692" s="236"/>
    </row>
    <row r="693" spans="1:13" x14ac:dyDescent="0.2">
      <c r="A693" s="237"/>
      <c r="B693" s="302"/>
      <c r="C693" s="302"/>
      <c r="D693" s="302"/>
      <c r="E693" s="303"/>
      <c r="F693" s="302"/>
      <c r="G693" s="302"/>
      <c r="H693" s="302"/>
      <c r="I693" s="303"/>
      <c r="J693" s="302"/>
      <c r="K693" s="302"/>
      <c r="L693" s="302"/>
      <c r="M693" s="236"/>
    </row>
    <row r="694" spans="1:13" x14ac:dyDescent="0.2">
      <c r="A694" s="237"/>
      <c r="B694" s="302"/>
      <c r="C694" s="302"/>
      <c r="D694" s="302"/>
      <c r="E694" s="303"/>
      <c r="F694" s="302"/>
      <c r="G694" s="302"/>
      <c r="H694" s="302"/>
      <c r="I694" s="303"/>
      <c r="J694" s="302"/>
      <c r="K694" s="302"/>
      <c r="L694" s="302"/>
      <c r="M694" s="236"/>
    </row>
    <row r="695" spans="1:13" x14ac:dyDescent="0.2">
      <c r="A695" s="237"/>
      <c r="B695" s="302"/>
      <c r="C695" s="302"/>
      <c r="D695" s="302"/>
      <c r="E695" s="303"/>
      <c r="F695" s="302"/>
      <c r="G695" s="302"/>
      <c r="H695" s="302"/>
      <c r="I695" s="303"/>
      <c r="J695" s="302"/>
      <c r="K695" s="302"/>
      <c r="L695" s="302"/>
      <c r="M695" s="236"/>
    </row>
    <row r="696" spans="1:13" x14ac:dyDescent="0.2">
      <c r="A696" s="237"/>
      <c r="B696" s="302"/>
      <c r="C696" s="302"/>
      <c r="D696" s="302"/>
      <c r="E696" s="303"/>
      <c r="F696" s="302"/>
      <c r="G696" s="302"/>
      <c r="H696" s="302"/>
      <c r="I696" s="303"/>
      <c r="J696" s="302"/>
      <c r="K696" s="302"/>
      <c r="L696" s="302"/>
      <c r="M696" s="236"/>
    </row>
    <row r="697" spans="1:13" x14ac:dyDescent="0.2">
      <c r="A697" s="237"/>
      <c r="B697" s="302"/>
      <c r="C697" s="302"/>
      <c r="D697" s="302"/>
      <c r="E697" s="303"/>
      <c r="F697" s="302"/>
      <c r="G697" s="302"/>
      <c r="H697" s="302"/>
      <c r="I697" s="303"/>
      <c r="J697" s="302"/>
      <c r="K697" s="302"/>
      <c r="L697" s="302"/>
      <c r="M697" s="236"/>
    </row>
    <row r="698" spans="1:13" x14ac:dyDescent="0.2">
      <c r="A698" s="237"/>
      <c r="B698" s="302"/>
      <c r="C698" s="302"/>
      <c r="D698" s="302"/>
      <c r="E698" s="303"/>
      <c r="F698" s="302"/>
      <c r="G698" s="302"/>
      <c r="H698" s="302"/>
      <c r="I698" s="303"/>
      <c r="J698" s="302"/>
      <c r="K698" s="302"/>
      <c r="L698" s="302"/>
      <c r="M698" s="236"/>
    </row>
    <row r="699" spans="1:13" x14ac:dyDescent="0.2">
      <c r="A699" s="237"/>
      <c r="B699" s="303"/>
      <c r="C699" s="303"/>
      <c r="D699" s="303"/>
      <c r="E699" s="303"/>
      <c r="F699" s="303"/>
      <c r="G699" s="303"/>
      <c r="H699" s="303"/>
      <c r="I699" s="303"/>
      <c r="J699" s="303"/>
      <c r="K699" s="303"/>
      <c r="L699" s="303"/>
      <c r="M699" s="236"/>
    </row>
    <row r="700" spans="1:13" x14ac:dyDescent="0.2">
      <c r="A700" s="237"/>
      <c r="B700" s="237"/>
      <c r="C700" s="237"/>
      <c r="D700" s="237"/>
      <c r="E700" s="237"/>
      <c r="F700" s="237"/>
      <c r="G700" s="237"/>
      <c r="H700" s="237"/>
      <c r="I700" s="237"/>
      <c r="J700" s="237"/>
      <c r="K700" s="237"/>
      <c r="L700" s="240"/>
      <c r="M700" s="236"/>
    </row>
    <row r="701" spans="1:13" x14ac:dyDescent="0.2">
      <c r="A701" s="237"/>
      <c r="B701" s="237"/>
      <c r="C701" s="237"/>
      <c r="D701" s="237"/>
      <c r="E701" s="237"/>
      <c r="F701" s="237"/>
      <c r="G701" s="237"/>
      <c r="H701" s="237"/>
      <c r="I701" s="237"/>
      <c r="J701" s="237"/>
      <c r="K701" s="237"/>
      <c r="L701" s="284"/>
      <c r="M701" s="236"/>
    </row>
    <row r="702" spans="1:13" x14ac:dyDescent="0.2">
      <c r="A702" s="258"/>
      <c r="B702" s="241"/>
      <c r="C702" s="241"/>
      <c r="D702" s="241"/>
      <c r="E702" s="241"/>
      <c r="F702" s="241"/>
      <c r="G702" s="241"/>
      <c r="H702" s="241"/>
      <c r="I702" s="241"/>
      <c r="J702" s="241"/>
      <c r="K702" s="241"/>
      <c r="L702" s="236"/>
      <c r="M702" s="236"/>
    </row>
    <row r="703" spans="1:13" x14ac:dyDescent="0.2">
      <c r="A703" s="241"/>
      <c r="B703" s="375"/>
      <c r="C703" s="375"/>
      <c r="D703" s="375"/>
      <c r="E703" s="253"/>
      <c r="F703" s="375"/>
      <c r="G703" s="375"/>
      <c r="H703" s="375"/>
      <c r="I703" s="253"/>
      <c r="J703" s="375"/>
      <c r="K703" s="375"/>
      <c r="L703" s="375"/>
      <c r="M703" s="236"/>
    </row>
    <row r="704" spans="1:13" x14ac:dyDescent="0.2">
      <c r="A704" s="258"/>
      <c r="B704" s="259"/>
      <c r="C704" s="259"/>
      <c r="D704" s="259"/>
      <c r="E704" s="259"/>
      <c r="F704" s="259"/>
      <c r="G704" s="259"/>
      <c r="H704" s="259"/>
      <c r="I704" s="259"/>
      <c r="J704" s="259"/>
      <c r="K704" s="259"/>
      <c r="L704" s="259"/>
      <c r="M704" s="236"/>
    </row>
    <row r="705" spans="1:13" x14ac:dyDescent="0.2">
      <c r="A705" s="258"/>
      <c r="B705" s="259"/>
      <c r="C705" s="259"/>
      <c r="D705" s="259"/>
      <c r="E705" s="259"/>
      <c r="F705" s="259"/>
      <c r="G705" s="259"/>
      <c r="H705" s="259"/>
      <c r="I705" s="259"/>
      <c r="J705" s="259"/>
      <c r="K705" s="259"/>
      <c r="L705" s="259"/>
      <c r="M705" s="236"/>
    </row>
    <row r="706" spans="1:13" x14ac:dyDescent="0.2">
      <c r="A706" s="237"/>
      <c r="B706" s="302"/>
      <c r="C706" s="302"/>
      <c r="D706" s="302"/>
      <c r="E706" s="303"/>
      <c r="F706" s="302"/>
      <c r="G706" s="302"/>
      <c r="H706" s="302"/>
      <c r="I706" s="303"/>
      <c r="J706" s="302"/>
      <c r="K706" s="302"/>
      <c r="L706" s="302"/>
      <c r="M706" s="236"/>
    </row>
    <row r="707" spans="1:13" x14ac:dyDescent="0.2">
      <c r="A707" s="237"/>
      <c r="B707" s="302"/>
      <c r="C707" s="302"/>
      <c r="D707" s="302"/>
      <c r="E707" s="303"/>
      <c r="F707" s="302"/>
      <c r="G707" s="302"/>
      <c r="H707" s="302"/>
      <c r="I707" s="303"/>
      <c r="J707" s="302"/>
      <c r="K707" s="302"/>
      <c r="L707" s="302"/>
      <c r="M707" s="236"/>
    </row>
    <row r="708" spans="1:13" x14ac:dyDescent="0.2">
      <c r="A708" s="237"/>
      <c r="B708" s="302"/>
      <c r="C708" s="302"/>
      <c r="D708" s="302"/>
      <c r="E708" s="303"/>
      <c r="F708" s="302"/>
      <c r="G708" s="302"/>
      <c r="H708" s="302"/>
      <c r="I708" s="303"/>
      <c r="J708" s="302"/>
      <c r="K708" s="302"/>
      <c r="L708" s="302"/>
      <c r="M708" s="236"/>
    </row>
    <row r="709" spans="1:13" x14ac:dyDescent="0.2">
      <c r="A709" s="237"/>
      <c r="B709" s="302"/>
      <c r="C709" s="302"/>
      <c r="D709" s="302"/>
      <c r="E709" s="303"/>
      <c r="F709" s="302"/>
      <c r="G709" s="302"/>
      <c r="H709" s="302"/>
      <c r="I709" s="303"/>
      <c r="J709" s="302"/>
      <c r="K709" s="302"/>
      <c r="L709" s="302"/>
      <c r="M709" s="236"/>
    </row>
    <row r="710" spans="1:13" x14ac:dyDescent="0.2">
      <c r="A710" s="237"/>
      <c r="B710" s="302"/>
      <c r="C710" s="302"/>
      <c r="D710" s="302"/>
      <c r="E710" s="303"/>
      <c r="F710" s="302"/>
      <c r="G710" s="302"/>
      <c r="H710" s="302"/>
      <c r="I710" s="303"/>
      <c r="J710" s="302"/>
      <c r="K710" s="302"/>
      <c r="L710" s="302"/>
      <c r="M710" s="236"/>
    </row>
    <row r="711" spans="1:13" x14ac:dyDescent="0.2">
      <c r="A711" s="237"/>
      <c r="B711" s="302"/>
      <c r="C711" s="302"/>
      <c r="D711" s="302"/>
      <c r="E711" s="303"/>
      <c r="F711" s="302"/>
      <c r="G711" s="302"/>
      <c r="H711" s="302"/>
      <c r="I711" s="303"/>
      <c r="J711" s="302"/>
      <c r="K711" s="302"/>
      <c r="L711" s="302"/>
      <c r="M711" s="236"/>
    </row>
    <row r="712" spans="1:13" x14ac:dyDescent="0.2">
      <c r="A712" s="237"/>
      <c r="B712" s="302"/>
      <c r="C712" s="302"/>
      <c r="D712" s="302"/>
      <c r="E712" s="303"/>
      <c r="F712" s="302"/>
      <c r="G712" s="302"/>
      <c r="H712" s="302"/>
      <c r="I712" s="303"/>
      <c r="J712" s="302"/>
      <c r="K712" s="302"/>
      <c r="L712" s="302"/>
      <c r="M712" s="236"/>
    </row>
    <row r="713" spans="1:13" x14ac:dyDescent="0.2">
      <c r="A713" s="237"/>
      <c r="B713" s="302"/>
      <c r="C713" s="302"/>
      <c r="D713" s="302"/>
      <c r="E713" s="303"/>
      <c r="F713" s="302"/>
      <c r="G713" s="302"/>
      <c r="H713" s="302"/>
      <c r="I713" s="303"/>
      <c r="J713" s="302"/>
      <c r="K713" s="302"/>
      <c r="L713" s="302"/>
      <c r="M713" s="236"/>
    </row>
    <row r="714" spans="1:13" x14ac:dyDescent="0.2">
      <c r="A714" s="237"/>
      <c r="B714" s="302"/>
      <c r="C714" s="302"/>
      <c r="D714" s="302"/>
      <c r="E714" s="303"/>
      <c r="F714" s="302"/>
      <c r="G714" s="302"/>
      <c r="H714" s="302"/>
      <c r="I714" s="303"/>
      <c r="J714" s="302"/>
      <c r="K714" s="302"/>
      <c r="L714" s="302"/>
      <c r="M714" s="236"/>
    </row>
    <row r="715" spans="1:13" x14ac:dyDescent="0.2">
      <c r="A715" s="237"/>
      <c r="B715" s="302"/>
      <c r="C715" s="302"/>
      <c r="D715" s="302"/>
      <c r="E715" s="303"/>
      <c r="F715" s="302"/>
      <c r="G715" s="302"/>
      <c r="H715" s="302"/>
      <c r="I715" s="303"/>
      <c r="J715" s="302"/>
      <c r="K715" s="302"/>
      <c r="L715" s="302"/>
      <c r="M715" s="236"/>
    </row>
    <row r="716" spans="1:13" x14ac:dyDescent="0.2">
      <c r="A716" s="237"/>
      <c r="B716" s="303"/>
      <c r="C716" s="303"/>
      <c r="D716" s="303"/>
      <c r="E716" s="303"/>
      <c r="F716" s="303"/>
      <c r="G716" s="303"/>
      <c r="H716" s="303"/>
      <c r="I716" s="303"/>
      <c r="J716" s="303"/>
      <c r="K716" s="303"/>
      <c r="L716" s="303"/>
      <c r="M716" s="236"/>
    </row>
    <row r="717" spans="1:13" x14ac:dyDescent="0.2">
      <c r="A717" s="237"/>
      <c r="B717" s="237"/>
      <c r="C717" s="237"/>
      <c r="D717" s="237"/>
      <c r="E717" s="237"/>
      <c r="F717" s="237"/>
      <c r="G717" s="237"/>
      <c r="H717" s="237"/>
      <c r="I717" s="237"/>
      <c r="J717" s="237"/>
      <c r="K717" s="237"/>
      <c r="L717" s="240"/>
      <c r="M717" s="236"/>
    </row>
    <row r="718" spans="1:13" x14ac:dyDescent="0.2">
      <c r="A718" s="237"/>
      <c r="B718" s="237"/>
      <c r="C718" s="237"/>
      <c r="D718" s="237"/>
      <c r="E718" s="237"/>
      <c r="F718" s="237"/>
      <c r="G718" s="237"/>
      <c r="H718" s="237"/>
      <c r="I718" s="237"/>
      <c r="J718" s="237"/>
      <c r="K718" s="237"/>
      <c r="L718" s="284"/>
      <c r="M718" s="236"/>
    </row>
    <row r="719" spans="1:13" x14ac:dyDescent="0.2">
      <c r="A719" s="258"/>
      <c r="B719" s="241"/>
      <c r="C719" s="241"/>
      <c r="D719" s="241"/>
      <c r="E719" s="241"/>
      <c r="F719" s="241"/>
      <c r="G719" s="241"/>
      <c r="H719" s="241"/>
      <c r="I719" s="241"/>
      <c r="J719" s="241"/>
      <c r="K719" s="241"/>
      <c r="L719" s="236"/>
      <c r="M719" s="236"/>
    </row>
    <row r="720" spans="1:13" x14ac:dyDescent="0.2">
      <c r="A720" s="241"/>
      <c r="B720" s="375"/>
      <c r="C720" s="375"/>
      <c r="D720" s="375"/>
      <c r="E720" s="253"/>
      <c r="F720" s="375"/>
      <c r="G720" s="375"/>
      <c r="H720" s="375"/>
      <c r="I720" s="253"/>
      <c r="J720" s="375"/>
      <c r="K720" s="375"/>
      <c r="L720" s="375"/>
      <c r="M720" s="236"/>
    </row>
    <row r="721" spans="1:13" x14ac:dyDescent="0.2">
      <c r="A721" s="258"/>
      <c r="B721" s="259"/>
      <c r="C721" s="259"/>
      <c r="D721" s="259"/>
      <c r="E721" s="259"/>
      <c r="F721" s="259"/>
      <c r="G721" s="259"/>
      <c r="H721" s="259"/>
      <c r="I721" s="259"/>
      <c r="J721" s="259"/>
      <c r="K721" s="259"/>
      <c r="L721" s="259"/>
      <c r="M721" s="236"/>
    </row>
    <row r="722" spans="1:13" x14ac:dyDescent="0.2">
      <c r="A722" s="258"/>
      <c r="B722" s="259"/>
      <c r="C722" s="259"/>
      <c r="D722" s="259"/>
      <c r="E722" s="259"/>
      <c r="F722" s="259"/>
      <c r="G722" s="259"/>
      <c r="H722" s="259"/>
      <c r="I722" s="259"/>
      <c r="J722" s="259"/>
      <c r="K722" s="259"/>
      <c r="L722" s="259"/>
      <c r="M722" s="236"/>
    </row>
    <row r="723" spans="1:13" x14ac:dyDescent="0.2">
      <c r="A723" s="237"/>
      <c r="B723" s="302"/>
      <c r="C723" s="302"/>
      <c r="D723" s="302"/>
      <c r="E723" s="303"/>
      <c r="F723" s="302"/>
      <c r="G723" s="302"/>
      <c r="H723" s="302"/>
      <c r="I723" s="303"/>
      <c r="J723" s="302"/>
      <c r="K723" s="302"/>
      <c r="L723" s="302"/>
      <c r="M723" s="236"/>
    </row>
    <row r="724" spans="1:13" x14ac:dyDescent="0.2">
      <c r="A724" s="237"/>
      <c r="B724" s="302"/>
      <c r="C724" s="302"/>
      <c r="D724" s="302"/>
      <c r="E724" s="303"/>
      <c r="F724" s="302"/>
      <c r="G724" s="302"/>
      <c r="H724" s="302"/>
      <c r="I724" s="303"/>
      <c r="J724" s="302"/>
      <c r="K724" s="302"/>
      <c r="L724" s="302"/>
      <c r="M724" s="236"/>
    </row>
    <row r="725" spans="1:13" x14ac:dyDescent="0.2">
      <c r="A725" s="237"/>
      <c r="B725" s="302"/>
      <c r="C725" s="302"/>
      <c r="D725" s="302"/>
      <c r="E725" s="303"/>
      <c r="F725" s="302"/>
      <c r="G725" s="302"/>
      <c r="H725" s="302"/>
      <c r="I725" s="303"/>
      <c r="J725" s="302"/>
      <c r="K725" s="302"/>
      <c r="L725" s="302"/>
      <c r="M725" s="236"/>
    </row>
    <row r="726" spans="1:13" x14ac:dyDescent="0.2">
      <c r="A726" s="237"/>
      <c r="B726" s="302"/>
      <c r="C726" s="302"/>
      <c r="D726" s="302"/>
      <c r="E726" s="303"/>
      <c r="F726" s="302"/>
      <c r="G726" s="302"/>
      <c r="H726" s="302"/>
      <c r="I726" s="303"/>
      <c r="J726" s="302"/>
      <c r="K726" s="302"/>
      <c r="L726" s="302"/>
      <c r="M726" s="236"/>
    </row>
    <row r="727" spans="1:13" x14ac:dyDescent="0.2">
      <c r="A727" s="237"/>
      <c r="B727" s="302"/>
      <c r="C727" s="302"/>
      <c r="D727" s="302"/>
      <c r="E727" s="303"/>
      <c r="F727" s="302"/>
      <c r="G727" s="302"/>
      <c r="H727" s="302"/>
      <c r="I727" s="303"/>
      <c r="J727" s="302"/>
      <c r="K727" s="302"/>
      <c r="L727" s="302"/>
      <c r="M727" s="236"/>
    </row>
    <row r="728" spans="1:13" x14ac:dyDescent="0.2">
      <c r="A728" s="237"/>
      <c r="B728" s="302"/>
      <c r="C728" s="302"/>
      <c r="D728" s="302"/>
      <c r="E728" s="303"/>
      <c r="F728" s="302"/>
      <c r="G728" s="302"/>
      <c r="H728" s="302"/>
      <c r="I728" s="303"/>
      <c r="J728" s="302"/>
      <c r="K728" s="302"/>
      <c r="L728" s="302"/>
      <c r="M728" s="236"/>
    </row>
    <row r="729" spans="1:13" x14ac:dyDescent="0.2">
      <c r="A729" s="237"/>
      <c r="B729" s="302"/>
      <c r="C729" s="302"/>
      <c r="D729" s="302"/>
      <c r="E729" s="303"/>
      <c r="F729" s="302"/>
      <c r="G729" s="302"/>
      <c r="H729" s="302"/>
      <c r="I729" s="303"/>
      <c r="J729" s="302"/>
      <c r="K729" s="302"/>
      <c r="L729" s="302"/>
      <c r="M729" s="236"/>
    </row>
    <row r="730" spans="1:13" x14ac:dyDescent="0.2">
      <c r="A730" s="237"/>
      <c r="B730" s="302"/>
      <c r="C730" s="302"/>
      <c r="D730" s="302"/>
      <c r="E730" s="303"/>
      <c r="F730" s="302"/>
      <c r="G730" s="302"/>
      <c r="H730" s="302"/>
      <c r="I730" s="303"/>
      <c r="J730" s="302"/>
      <c r="K730" s="302"/>
      <c r="L730" s="302"/>
      <c r="M730" s="236"/>
    </row>
    <row r="731" spans="1:13" x14ac:dyDescent="0.2">
      <c r="A731" s="237"/>
      <c r="B731" s="302"/>
      <c r="C731" s="302"/>
      <c r="D731" s="302"/>
      <c r="E731" s="303"/>
      <c r="F731" s="302"/>
      <c r="G731" s="302"/>
      <c r="H731" s="302"/>
      <c r="I731" s="303"/>
      <c r="J731" s="302"/>
      <c r="K731" s="302"/>
      <c r="L731" s="302"/>
      <c r="M731" s="236"/>
    </row>
    <row r="732" spans="1:13" x14ac:dyDescent="0.2">
      <c r="A732" s="237"/>
      <c r="B732" s="302"/>
      <c r="C732" s="302"/>
      <c r="D732" s="302"/>
      <c r="E732" s="303"/>
      <c r="F732" s="302"/>
      <c r="G732" s="302"/>
      <c r="H732" s="302"/>
      <c r="I732" s="303"/>
      <c r="J732" s="302"/>
      <c r="K732" s="302"/>
      <c r="L732" s="302"/>
      <c r="M732" s="236"/>
    </row>
    <row r="733" spans="1:13" x14ac:dyDescent="0.2">
      <c r="A733" s="237"/>
      <c r="B733" s="303"/>
      <c r="C733" s="303"/>
      <c r="D733" s="303"/>
      <c r="E733" s="303"/>
      <c r="F733" s="303"/>
      <c r="G733" s="303"/>
      <c r="H733" s="303"/>
      <c r="I733" s="303"/>
      <c r="J733" s="303"/>
      <c r="K733" s="303"/>
      <c r="L733" s="303"/>
      <c r="M733" s="236"/>
    </row>
    <row r="734" spans="1:13" x14ac:dyDescent="0.2">
      <c r="A734" s="237"/>
      <c r="B734" s="237"/>
      <c r="C734" s="237"/>
      <c r="D734" s="237"/>
      <c r="E734" s="237"/>
      <c r="F734" s="237"/>
      <c r="G734" s="237"/>
      <c r="H734" s="237"/>
      <c r="I734" s="237"/>
      <c r="J734" s="237"/>
      <c r="K734" s="237"/>
      <c r="L734" s="240"/>
      <c r="M734" s="236"/>
    </row>
    <row r="735" spans="1:13" x14ac:dyDescent="0.2">
      <c r="A735" s="237"/>
      <c r="B735" s="237"/>
      <c r="C735" s="237"/>
      <c r="D735" s="237"/>
      <c r="E735" s="237"/>
      <c r="F735" s="237"/>
      <c r="G735" s="237"/>
      <c r="H735" s="237"/>
      <c r="I735" s="237"/>
      <c r="J735" s="237"/>
      <c r="K735" s="237"/>
      <c r="L735" s="284"/>
      <c r="M735" s="236"/>
    </row>
    <row r="736" spans="1:13" x14ac:dyDescent="0.2">
      <c r="A736" s="258"/>
      <c r="B736" s="241"/>
      <c r="C736" s="241"/>
      <c r="D736" s="241"/>
      <c r="E736" s="241"/>
      <c r="F736" s="241"/>
      <c r="G736" s="241"/>
      <c r="H736" s="241"/>
      <c r="I736" s="241"/>
      <c r="J736" s="241"/>
      <c r="K736" s="241"/>
      <c r="L736" s="236"/>
      <c r="M736" s="236"/>
    </row>
    <row r="737" spans="1:13" x14ac:dyDescent="0.2">
      <c r="A737" s="241"/>
      <c r="B737" s="375"/>
      <c r="C737" s="375"/>
      <c r="D737" s="375"/>
      <c r="E737" s="253"/>
      <c r="F737" s="375"/>
      <c r="G737" s="375"/>
      <c r="H737" s="375"/>
      <c r="I737" s="253"/>
      <c r="J737" s="375"/>
      <c r="K737" s="375"/>
      <c r="L737" s="375"/>
      <c r="M737" s="236"/>
    </row>
    <row r="738" spans="1:13" x14ac:dyDescent="0.2">
      <c r="A738" s="258"/>
      <c r="B738" s="259"/>
      <c r="C738" s="259"/>
      <c r="D738" s="259"/>
      <c r="E738" s="259"/>
      <c r="F738" s="259"/>
      <c r="G738" s="259"/>
      <c r="H738" s="259"/>
      <c r="I738" s="259"/>
      <c r="J738" s="259"/>
      <c r="K738" s="259"/>
      <c r="L738" s="259"/>
      <c r="M738" s="236"/>
    </row>
    <row r="739" spans="1:13" x14ac:dyDescent="0.2">
      <c r="A739" s="258"/>
      <c r="B739" s="259"/>
      <c r="C739" s="259"/>
      <c r="D739" s="259"/>
      <c r="E739" s="259"/>
      <c r="F739" s="259"/>
      <c r="G739" s="259"/>
      <c r="H739" s="259"/>
      <c r="I739" s="259"/>
      <c r="J739" s="259"/>
      <c r="K739" s="259"/>
      <c r="L739" s="259"/>
      <c r="M739" s="236"/>
    </row>
    <row r="740" spans="1:13" x14ac:dyDescent="0.2">
      <c r="A740" s="237"/>
      <c r="B740" s="302"/>
      <c r="C740" s="302"/>
      <c r="D740" s="302"/>
      <c r="E740" s="303"/>
      <c r="F740" s="302"/>
      <c r="G740" s="302"/>
      <c r="H740" s="302"/>
      <c r="I740" s="303"/>
      <c r="J740" s="302"/>
      <c r="K740" s="302"/>
      <c r="L740" s="302"/>
      <c r="M740" s="236"/>
    </row>
    <row r="741" spans="1:13" x14ac:dyDescent="0.2">
      <c r="A741" s="237"/>
      <c r="B741" s="302"/>
      <c r="C741" s="302"/>
      <c r="D741" s="302"/>
      <c r="E741" s="303"/>
      <c r="F741" s="302"/>
      <c r="G741" s="302"/>
      <c r="H741" s="302"/>
      <c r="I741" s="303"/>
      <c r="J741" s="302"/>
      <c r="K741" s="302"/>
      <c r="L741" s="302"/>
      <c r="M741" s="236"/>
    </row>
    <row r="742" spans="1:13" x14ac:dyDescent="0.2">
      <c r="A742" s="237"/>
      <c r="B742" s="302"/>
      <c r="C742" s="302"/>
      <c r="D742" s="302"/>
      <c r="E742" s="303"/>
      <c r="F742" s="302"/>
      <c r="G742" s="302"/>
      <c r="H742" s="302"/>
      <c r="I742" s="303"/>
      <c r="J742" s="302"/>
      <c r="K742" s="302"/>
      <c r="L742" s="302"/>
      <c r="M742" s="236"/>
    </row>
    <row r="743" spans="1:13" x14ac:dyDescent="0.2">
      <c r="A743" s="237"/>
      <c r="B743" s="302"/>
      <c r="C743" s="302"/>
      <c r="D743" s="302"/>
      <c r="E743" s="303"/>
      <c r="F743" s="302"/>
      <c r="G743" s="302"/>
      <c r="H743" s="302"/>
      <c r="I743" s="303"/>
      <c r="J743" s="302"/>
      <c r="K743" s="302"/>
      <c r="L743" s="302"/>
      <c r="M743" s="236"/>
    </row>
    <row r="744" spans="1:13" x14ac:dyDescent="0.2">
      <c r="A744" s="237"/>
      <c r="B744" s="302"/>
      <c r="C744" s="302"/>
      <c r="D744" s="302"/>
      <c r="E744" s="303"/>
      <c r="F744" s="302"/>
      <c r="G744" s="302"/>
      <c r="H744" s="302"/>
      <c r="I744" s="303"/>
      <c r="J744" s="302"/>
      <c r="K744" s="302"/>
      <c r="L744" s="302"/>
      <c r="M744" s="236"/>
    </row>
    <row r="745" spans="1:13" x14ac:dyDescent="0.2">
      <c r="A745" s="237"/>
      <c r="B745" s="302"/>
      <c r="C745" s="302"/>
      <c r="D745" s="302"/>
      <c r="E745" s="303"/>
      <c r="F745" s="302"/>
      <c r="G745" s="302"/>
      <c r="H745" s="302"/>
      <c r="I745" s="303"/>
      <c r="J745" s="302"/>
      <c r="K745" s="302"/>
      <c r="L745" s="302"/>
      <c r="M745" s="236"/>
    </row>
    <row r="746" spans="1:13" x14ac:dyDescent="0.2">
      <c r="A746" s="237"/>
      <c r="B746" s="302"/>
      <c r="C746" s="302"/>
      <c r="D746" s="302"/>
      <c r="E746" s="303"/>
      <c r="F746" s="302"/>
      <c r="G746" s="302"/>
      <c r="H746" s="302"/>
      <c r="I746" s="303"/>
      <c r="J746" s="302"/>
      <c r="K746" s="302"/>
      <c r="L746" s="302"/>
      <c r="M746" s="236"/>
    </row>
    <row r="747" spans="1:13" x14ac:dyDescent="0.2">
      <c r="A747" s="237"/>
      <c r="B747" s="302"/>
      <c r="C747" s="302"/>
      <c r="D747" s="302"/>
      <c r="E747" s="303"/>
      <c r="F747" s="302"/>
      <c r="G747" s="302"/>
      <c r="H747" s="302"/>
      <c r="I747" s="303"/>
      <c r="J747" s="302"/>
      <c r="K747" s="302"/>
      <c r="L747" s="302"/>
      <c r="M747" s="236"/>
    </row>
    <row r="748" spans="1:13" x14ac:dyDescent="0.2">
      <c r="A748" s="237"/>
      <c r="B748" s="302"/>
      <c r="C748" s="302"/>
      <c r="D748" s="302"/>
      <c r="E748" s="303"/>
      <c r="F748" s="302"/>
      <c r="G748" s="302"/>
      <c r="H748" s="302"/>
      <c r="I748" s="303"/>
      <c r="J748" s="302"/>
      <c r="K748" s="302"/>
      <c r="L748" s="302"/>
      <c r="M748" s="236"/>
    </row>
    <row r="749" spans="1:13" x14ac:dyDescent="0.2">
      <c r="A749" s="237"/>
      <c r="B749" s="302"/>
      <c r="C749" s="302"/>
      <c r="D749" s="302"/>
      <c r="E749" s="303"/>
      <c r="F749" s="302"/>
      <c r="G749" s="302"/>
      <c r="H749" s="302"/>
      <c r="I749" s="303"/>
      <c r="J749" s="302"/>
      <c r="K749" s="302"/>
      <c r="L749" s="302"/>
      <c r="M749" s="236"/>
    </row>
    <row r="750" spans="1:13" x14ac:dyDescent="0.2">
      <c r="A750" s="237"/>
      <c r="B750" s="303"/>
      <c r="C750" s="303"/>
      <c r="D750" s="303"/>
      <c r="E750" s="303"/>
      <c r="F750" s="303"/>
      <c r="G750" s="303"/>
      <c r="H750" s="303"/>
      <c r="I750" s="303"/>
      <c r="J750" s="303"/>
      <c r="K750" s="303"/>
      <c r="L750" s="303"/>
      <c r="M750" s="236"/>
    </row>
    <row r="751" spans="1:13" x14ac:dyDescent="0.2">
      <c r="A751" s="237"/>
      <c r="B751" s="237"/>
      <c r="C751" s="237"/>
      <c r="D751" s="237"/>
      <c r="E751" s="237"/>
      <c r="F751" s="237"/>
      <c r="G751" s="237"/>
      <c r="H751" s="237"/>
      <c r="I751" s="237"/>
      <c r="J751" s="237"/>
      <c r="K751" s="237"/>
      <c r="L751" s="240"/>
      <c r="M751" s="236"/>
    </row>
    <row r="752" spans="1:13" x14ac:dyDescent="0.2">
      <c r="A752" s="237"/>
      <c r="B752" s="237"/>
      <c r="C752" s="237"/>
      <c r="D752" s="237"/>
      <c r="E752" s="237"/>
      <c r="F752" s="237"/>
      <c r="G752" s="237"/>
      <c r="H752" s="237"/>
      <c r="I752" s="237"/>
      <c r="J752" s="237"/>
      <c r="K752" s="237"/>
      <c r="L752" s="284"/>
      <c r="M752" s="236"/>
    </row>
    <row r="753" spans="1:13" x14ac:dyDescent="0.2">
      <c r="A753" s="258"/>
      <c r="B753" s="241"/>
      <c r="C753" s="241"/>
      <c r="D753" s="241"/>
      <c r="E753" s="241"/>
      <c r="F753" s="241"/>
      <c r="G753" s="241"/>
      <c r="H753" s="241"/>
      <c r="I753" s="241"/>
      <c r="J753" s="241"/>
      <c r="K753" s="241"/>
      <c r="L753" s="236"/>
      <c r="M753" s="236"/>
    </row>
    <row r="754" spans="1:13" x14ac:dyDescent="0.2">
      <c r="A754" s="241"/>
      <c r="B754" s="375"/>
      <c r="C754" s="375"/>
      <c r="D754" s="375"/>
      <c r="E754" s="253"/>
      <c r="F754" s="375"/>
      <c r="G754" s="375"/>
      <c r="H754" s="375"/>
      <c r="I754" s="253"/>
      <c r="J754" s="375"/>
      <c r="K754" s="375"/>
      <c r="L754" s="375"/>
      <c r="M754" s="236"/>
    </row>
    <row r="755" spans="1:13" x14ac:dyDescent="0.2">
      <c r="A755" s="258"/>
      <c r="B755" s="259"/>
      <c r="C755" s="259"/>
      <c r="D755" s="259"/>
      <c r="E755" s="259"/>
      <c r="F755" s="259"/>
      <c r="G755" s="259"/>
      <c r="H755" s="259"/>
      <c r="I755" s="259"/>
      <c r="J755" s="259"/>
      <c r="K755" s="259"/>
      <c r="L755" s="259"/>
      <c r="M755" s="236"/>
    </row>
    <row r="756" spans="1:13" x14ac:dyDescent="0.2">
      <c r="A756" s="258"/>
      <c r="B756" s="259"/>
      <c r="C756" s="259"/>
      <c r="D756" s="259"/>
      <c r="E756" s="259"/>
      <c r="F756" s="259"/>
      <c r="G756" s="259"/>
      <c r="H756" s="259"/>
      <c r="I756" s="259"/>
      <c r="J756" s="259"/>
      <c r="K756" s="259"/>
      <c r="L756" s="259"/>
      <c r="M756" s="236"/>
    </row>
    <row r="757" spans="1:13" x14ac:dyDescent="0.2">
      <c r="A757" s="237"/>
      <c r="B757" s="302"/>
      <c r="C757" s="302"/>
      <c r="D757" s="302"/>
      <c r="E757" s="303"/>
      <c r="F757" s="302"/>
      <c r="G757" s="302"/>
      <c r="H757" s="302"/>
      <c r="I757" s="303"/>
      <c r="J757" s="302"/>
      <c r="K757" s="302"/>
      <c r="L757" s="302"/>
      <c r="M757" s="236"/>
    </row>
    <row r="758" spans="1:13" x14ac:dyDescent="0.2">
      <c r="A758" s="237"/>
      <c r="B758" s="302"/>
      <c r="C758" s="302"/>
      <c r="D758" s="302"/>
      <c r="E758" s="303"/>
      <c r="F758" s="302"/>
      <c r="G758" s="302"/>
      <c r="H758" s="302"/>
      <c r="I758" s="303"/>
      <c r="J758" s="302"/>
      <c r="K758" s="302"/>
      <c r="L758" s="302"/>
      <c r="M758" s="236"/>
    </row>
    <row r="759" spans="1:13" x14ac:dyDescent="0.2">
      <c r="A759" s="237"/>
      <c r="B759" s="302"/>
      <c r="C759" s="302"/>
      <c r="D759" s="302"/>
      <c r="E759" s="303"/>
      <c r="F759" s="302"/>
      <c r="G759" s="302"/>
      <c r="H759" s="302"/>
      <c r="I759" s="303"/>
      <c r="J759" s="302"/>
      <c r="K759" s="302"/>
      <c r="L759" s="302"/>
      <c r="M759" s="236"/>
    </row>
    <row r="760" spans="1:13" x14ac:dyDescent="0.2">
      <c r="A760" s="237"/>
      <c r="B760" s="302"/>
      <c r="C760" s="302"/>
      <c r="D760" s="302"/>
      <c r="E760" s="303"/>
      <c r="F760" s="302"/>
      <c r="G760" s="302"/>
      <c r="H760" s="302"/>
      <c r="I760" s="303"/>
      <c r="J760" s="302"/>
      <c r="K760" s="302"/>
      <c r="L760" s="302"/>
      <c r="M760" s="236"/>
    </row>
    <row r="761" spans="1:13" x14ac:dyDescent="0.2">
      <c r="A761" s="237"/>
      <c r="B761" s="302"/>
      <c r="C761" s="302"/>
      <c r="D761" s="302"/>
      <c r="E761" s="303"/>
      <c r="F761" s="302"/>
      <c r="G761" s="302"/>
      <c r="H761" s="302"/>
      <c r="I761" s="303"/>
      <c r="J761" s="302"/>
      <c r="K761" s="302"/>
      <c r="L761" s="302"/>
      <c r="M761" s="236"/>
    </row>
    <row r="762" spans="1:13" x14ac:dyDescent="0.2">
      <c r="A762" s="237"/>
      <c r="B762" s="302"/>
      <c r="C762" s="302"/>
      <c r="D762" s="302"/>
      <c r="E762" s="303"/>
      <c r="F762" s="302"/>
      <c r="G762" s="302"/>
      <c r="H762" s="302"/>
      <c r="I762" s="303"/>
      <c r="J762" s="302"/>
      <c r="K762" s="302"/>
      <c r="L762" s="302"/>
      <c r="M762" s="236"/>
    </row>
    <row r="763" spans="1:13" x14ac:dyDescent="0.2">
      <c r="A763" s="237"/>
      <c r="B763" s="302"/>
      <c r="C763" s="302"/>
      <c r="D763" s="302"/>
      <c r="E763" s="303"/>
      <c r="F763" s="302"/>
      <c r="G763" s="302"/>
      <c r="H763" s="302"/>
      <c r="I763" s="303"/>
      <c r="J763" s="302"/>
      <c r="K763" s="302"/>
      <c r="L763" s="302"/>
      <c r="M763" s="236"/>
    </row>
    <row r="764" spans="1:13" x14ac:dyDescent="0.2">
      <c r="A764" s="237"/>
      <c r="B764" s="302"/>
      <c r="C764" s="302"/>
      <c r="D764" s="302"/>
      <c r="E764" s="303"/>
      <c r="F764" s="302"/>
      <c r="G764" s="302"/>
      <c r="H764" s="302"/>
      <c r="I764" s="303"/>
      <c r="J764" s="302"/>
      <c r="K764" s="302"/>
      <c r="L764" s="302"/>
      <c r="M764" s="236"/>
    </row>
    <row r="765" spans="1:13" x14ac:dyDescent="0.2">
      <c r="A765" s="237"/>
      <c r="B765" s="302"/>
      <c r="C765" s="302"/>
      <c r="D765" s="302"/>
      <c r="E765" s="303"/>
      <c r="F765" s="302"/>
      <c r="G765" s="302"/>
      <c r="H765" s="302"/>
      <c r="I765" s="303"/>
      <c r="J765" s="302"/>
      <c r="K765" s="302"/>
      <c r="L765" s="302"/>
      <c r="M765" s="236"/>
    </row>
    <row r="766" spans="1:13" x14ac:dyDescent="0.2">
      <c r="A766" s="237"/>
      <c r="B766" s="302"/>
      <c r="C766" s="302"/>
      <c r="D766" s="302"/>
      <c r="E766" s="303"/>
      <c r="F766" s="302"/>
      <c r="G766" s="302"/>
      <c r="H766" s="302"/>
      <c r="I766" s="303"/>
      <c r="J766" s="302"/>
      <c r="K766" s="302"/>
      <c r="L766" s="302"/>
      <c r="M766" s="236"/>
    </row>
    <row r="767" spans="1:13" x14ac:dyDescent="0.2">
      <c r="A767" s="237"/>
      <c r="B767" s="303"/>
      <c r="C767" s="303"/>
      <c r="D767" s="303"/>
      <c r="E767" s="303"/>
      <c r="F767" s="303"/>
      <c r="G767" s="303"/>
      <c r="H767" s="303"/>
      <c r="I767" s="303"/>
      <c r="J767" s="303"/>
      <c r="K767" s="303"/>
      <c r="L767" s="303"/>
      <c r="M767" s="236"/>
    </row>
    <row r="768" spans="1:13" x14ac:dyDescent="0.2">
      <c r="A768" s="237"/>
      <c r="B768" s="237"/>
      <c r="C768" s="237"/>
      <c r="D768" s="237"/>
      <c r="E768" s="237"/>
      <c r="F768" s="237"/>
      <c r="G768" s="237"/>
      <c r="H768" s="237"/>
      <c r="I768" s="237"/>
      <c r="J768" s="237"/>
      <c r="K768" s="237"/>
      <c r="L768" s="240"/>
      <c r="M768" s="236"/>
    </row>
    <row r="769" spans="1:13" x14ac:dyDescent="0.2">
      <c r="A769" s="237"/>
      <c r="B769" s="237"/>
      <c r="C769" s="237"/>
      <c r="D769" s="237"/>
      <c r="E769" s="237"/>
      <c r="F769" s="237"/>
      <c r="G769" s="237"/>
      <c r="H769" s="237"/>
      <c r="I769" s="237"/>
      <c r="J769" s="237"/>
      <c r="K769" s="237"/>
      <c r="L769" s="284"/>
      <c r="M769" s="236"/>
    </row>
    <row r="770" spans="1:13" x14ac:dyDescent="0.2">
      <c r="A770" s="258"/>
      <c r="B770" s="241"/>
      <c r="C770" s="241"/>
      <c r="D770" s="241"/>
      <c r="E770" s="241"/>
      <c r="F770" s="241"/>
      <c r="G770" s="241"/>
      <c r="H770" s="241"/>
      <c r="I770" s="241"/>
      <c r="J770" s="241"/>
      <c r="K770" s="241"/>
      <c r="L770" s="236"/>
      <c r="M770" s="236"/>
    </row>
    <row r="771" spans="1:13" x14ac:dyDescent="0.2">
      <c r="A771" s="241"/>
      <c r="B771" s="375"/>
      <c r="C771" s="375"/>
      <c r="D771" s="375"/>
      <c r="E771" s="253"/>
      <c r="F771" s="375"/>
      <c r="G771" s="375"/>
      <c r="H771" s="375"/>
      <c r="I771" s="253"/>
      <c r="J771" s="375"/>
      <c r="K771" s="375"/>
      <c r="L771" s="375"/>
      <c r="M771" s="236"/>
    </row>
    <row r="772" spans="1:13" x14ac:dyDescent="0.2">
      <c r="A772" s="258"/>
      <c r="B772" s="259"/>
      <c r="C772" s="259"/>
      <c r="D772" s="259"/>
      <c r="E772" s="259"/>
      <c r="F772" s="259"/>
      <c r="G772" s="259"/>
      <c r="H772" s="259"/>
      <c r="I772" s="259"/>
      <c r="J772" s="259"/>
      <c r="K772" s="259"/>
      <c r="L772" s="259"/>
      <c r="M772" s="236"/>
    </row>
    <row r="773" spans="1:13" x14ac:dyDescent="0.2">
      <c r="A773" s="258"/>
      <c r="B773" s="259"/>
      <c r="C773" s="259"/>
      <c r="D773" s="259"/>
      <c r="E773" s="259"/>
      <c r="F773" s="259"/>
      <c r="G773" s="259"/>
      <c r="H773" s="259"/>
      <c r="I773" s="259"/>
      <c r="J773" s="259"/>
      <c r="K773" s="259"/>
      <c r="L773" s="259"/>
      <c r="M773" s="236"/>
    </row>
    <row r="774" spans="1:13" x14ac:dyDescent="0.2">
      <c r="A774" s="237"/>
      <c r="B774" s="302"/>
      <c r="C774" s="302"/>
      <c r="D774" s="302"/>
      <c r="E774" s="303"/>
      <c r="F774" s="302"/>
      <c r="G774" s="302"/>
      <c r="H774" s="302"/>
      <c r="I774" s="303"/>
      <c r="J774" s="302"/>
      <c r="K774" s="302"/>
      <c r="L774" s="302"/>
      <c r="M774" s="236"/>
    </row>
    <row r="775" spans="1:13" x14ac:dyDescent="0.2">
      <c r="A775" s="237"/>
      <c r="B775" s="302"/>
      <c r="C775" s="302"/>
      <c r="D775" s="302"/>
      <c r="E775" s="303"/>
      <c r="F775" s="302"/>
      <c r="G775" s="302"/>
      <c r="H775" s="302"/>
      <c r="I775" s="303"/>
      <c r="J775" s="302"/>
      <c r="K775" s="302"/>
      <c r="L775" s="302"/>
      <c r="M775" s="236"/>
    </row>
    <row r="776" spans="1:13" x14ac:dyDescent="0.2">
      <c r="A776" s="237"/>
      <c r="B776" s="302"/>
      <c r="C776" s="302"/>
      <c r="D776" s="302"/>
      <c r="E776" s="303"/>
      <c r="F776" s="302"/>
      <c r="G776" s="302"/>
      <c r="H776" s="302"/>
      <c r="I776" s="303"/>
      <c r="J776" s="302"/>
      <c r="K776" s="302"/>
      <c r="L776" s="302"/>
      <c r="M776" s="236"/>
    </row>
    <row r="777" spans="1:13" x14ac:dyDescent="0.2">
      <c r="A777" s="237"/>
      <c r="B777" s="302"/>
      <c r="C777" s="302"/>
      <c r="D777" s="302"/>
      <c r="E777" s="303"/>
      <c r="F777" s="302"/>
      <c r="G777" s="302"/>
      <c r="H777" s="302"/>
      <c r="I777" s="303"/>
      <c r="J777" s="302"/>
      <c r="K777" s="302"/>
      <c r="L777" s="302"/>
      <c r="M777" s="236"/>
    </row>
    <row r="778" spans="1:13" x14ac:dyDescent="0.2">
      <c r="A778" s="237"/>
      <c r="B778" s="302"/>
      <c r="C778" s="302"/>
      <c r="D778" s="302"/>
      <c r="E778" s="303"/>
      <c r="F778" s="302"/>
      <c r="G778" s="302"/>
      <c r="H778" s="302"/>
      <c r="I778" s="303"/>
      <c r="J778" s="302"/>
      <c r="K778" s="302"/>
      <c r="L778" s="302"/>
      <c r="M778" s="236"/>
    </row>
    <row r="779" spans="1:13" x14ac:dyDescent="0.2">
      <c r="A779" s="237"/>
      <c r="B779" s="302"/>
      <c r="C779" s="302"/>
      <c r="D779" s="302"/>
      <c r="E779" s="303"/>
      <c r="F779" s="302"/>
      <c r="G779" s="302"/>
      <c r="H779" s="302"/>
      <c r="I779" s="303"/>
      <c r="J779" s="302"/>
      <c r="K779" s="302"/>
      <c r="L779" s="302"/>
      <c r="M779" s="236"/>
    </row>
    <row r="780" spans="1:13" x14ac:dyDescent="0.2">
      <c r="A780" s="237"/>
      <c r="B780" s="302"/>
      <c r="C780" s="302"/>
      <c r="D780" s="302"/>
      <c r="E780" s="303"/>
      <c r="F780" s="302"/>
      <c r="G780" s="302"/>
      <c r="H780" s="302"/>
      <c r="I780" s="303"/>
      <c r="J780" s="302"/>
      <c r="K780" s="302"/>
      <c r="L780" s="302"/>
      <c r="M780" s="236"/>
    </row>
    <row r="781" spans="1:13" x14ac:dyDescent="0.2">
      <c r="A781" s="237"/>
      <c r="B781" s="302"/>
      <c r="C781" s="302"/>
      <c r="D781" s="302"/>
      <c r="E781" s="303"/>
      <c r="F781" s="302"/>
      <c r="G781" s="302"/>
      <c r="H781" s="302"/>
      <c r="I781" s="303"/>
      <c r="J781" s="302"/>
      <c r="K781" s="302"/>
      <c r="L781" s="302"/>
      <c r="M781" s="236"/>
    </row>
    <row r="782" spans="1:13" x14ac:dyDescent="0.2">
      <c r="A782" s="237"/>
      <c r="B782" s="302"/>
      <c r="C782" s="302"/>
      <c r="D782" s="302"/>
      <c r="E782" s="303"/>
      <c r="F782" s="302"/>
      <c r="G782" s="302"/>
      <c r="H782" s="302"/>
      <c r="I782" s="303"/>
      <c r="J782" s="302"/>
      <c r="K782" s="302"/>
      <c r="L782" s="302"/>
      <c r="M782" s="236"/>
    </row>
    <row r="783" spans="1:13" x14ac:dyDescent="0.2">
      <c r="A783" s="237"/>
      <c r="B783" s="302"/>
      <c r="C783" s="302"/>
      <c r="D783" s="302"/>
      <c r="E783" s="303"/>
      <c r="F783" s="302"/>
      <c r="G783" s="302"/>
      <c r="H783" s="302"/>
      <c r="I783" s="303"/>
      <c r="J783" s="302"/>
      <c r="K783" s="302"/>
      <c r="L783" s="302"/>
      <c r="M783" s="236"/>
    </row>
    <row r="784" spans="1:13" x14ac:dyDescent="0.2">
      <c r="A784" s="237"/>
      <c r="B784" s="303"/>
      <c r="C784" s="303"/>
      <c r="D784" s="303"/>
      <c r="E784" s="303"/>
      <c r="F784" s="303"/>
      <c r="G784" s="303"/>
      <c r="H784" s="303"/>
      <c r="I784" s="303"/>
      <c r="J784" s="303"/>
      <c r="K784" s="303"/>
      <c r="L784" s="303"/>
      <c r="M784" s="236"/>
    </row>
    <row r="785" spans="1:13" x14ac:dyDescent="0.2">
      <c r="A785" s="237"/>
      <c r="B785" s="237"/>
      <c r="C785" s="237"/>
      <c r="D785" s="237"/>
      <c r="E785" s="237"/>
      <c r="F785" s="237"/>
      <c r="G785" s="237"/>
      <c r="H785" s="237"/>
      <c r="I785" s="237"/>
      <c r="J785" s="237"/>
      <c r="K785" s="237"/>
      <c r="L785" s="240"/>
      <c r="M785" s="236"/>
    </row>
    <row r="786" spans="1:13" x14ac:dyDescent="0.2">
      <c r="A786" s="237"/>
      <c r="B786" s="237"/>
      <c r="C786" s="237"/>
      <c r="D786" s="237"/>
      <c r="E786" s="237"/>
      <c r="F786" s="237"/>
      <c r="G786" s="237"/>
      <c r="H786" s="237"/>
      <c r="I786" s="237"/>
      <c r="J786" s="237"/>
      <c r="K786" s="237"/>
      <c r="L786" s="284"/>
      <c r="M786" s="236"/>
    </row>
    <row r="787" spans="1:13" x14ac:dyDescent="0.2">
      <c r="A787" s="258"/>
      <c r="B787" s="241"/>
      <c r="C787" s="241"/>
      <c r="D787" s="241"/>
      <c r="E787" s="241"/>
      <c r="F787" s="241"/>
      <c r="G787" s="241"/>
      <c r="H787" s="241"/>
      <c r="I787" s="241"/>
      <c r="J787" s="241"/>
      <c r="K787" s="241"/>
      <c r="L787" s="236"/>
      <c r="M787" s="236"/>
    </row>
    <row r="788" spans="1:13" x14ac:dyDescent="0.2">
      <c r="A788" s="241"/>
      <c r="B788" s="375"/>
      <c r="C788" s="375"/>
      <c r="D788" s="375"/>
      <c r="E788" s="253"/>
      <c r="F788" s="375"/>
      <c r="G788" s="375"/>
      <c r="H788" s="375"/>
      <c r="I788" s="253"/>
      <c r="J788" s="375"/>
      <c r="K788" s="375"/>
      <c r="L788" s="375"/>
      <c r="M788" s="236"/>
    </row>
    <row r="789" spans="1:13" x14ac:dyDescent="0.2">
      <c r="A789" s="258"/>
      <c r="B789" s="259"/>
      <c r="C789" s="259"/>
      <c r="D789" s="259"/>
      <c r="E789" s="259"/>
      <c r="F789" s="259"/>
      <c r="G789" s="259"/>
      <c r="H789" s="259"/>
      <c r="I789" s="259"/>
      <c r="J789" s="259"/>
      <c r="K789" s="259"/>
      <c r="L789" s="259"/>
      <c r="M789" s="236"/>
    </row>
    <row r="790" spans="1:13" x14ac:dyDescent="0.2">
      <c r="A790" s="258"/>
      <c r="B790" s="259"/>
      <c r="C790" s="259"/>
      <c r="D790" s="259"/>
      <c r="E790" s="259"/>
      <c r="F790" s="259"/>
      <c r="G790" s="259"/>
      <c r="H790" s="259"/>
      <c r="I790" s="259"/>
      <c r="J790" s="259"/>
      <c r="K790" s="259"/>
      <c r="L790" s="259"/>
      <c r="M790" s="236"/>
    </row>
    <row r="791" spans="1:13" x14ac:dyDescent="0.2">
      <c r="A791" s="237"/>
      <c r="B791" s="302"/>
      <c r="C791" s="302"/>
      <c r="D791" s="302"/>
      <c r="E791" s="303"/>
      <c r="F791" s="302"/>
      <c r="G791" s="302"/>
      <c r="H791" s="302"/>
      <c r="I791" s="303"/>
      <c r="J791" s="302"/>
      <c r="K791" s="302"/>
      <c r="L791" s="302"/>
      <c r="M791" s="236"/>
    </row>
    <row r="792" spans="1:13" x14ac:dyDescent="0.2">
      <c r="A792" s="237"/>
      <c r="B792" s="302"/>
      <c r="C792" s="302"/>
      <c r="D792" s="302"/>
      <c r="E792" s="303"/>
      <c r="F792" s="302"/>
      <c r="G792" s="302"/>
      <c r="H792" s="302"/>
      <c r="I792" s="303"/>
      <c r="J792" s="302"/>
      <c r="K792" s="302"/>
      <c r="L792" s="302"/>
      <c r="M792" s="236"/>
    </row>
    <row r="793" spans="1:13" x14ac:dyDescent="0.2">
      <c r="A793" s="237"/>
      <c r="B793" s="302"/>
      <c r="C793" s="302"/>
      <c r="D793" s="302"/>
      <c r="E793" s="303"/>
      <c r="F793" s="302"/>
      <c r="G793" s="302"/>
      <c r="H793" s="302"/>
      <c r="I793" s="303"/>
      <c r="J793" s="302"/>
      <c r="K793" s="302"/>
      <c r="L793" s="302"/>
      <c r="M793" s="236"/>
    </row>
    <row r="794" spans="1:13" x14ac:dyDescent="0.2">
      <c r="A794" s="237"/>
      <c r="B794" s="302"/>
      <c r="C794" s="302"/>
      <c r="D794" s="302"/>
      <c r="E794" s="303"/>
      <c r="F794" s="302"/>
      <c r="G794" s="302"/>
      <c r="H794" s="302"/>
      <c r="I794" s="303"/>
      <c r="J794" s="302"/>
      <c r="K794" s="302"/>
      <c r="L794" s="302"/>
      <c r="M794" s="236"/>
    </row>
    <row r="795" spans="1:13" x14ac:dyDescent="0.2">
      <c r="A795" s="237"/>
      <c r="B795" s="302"/>
      <c r="C795" s="302"/>
      <c r="D795" s="302"/>
      <c r="E795" s="303"/>
      <c r="F795" s="302"/>
      <c r="G795" s="302"/>
      <c r="H795" s="302"/>
      <c r="I795" s="303"/>
      <c r="J795" s="302"/>
      <c r="K795" s="302"/>
      <c r="L795" s="302"/>
      <c r="M795" s="236"/>
    </row>
    <row r="796" spans="1:13" x14ac:dyDescent="0.2">
      <c r="A796" s="237"/>
      <c r="B796" s="302"/>
      <c r="C796" s="302"/>
      <c r="D796" s="302"/>
      <c r="E796" s="303"/>
      <c r="F796" s="302"/>
      <c r="G796" s="302"/>
      <c r="H796" s="302"/>
      <c r="I796" s="303"/>
      <c r="J796" s="302"/>
      <c r="K796" s="302"/>
      <c r="L796" s="302"/>
      <c r="M796" s="236"/>
    </row>
    <row r="797" spans="1:13" x14ac:dyDescent="0.2">
      <c r="A797" s="237"/>
      <c r="B797" s="302"/>
      <c r="C797" s="302"/>
      <c r="D797" s="302"/>
      <c r="E797" s="303"/>
      <c r="F797" s="302"/>
      <c r="G797" s="302"/>
      <c r="H797" s="302"/>
      <c r="I797" s="303"/>
      <c r="J797" s="302"/>
      <c r="K797" s="302"/>
      <c r="L797" s="302"/>
      <c r="M797" s="236"/>
    </row>
    <row r="798" spans="1:13" x14ac:dyDescent="0.2">
      <c r="A798" s="237"/>
      <c r="B798" s="302"/>
      <c r="C798" s="302"/>
      <c r="D798" s="302"/>
      <c r="E798" s="303"/>
      <c r="F798" s="302"/>
      <c r="G798" s="302"/>
      <c r="H798" s="302"/>
      <c r="I798" s="303"/>
      <c r="J798" s="302"/>
      <c r="K798" s="302"/>
      <c r="L798" s="302"/>
      <c r="M798" s="236"/>
    </row>
    <row r="799" spans="1:13" x14ac:dyDescent="0.2">
      <c r="A799" s="237"/>
      <c r="B799" s="302"/>
      <c r="C799" s="302"/>
      <c r="D799" s="302"/>
      <c r="E799" s="303"/>
      <c r="F799" s="302"/>
      <c r="G799" s="302"/>
      <c r="H799" s="302"/>
      <c r="I799" s="303"/>
      <c r="J799" s="302"/>
      <c r="K799" s="302"/>
      <c r="L799" s="302"/>
      <c r="M799" s="236"/>
    </row>
    <row r="800" spans="1:13" x14ac:dyDescent="0.2">
      <c r="A800" s="237"/>
      <c r="B800" s="302"/>
      <c r="C800" s="302"/>
      <c r="D800" s="302"/>
      <c r="E800" s="303"/>
      <c r="F800" s="302"/>
      <c r="G800" s="302"/>
      <c r="H800" s="302"/>
      <c r="I800" s="303"/>
      <c r="J800" s="302"/>
      <c r="K800" s="302"/>
      <c r="L800" s="302"/>
      <c r="M800" s="236"/>
    </row>
    <row r="801" spans="1:13" x14ac:dyDescent="0.2">
      <c r="A801" s="237"/>
      <c r="B801" s="303"/>
      <c r="C801" s="303"/>
      <c r="D801" s="303"/>
      <c r="E801" s="303"/>
      <c r="F801" s="303"/>
      <c r="G801" s="303"/>
      <c r="H801" s="303"/>
      <c r="I801" s="303"/>
      <c r="J801" s="303"/>
      <c r="K801" s="303"/>
      <c r="L801" s="303"/>
      <c r="M801" s="236"/>
    </row>
    <row r="802" spans="1:13" x14ac:dyDescent="0.2">
      <c r="A802" s="237"/>
      <c r="B802" s="237"/>
      <c r="C802" s="237"/>
      <c r="D802" s="237"/>
      <c r="E802" s="237"/>
      <c r="F802" s="237"/>
      <c r="G802" s="237"/>
      <c r="H802" s="237"/>
      <c r="I802" s="237"/>
      <c r="J802" s="237"/>
      <c r="K802" s="237"/>
      <c r="L802" s="240"/>
      <c r="M802" s="236"/>
    </row>
    <row r="803" spans="1:13" x14ac:dyDescent="0.2">
      <c r="A803" s="237"/>
      <c r="B803" s="237"/>
      <c r="C803" s="237"/>
      <c r="D803" s="237"/>
      <c r="E803" s="237"/>
      <c r="F803" s="237"/>
      <c r="G803" s="237"/>
      <c r="H803" s="237"/>
      <c r="I803" s="237"/>
      <c r="J803" s="237"/>
      <c r="K803" s="237"/>
      <c r="L803" s="284"/>
      <c r="M803" s="236"/>
    </row>
    <row r="804" spans="1:13" x14ac:dyDescent="0.2">
      <c r="A804" s="258"/>
      <c r="B804" s="241"/>
      <c r="C804" s="241"/>
      <c r="D804" s="241"/>
      <c r="E804" s="241"/>
      <c r="F804" s="241"/>
      <c r="G804" s="241"/>
      <c r="H804" s="241"/>
      <c r="I804" s="241"/>
      <c r="J804" s="241"/>
      <c r="K804" s="241"/>
      <c r="L804" s="236"/>
      <c r="M804" s="236"/>
    </row>
    <row r="805" spans="1:13" x14ac:dyDescent="0.2">
      <c r="A805" s="241"/>
      <c r="B805" s="375"/>
      <c r="C805" s="375"/>
      <c r="D805" s="375"/>
      <c r="E805" s="253"/>
      <c r="F805" s="375"/>
      <c r="G805" s="375"/>
      <c r="H805" s="375"/>
      <c r="I805" s="253"/>
      <c r="J805" s="375"/>
      <c r="K805" s="375"/>
      <c r="L805" s="375"/>
      <c r="M805" s="236"/>
    </row>
    <row r="806" spans="1:13" x14ac:dyDescent="0.2">
      <c r="A806" s="258"/>
      <c r="B806" s="259"/>
      <c r="C806" s="259"/>
      <c r="D806" s="259"/>
      <c r="E806" s="259"/>
      <c r="F806" s="259"/>
      <c r="G806" s="259"/>
      <c r="H806" s="259"/>
      <c r="I806" s="259"/>
      <c r="J806" s="259"/>
      <c r="K806" s="259"/>
      <c r="L806" s="259"/>
      <c r="M806" s="236"/>
    </row>
    <row r="807" spans="1:13" x14ac:dyDescent="0.2">
      <c r="A807" s="258"/>
      <c r="B807" s="259"/>
      <c r="C807" s="259"/>
      <c r="D807" s="259"/>
      <c r="E807" s="259"/>
      <c r="F807" s="259"/>
      <c r="G807" s="259"/>
      <c r="H807" s="259"/>
      <c r="I807" s="259"/>
      <c r="J807" s="259"/>
      <c r="K807" s="259"/>
      <c r="L807" s="259"/>
      <c r="M807" s="236"/>
    </row>
    <row r="808" spans="1:13" x14ac:dyDescent="0.2">
      <c r="A808" s="237"/>
      <c r="B808" s="302"/>
      <c r="C808" s="302"/>
      <c r="D808" s="302"/>
      <c r="E808" s="303"/>
      <c r="F808" s="302"/>
      <c r="G808" s="302"/>
      <c r="H808" s="302"/>
      <c r="I808" s="303"/>
      <c r="J808" s="302"/>
      <c r="K808" s="302"/>
      <c r="L808" s="302"/>
      <c r="M808" s="236"/>
    </row>
    <row r="809" spans="1:13" x14ac:dyDescent="0.2">
      <c r="A809" s="237"/>
      <c r="B809" s="302"/>
      <c r="C809" s="302"/>
      <c r="D809" s="302"/>
      <c r="E809" s="303"/>
      <c r="F809" s="302"/>
      <c r="G809" s="302"/>
      <c r="H809" s="302"/>
      <c r="I809" s="303"/>
      <c r="J809" s="302"/>
      <c r="K809" s="302"/>
      <c r="L809" s="302"/>
      <c r="M809" s="236"/>
    </row>
    <row r="810" spans="1:13" x14ac:dyDescent="0.2">
      <c r="A810" s="237"/>
      <c r="B810" s="302"/>
      <c r="C810" s="302"/>
      <c r="D810" s="302"/>
      <c r="E810" s="303"/>
      <c r="F810" s="302"/>
      <c r="G810" s="302"/>
      <c r="H810" s="302"/>
      <c r="I810" s="303"/>
      <c r="J810" s="302"/>
      <c r="K810" s="302"/>
      <c r="L810" s="302"/>
      <c r="M810" s="236"/>
    </row>
    <row r="811" spans="1:13" x14ac:dyDescent="0.2">
      <c r="A811" s="237"/>
      <c r="B811" s="302"/>
      <c r="C811" s="302"/>
      <c r="D811" s="302"/>
      <c r="E811" s="303"/>
      <c r="F811" s="302"/>
      <c r="G811" s="302"/>
      <c r="H811" s="302"/>
      <c r="I811" s="303"/>
      <c r="J811" s="302"/>
      <c r="K811" s="302"/>
      <c r="L811" s="302"/>
      <c r="M811" s="236"/>
    </row>
    <row r="812" spans="1:13" x14ac:dyDescent="0.2">
      <c r="A812" s="237"/>
      <c r="B812" s="302"/>
      <c r="C812" s="302"/>
      <c r="D812" s="302"/>
      <c r="E812" s="303"/>
      <c r="F812" s="302"/>
      <c r="G812" s="302"/>
      <c r="H812" s="302"/>
      <c r="I812" s="303"/>
      <c r="J812" s="302"/>
      <c r="K812" s="302"/>
      <c r="L812" s="302"/>
      <c r="M812" s="236"/>
    </row>
    <row r="813" spans="1:13" x14ac:dyDescent="0.2">
      <c r="A813" s="237"/>
      <c r="B813" s="302"/>
      <c r="C813" s="302"/>
      <c r="D813" s="302"/>
      <c r="E813" s="303"/>
      <c r="F813" s="302"/>
      <c r="G813" s="302"/>
      <c r="H813" s="302"/>
      <c r="I813" s="303"/>
      <c r="J813" s="302"/>
      <c r="K813" s="302"/>
      <c r="L813" s="302"/>
      <c r="M813" s="236"/>
    </row>
    <row r="814" spans="1:13" x14ac:dyDescent="0.2">
      <c r="A814" s="237"/>
      <c r="B814" s="302"/>
      <c r="C814" s="302"/>
      <c r="D814" s="302"/>
      <c r="E814" s="303"/>
      <c r="F814" s="302"/>
      <c r="G814" s="302"/>
      <c r="H814" s="302"/>
      <c r="I814" s="303"/>
      <c r="J814" s="302"/>
      <c r="K814" s="302"/>
      <c r="L814" s="302"/>
      <c r="M814" s="236"/>
    </row>
    <row r="815" spans="1:13" x14ac:dyDescent="0.2">
      <c r="A815" s="237"/>
      <c r="B815" s="302"/>
      <c r="C815" s="302"/>
      <c r="D815" s="302"/>
      <c r="E815" s="303"/>
      <c r="F815" s="302"/>
      <c r="G815" s="302"/>
      <c r="H815" s="302"/>
      <c r="I815" s="303"/>
      <c r="J815" s="302"/>
      <c r="K815" s="302"/>
      <c r="L815" s="302"/>
      <c r="M815" s="236"/>
    </row>
    <row r="816" spans="1:13" x14ac:dyDescent="0.2">
      <c r="A816" s="237"/>
      <c r="B816" s="302"/>
      <c r="C816" s="302"/>
      <c r="D816" s="302"/>
      <c r="E816" s="303"/>
      <c r="F816" s="302"/>
      <c r="G816" s="302"/>
      <c r="H816" s="302"/>
      <c r="I816" s="303"/>
      <c r="J816" s="302"/>
      <c r="K816" s="302"/>
      <c r="L816" s="302"/>
      <c r="M816" s="236"/>
    </row>
    <row r="817" spans="1:13" x14ac:dyDescent="0.2">
      <c r="A817" s="237"/>
      <c r="B817" s="302"/>
      <c r="C817" s="302"/>
      <c r="D817" s="302"/>
      <c r="E817" s="303"/>
      <c r="F817" s="302"/>
      <c r="G817" s="302"/>
      <c r="H817" s="302"/>
      <c r="I817" s="303"/>
      <c r="J817" s="302"/>
      <c r="K817" s="302"/>
      <c r="L817" s="302"/>
      <c r="M817" s="236"/>
    </row>
    <row r="818" spans="1:13" x14ac:dyDescent="0.2">
      <c r="A818" s="237"/>
      <c r="B818" s="303"/>
      <c r="C818" s="303"/>
      <c r="D818" s="303"/>
      <c r="E818" s="303"/>
      <c r="F818" s="303"/>
      <c r="G818" s="303"/>
      <c r="H818" s="303"/>
      <c r="I818" s="303"/>
      <c r="J818" s="303"/>
      <c r="K818" s="303"/>
      <c r="L818" s="303"/>
      <c r="M818" s="236"/>
    </row>
    <row r="819" spans="1:13" x14ac:dyDescent="0.2">
      <c r="A819" s="237"/>
      <c r="B819" s="237"/>
      <c r="C819" s="237"/>
      <c r="D819" s="237"/>
      <c r="E819" s="237"/>
      <c r="F819" s="237"/>
      <c r="G819" s="237"/>
      <c r="H819" s="237"/>
      <c r="I819" s="237"/>
      <c r="J819" s="237"/>
      <c r="K819" s="237"/>
      <c r="L819" s="240"/>
      <c r="M819" s="236"/>
    </row>
    <row r="820" spans="1:13" x14ac:dyDescent="0.2">
      <c r="A820" s="237"/>
      <c r="B820" s="237"/>
      <c r="C820" s="237"/>
      <c r="D820" s="237"/>
      <c r="E820" s="237"/>
      <c r="F820" s="237"/>
      <c r="G820" s="237"/>
      <c r="H820" s="237"/>
      <c r="I820" s="237"/>
      <c r="J820" s="237"/>
      <c r="K820" s="237"/>
      <c r="L820" s="284"/>
      <c r="M820" s="236"/>
    </row>
    <row r="821" spans="1:13" x14ac:dyDescent="0.2">
      <c r="A821" s="258"/>
      <c r="B821" s="241"/>
      <c r="C821" s="241"/>
      <c r="D821" s="241"/>
      <c r="E821" s="241"/>
      <c r="F821" s="241"/>
      <c r="G821" s="241"/>
      <c r="H821" s="241"/>
      <c r="I821" s="241"/>
      <c r="J821" s="241"/>
      <c r="K821" s="241"/>
      <c r="L821" s="236"/>
      <c r="M821" s="236"/>
    </row>
    <row r="822" spans="1:13" x14ac:dyDescent="0.2">
      <c r="A822" s="241"/>
      <c r="B822" s="375"/>
      <c r="C822" s="375"/>
      <c r="D822" s="375"/>
      <c r="E822" s="253"/>
      <c r="F822" s="375"/>
      <c r="G822" s="375"/>
      <c r="H822" s="375"/>
      <c r="I822" s="253"/>
      <c r="J822" s="375"/>
      <c r="K822" s="375"/>
      <c r="L822" s="375"/>
      <c r="M822" s="236"/>
    </row>
    <row r="823" spans="1:13" x14ac:dyDescent="0.2">
      <c r="A823" s="258"/>
      <c r="B823" s="259"/>
      <c r="C823" s="259"/>
      <c r="D823" s="259"/>
      <c r="E823" s="259"/>
      <c r="F823" s="259"/>
      <c r="G823" s="259"/>
      <c r="H823" s="259"/>
      <c r="I823" s="259"/>
      <c r="J823" s="259"/>
      <c r="K823" s="259"/>
      <c r="L823" s="259"/>
      <c r="M823" s="236"/>
    </row>
    <row r="824" spans="1:13" x14ac:dyDescent="0.2">
      <c r="A824" s="258"/>
      <c r="B824" s="259"/>
      <c r="C824" s="259"/>
      <c r="D824" s="259"/>
      <c r="E824" s="259"/>
      <c r="F824" s="259"/>
      <c r="G824" s="259"/>
      <c r="H824" s="259"/>
      <c r="I824" s="259"/>
      <c r="J824" s="259"/>
      <c r="K824" s="259"/>
      <c r="L824" s="259"/>
      <c r="M824" s="236"/>
    </row>
    <row r="825" spans="1:13" x14ac:dyDescent="0.2">
      <c r="A825" s="237"/>
      <c r="B825" s="302"/>
      <c r="C825" s="302"/>
      <c r="D825" s="302"/>
      <c r="E825" s="303"/>
      <c r="F825" s="302"/>
      <c r="G825" s="302"/>
      <c r="H825" s="302"/>
      <c r="I825" s="303"/>
      <c r="J825" s="302"/>
      <c r="K825" s="302"/>
      <c r="L825" s="302"/>
      <c r="M825" s="236"/>
    </row>
    <row r="826" spans="1:13" x14ac:dyDescent="0.2">
      <c r="A826" s="237"/>
      <c r="B826" s="302"/>
      <c r="C826" s="302"/>
      <c r="D826" s="302"/>
      <c r="E826" s="303"/>
      <c r="F826" s="302"/>
      <c r="G826" s="302"/>
      <c r="H826" s="302"/>
      <c r="I826" s="303"/>
      <c r="J826" s="302"/>
      <c r="K826" s="302"/>
      <c r="L826" s="302"/>
      <c r="M826" s="236"/>
    </row>
    <row r="827" spans="1:13" x14ac:dyDescent="0.2">
      <c r="A827" s="237"/>
      <c r="B827" s="302"/>
      <c r="C827" s="302"/>
      <c r="D827" s="302"/>
      <c r="E827" s="303"/>
      <c r="F827" s="302"/>
      <c r="G827" s="302"/>
      <c r="H827" s="302"/>
      <c r="I827" s="303"/>
      <c r="J827" s="302"/>
      <c r="K827" s="302"/>
      <c r="L827" s="302"/>
      <c r="M827" s="236"/>
    </row>
    <row r="828" spans="1:13" x14ac:dyDescent="0.2">
      <c r="A828" s="237"/>
      <c r="B828" s="302"/>
      <c r="C828" s="302"/>
      <c r="D828" s="302"/>
      <c r="E828" s="303"/>
      <c r="F828" s="302"/>
      <c r="G828" s="302"/>
      <c r="H828" s="302"/>
      <c r="I828" s="303"/>
      <c r="J828" s="302"/>
      <c r="K828" s="302"/>
      <c r="L828" s="302"/>
      <c r="M828" s="236"/>
    </row>
    <row r="829" spans="1:13" x14ac:dyDescent="0.2">
      <c r="A829" s="237"/>
      <c r="B829" s="302"/>
      <c r="C829" s="302"/>
      <c r="D829" s="302"/>
      <c r="E829" s="303"/>
      <c r="F829" s="302"/>
      <c r="G829" s="302"/>
      <c r="H829" s="302"/>
      <c r="I829" s="303"/>
      <c r="J829" s="302"/>
      <c r="K829" s="302"/>
      <c r="L829" s="302"/>
      <c r="M829" s="236"/>
    </row>
    <row r="830" spans="1:13" x14ac:dyDescent="0.2">
      <c r="A830" s="237"/>
      <c r="B830" s="302"/>
      <c r="C830" s="302"/>
      <c r="D830" s="302"/>
      <c r="E830" s="303"/>
      <c r="F830" s="302"/>
      <c r="G830" s="302"/>
      <c r="H830" s="302"/>
      <c r="I830" s="303"/>
      <c r="J830" s="302"/>
      <c r="K830" s="302"/>
      <c r="L830" s="302"/>
      <c r="M830" s="236"/>
    </row>
    <row r="831" spans="1:13" x14ac:dyDescent="0.2">
      <c r="A831" s="237"/>
      <c r="B831" s="302"/>
      <c r="C831" s="302"/>
      <c r="D831" s="302"/>
      <c r="E831" s="303"/>
      <c r="F831" s="302"/>
      <c r="G831" s="302"/>
      <c r="H831" s="302"/>
      <c r="I831" s="303"/>
      <c r="J831" s="302"/>
      <c r="K831" s="302"/>
      <c r="L831" s="302"/>
      <c r="M831" s="236"/>
    </row>
    <row r="832" spans="1:13" x14ac:dyDescent="0.2">
      <c r="A832" s="237"/>
      <c r="B832" s="302"/>
      <c r="C832" s="302"/>
      <c r="D832" s="302"/>
      <c r="E832" s="303"/>
      <c r="F832" s="302"/>
      <c r="G832" s="302"/>
      <c r="H832" s="302"/>
      <c r="I832" s="303"/>
      <c r="J832" s="302"/>
      <c r="K832" s="302"/>
      <c r="L832" s="302"/>
      <c r="M832" s="236"/>
    </row>
    <row r="833" spans="1:13" x14ac:dyDescent="0.2">
      <c r="A833" s="237"/>
      <c r="B833" s="302"/>
      <c r="C833" s="302"/>
      <c r="D833" s="302"/>
      <c r="E833" s="303"/>
      <c r="F833" s="302"/>
      <c r="G833" s="302"/>
      <c r="H833" s="302"/>
      <c r="I833" s="303"/>
      <c r="J833" s="302"/>
      <c r="K833" s="302"/>
      <c r="L833" s="302"/>
      <c r="M833" s="236"/>
    </row>
    <row r="834" spans="1:13" x14ac:dyDescent="0.2">
      <c r="A834" s="237"/>
      <c r="B834" s="302"/>
      <c r="C834" s="302"/>
      <c r="D834" s="302"/>
      <c r="E834" s="303"/>
      <c r="F834" s="302"/>
      <c r="G834" s="302"/>
      <c r="H834" s="302"/>
      <c r="I834" s="303"/>
      <c r="J834" s="302"/>
      <c r="K834" s="302"/>
      <c r="L834" s="302"/>
      <c r="M834" s="236"/>
    </row>
    <row r="835" spans="1:13" x14ac:dyDescent="0.2">
      <c r="A835" s="237"/>
      <c r="B835" s="303"/>
      <c r="C835" s="303"/>
      <c r="D835" s="303"/>
      <c r="E835" s="303"/>
      <c r="F835" s="303"/>
      <c r="G835" s="303"/>
      <c r="H835" s="303"/>
      <c r="I835" s="303"/>
      <c r="J835" s="303"/>
      <c r="K835" s="303"/>
      <c r="L835" s="303"/>
      <c r="M835" s="236"/>
    </row>
    <row r="836" spans="1:13" x14ac:dyDescent="0.2">
      <c r="A836" s="237"/>
      <c r="B836" s="237"/>
      <c r="C836" s="237"/>
      <c r="D836" s="237"/>
      <c r="E836" s="237"/>
      <c r="F836" s="237"/>
      <c r="G836" s="237"/>
      <c r="H836" s="237"/>
      <c r="I836" s="237"/>
      <c r="J836" s="237"/>
      <c r="K836" s="237"/>
      <c r="L836" s="240"/>
      <c r="M836" s="236"/>
    </row>
    <row r="837" spans="1:13" x14ac:dyDescent="0.2">
      <c r="A837" s="237"/>
      <c r="B837" s="237"/>
      <c r="C837" s="237"/>
      <c r="D837" s="237"/>
      <c r="E837" s="237"/>
      <c r="F837" s="237"/>
      <c r="G837" s="237"/>
      <c r="H837" s="237"/>
      <c r="I837" s="237"/>
      <c r="J837" s="237"/>
      <c r="K837" s="237"/>
      <c r="L837" s="284"/>
      <c r="M837" s="236"/>
    </row>
    <row r="838" spans="1:13" x14ac:dyDescent="0.2">
      <c r="A838" s="258"/>
      <c r="B838" s="241"/>
      <c r="C838" s="241"/>
      <c r="D838" s="241"/>
      <c r="E838" s="241"/>
      <c r="F838" s="241"/>
      <c r="G838" s="241"/>
      <c r="H838" s="241"/>
      <c r="I838" s="241"/>
      <c r="J838" s="241"/>
      <c r="K838" s="241"/>
      <c r="L838" s="236"/>
      <c r="M838" s="236"/>
    </row>
    <row r="839" spans="1:13" x14ac:dyDescent="0.2">
      <c r="A839" s="241"/>
      <c r="B839" s="375"/>
      <c r="C839" s="375"/>
      <c r="D839" s="375"/>
      <c r="E839" s="253"/>
      <c r="F839" s="375"/>
      <c r="G839" s="375"/>
      <c r="H839" s="375"/>
      <c r="I839" s="253"/>
      <c r="J839" s="375"/>
      <c r="K839" s="375"/>
      <c r="L839" s="375"/>
      <c r="M839" s="236"/>
    </row>
    <row r="840" spans="1:13" x14ac:dyDescent="0.2">
      <c r="A840" s="258"/>
      <c r="B840" s="259"/>
      <c r="C840" s="259"/>
      <c r="D840" s="259"/>
      <c r="E840" s="259"/>
      <c r="F840" s="259"/>
      <c r="G840" s="259"/>
      <c r="H840" s="259"/>
      <c r="I840" s="259"/>
      <c r="J840" s="259"/>
      <c r="K840" s="259"/>
      <c r="L840" s="259"/>
      <c r="M840" s="236"/>
    </row>
    <row r="841" spans="1:13" x14ac:dyDescent="0.2">
      <c r="A841" s="258"/>
      <c r="B841" s="259"/>
      <c r="C841" s="259"/>
      <c r="D841" s="259"/>
      <c r="E841" s="259"/>
      <c r="F841" s="259"/>
      <c r="G841" s="259"/>
      <c r="H841" s="259"/>
      <c r="I841" s="259"/>
      <c r="J841" s="259"/>
      <c r="K841" s="259"/>
      <c r="L841" s="259"/>
      <c r="M841" s="236"/>
    </row>
    <row r="842" spans="1:13" x14ac:dyDescent="0.2">
      <c r="A842" s="237"/>
      <c r="B842" s="302"/>
      <c r="C842" s="302"/>
      <c r="D842" s="302"/>
      <c r="E842" s="303"/>
      <c r="F842" s="302"/>
      <c r="G842" s="302"/>
      <c r="H842" s="302"/>
      <c r="I842" s="303"/>
      <c r="J842" s="302"/>
      <c r="K842" s="302"/>
      <c r="L842" s="302"/>
      <c r="M842" s="236"/>
    </row>
    <row r="843" spans="1:13" x14ac:dyDescent="0.2">
      <c r="A843" s="237"/>
      <c r="B843" s="302"/>
      <c r="C843" s="302"/>
      <c r="D843" s="302"/>
      <c r="E843" s="303"/>
      <c r="F843" s="302"/>
      <c r="G843" s="302"/>
      <c r="H843" s="302"/>
      <c r="I843" s="303"/>
      <c r="J843" s="302"/>
      <c r="K843" s="302"/>
      <c r="L843" s="302"/>
      <c r="M843" s="236"/>
    </row>
    <row r="844" spans="1:13" x14ac:dyDescent="0.2">
      <c r="A844" s="237"/>
      <c r="B844" s="302"/>
      <c r="C844" s="302"/>
      <c r="D844" s="302"/>
      <c r="E844" s="303"/>
      <c r="F844" s="302"/>
      <c r="G844" s="302"/>
      <c r="H844" s="302"/>
      <c r="I844" s="303"/>
      <c r="J844" s="302"/>
      <c r="K844" s="302"/>
      <c r="L844" s="302"/>
      <c r="M844" s="236"/>
    </row>
    <row r="845" spans="1:13" x14ac:dyDescent="0.2">
      <c r="A845" s="237"/>
      <c r="B845" s="302"/>
      <c r="C845" s="302"/>
      <c r="D845" s="302"/>
      <c r="E845" s="303"/>
      <c r="F845" s="302"/>
      <c r="G845" s="302"/>
      <c r="H845" s="302"/>
      <c r="I845" s="303"/>
      <c r="J845" s="302"/>
      <c r="K845" s="302"/>
      <c r="L845" s="302"/>
      <c r="M845" s="236"/>
    </row>
    <row r="846" spans="1:13" x14ac:dyDescent="0.2">
      <c r="A846" s="237"/>
      <c r="B846" s="302"/>
      <c r="C846" s="302"/>
      <c r="D846" s="302"/>
      <c r="E846" s="303"/>
      <c r="F846" s="302"/>
      <c r="G846" s="302"/>
      <c r="H846" s="302"/>
      <c r="I846" s="303"/>
      <c r="J846" s="302"/>
      <c r="K846" s="302"/>
      <c r="L846" s="302"/>
      <c r="M846" s="236"/>
    </row>
    <row r="847" spans="1:13" x14ac:dyDescent="0.2">
      <c r="A847" s="237"/>
      <c r="B847" s="302"/>
      <c r="C847" s="302"/>
      <c r="D847" s="302"/>
      <c r="E847" s="303"/>
      <c r="F847" s="302"/>
      <c r="G847" s="302"/>
      <c r="H847" s="302"/>
      <c r="I847" s="303"/>
      <c r="J847" s="302"/>
      <c r="K847" s="302"/>
      <c r="L847" s="302"/>
      <c r="M847" s="236"/>
    </row>
    <row r="848" spans="1:13" x14ac:dyDescent="0.2">
      <c r="A848" s="237"/>
      <c r="B848" s="302"/>
      <c r="C848" s="302"/>
      <c r="D848" s="302"/>
      <c r="E848" s="303"/>
      <c r="F848" s="302"/>
      <c r="G848" s="302"/>
      <c r="H848" s="302"/>
      <c r="I848" s="303"/>
      <c r="J848" s="302"/>
      <c r="K848" s="302"/>
      <c r="L848" s="302"/>
      <c r="M848" s="236"/>
    </row>
    <row r="849" spans="1:13" x14ac:dyDescent="0.2">
      <c r="A849" s="237"/>
      <c r="B849" s="302"/>
      <c r="C849" s="302"/>
      <c r="D849" s="302"/>
      <c r="E849" s="303"/>
      <c r="F849" s="302"/>
      <c r="G849" s="302"/>
      <c r="H849" s="302"/>
      <c r="I849" s="303"/>
      <c r="J849" s="302"/>
      <c r="K849" s="302"/>
      <c r="L849" s="302"/>
      <c r="M849" s="236"/>
    </row>
    <row r="850" spans="1:13" x14ac:dyDescent="0.2">
      <c r="A850" s="237"/>
      <c r="B850" s="302"/>
      <c r="C850" s="302"/>
      <c r="D850" s="302"/>
      <c r="E850" s="303"/>
      <c r="F850" s="302"/>
      <c r="G850" s="302"/>
      <c r="H850" s="302"/>
      <c r="I850" s="303"/>
      <c r="J850" s="302"/>
      <c r="K850" s="302"/>
      <c r="L850" s="302"/>
      <c r="M850" s="236"/>
    </row>
    <row r="851" spans="1:13" x14ac:dyDescent="0.2">
      <c r="A851" s="237"/>
      <c r="B851" s="302"/>
      <c r="C851" s="302"/>
      <c r="D851" s="302"/>
      <c r="E851" s="303"/>
      <c r="F851" s="302"/>
      <c r="G851" s="302"/>
      <c r="H851" s="302"/>
      <c r="I851" s="303"/>
      <c r="J851" s="302"/>
      <c r="K851" s="302"/>
      <c r="L851" s="302"/>
      <c r="M851" s="236"/>
    </row>
    <row r="852" spans="1:13" x14ac:dyDescent="0.2">
      <c r="A852" s="237"/>
      <c r="B852" s="303"/>
      <c r="C852" s="303"/>
      <c r="D852" s="303"/>
      <c r="E852" s="303"/>
      <c r="F852" s="303"/>
      <c r="G852" s="303"/>
      <c r="H852" s="303"/>
      <c r="I852" s="303"/>
      <c r="J852" s="303"/>
      <c r="K852" s="303"/>
      <c r="L852" s="303"/>
      <c r="M852" s="236"/>
    </row>
    <row r="853" spans="1:13" x14ac:dyDescent="0.2">
      <c r="A853" s="237"/>
      <c r="B853" s="237"/>
      <c r="C853" s="237"/>
      <c r="D853" s="237"/>
      <c r="E853" s="237"/>
      <c r="F853" s="237"/>
      <c r="G853" s="237"/>
      <c r="H853" s="237"/>
      <c r="I853" s="237"/>
      <c r="J853" s="237"/>
      <c r="K853" s="237"/>
      <c r="L853" s="240"/>
      <c r="M853" s="236"/>
    </row>
    <row r="854" spans="1:13" x14ac:dyDescent="0.2">
      <c r="A854" s="237"/>
      <c r="B854" s="237"/>
      <c r="C854" s="237"/>
      <c r="D854" s="237"/>
      <c r="E854" s="237"/>
      <c r="F854" s="237"/>
      <c r="G854" s="237"/>
      <c r="H854" s="237"/>
      <c r="I854" s="237"/>
      <c r="J854" s="237"/>
      <c r="K854" s="237"/>
      <c r="L854" s="284"/>
      <c r="M854" s="236"/>
    </row>
    <row r="855" spans="1:13" x14ac:dyDescent="0.2">
      <c r="A855" s="258"/>
      <c r="B855" s="241"/>
      <c r="C855" s="241"/>
      <c r="D855" s="241"/>
      <c r="E855" s="241"/>
      <c r="F855" s="241"/>
      <c r="G855" s="241"/>
      <c r="H855" s="241"/>
      <c r="I855" s="241"/>
      <c r="J855" s="241"/>
      <c r="K855" s="241"/>
      <c r="L855" s="236"/>
      <c r="M855" s="236"/>
    </row>
    <row r="856" spans="1:13" x14ac:dyDescent="0.2">
      <c r="A856" s="241"/>
      <c r="B856" s="375"/>
      <c r="C856" s="375"/>
      <c r="D856" s="375"/>
      <c r="E856" s="253"/>
      <c r="F856" s="375"/>
      <c r="G856" s="375"/>
      <c r="H856" s="375"/>
      <c r="I856" s="253"/>
      <c r="J856" s="375"/>
      <c r="K856" s="375"/>
      <c r="L856" s="375"/>
      <c r="M856" s="236"/>
    </row>
    <row r="857" spans="1:13" x14ac:dyDescent="0.2">
      <c r="A857" s="258"/>
      <c r="B857" s="259"/>
      <c r="C857" s="259"/>
      <c r="D857" s="259"/>
      <c r="E857" s="259"/>
      <c r="F857" s="259"/>
      <c r="G857" s="259"/>
      <c r="H857" s="259"/>
      <c r="I857" s="259"/>
      <c r="J857" s="259"/>
      <c r="K857" s="259"/>
      <c r="L857" s="259"/>
      <c r="M857" s="236"/>
    </row>
    <row r="858" spans="1:13" x14ac:dyDescent="0.2">
      <c r="A858" s="258"/>
      <c r="B858" s="259"/>
      <c r="C858" s="259"/>
      <c r="D858" s="259"/>
      <c r="E858" s="259"/>
      <c r="F858" s="259"/>
      <c r="G858" s="259"/>
      <c r="H858" s="259"/>
      <c r="I858" s="259"/>
      <c r="J858" s="259"/>
      <c r="K858" s="259"/>
      <c r="L858" s="259"/>
      <c r="M858" s="236"/>
    </row>
    <row r="859" spans="1:13" x14ac:dyDescent="0.2">
      <c r="A859" s="237"/>
      <c r="B859" s="302"/>
      <c r="C859" s="302"/>
      <c r="D859" s="302"/>
      <c r="E859" s="303"/>
      <c r="F859" s="302"/>
      <c r="G859" s="302"/>
      <c r="H859" s="302"/>
      <c r="I859" s="303"/>
      <c r="J859" s="302"/>
      <c r="K859" s="302"/>
      <c r="L859" s="302"/>
      <c r="M859" s="236"/>
    </row>
    <row r="860" spans="1:13" x14ac:dyDescent="0.2">
      <c r="A860" s="237"/>
      <c r="B860" s="302"/>
      <c r="C860" s="302"/>
      <c r="D860" s="302"/>
      <c r="E860" s="303"/>
      <c r="F860" s="302"/>
      <c r="G860" s="302"/>
      <c r="H860" s="302"/>
      <c r="I860" s="303"/>
      <c r="J860" s="302"/>
      <c r="K860" s="302"/>
      <c r="L860" s="302"/>
      <c r="M860" s="236"/>
    </row>
    <row r="861" spans="1:13" x14ac:dyDescent="0.2">
      <c r="A861" s="237"/>
      <c r="B861" s="302"/>
      <c r="C861" s="302"/>
      <c r="D861" s="302"/>
      <c r="E861" s="303"/>
      <c r="F861" s="302"/>
      <c r="G861" s="302"/>
      <c r="H861" s="302"/>
      <c r="I861" s="303"/>
      <c r="J861" s="302"/>
      <c r="K861" s="302"/>
      <c r="L861" s="302"/>
      <c r="M861" s="236"/>
    </row>
    <row r="862" spans="1:13" x14ac:dyDescent="0.2">
      <c r="A862" s="237"/>
      <c r="B862" s="302"/>
      <c r="C862" s="302"/>
      <c r="D862" s="302"/>
      <c r="E862" s="303"/>
      <c r="F862" s="302"/>
      <c r="G862" s="302"/>
      <c r="H862" s="302"/>
      <c r="I862" s="303"/>
      <c r="J862" s="302"/>
      <c r="K862" s="302"/>
      <c r="L862" s="302"/>
      <c r="M862" s="236"/>
    </row>
    <row r="863" spans="1:13" x14ac:dyDescent="0.2">
      <c r="A863" s="237"/>
      <c r="B863" s="302"/>
      <c r="C863" s="302"/>
      <c r="D863" s="302"/>
      <c r="E863" s="303"/>
      <c r="F863" s="302"/>
      <c r="G863" s="302"/>
      <c r="H863" s="302"/>
      <c r="I863" s="303"/>
      <c r="J863" s="302"/>
      <c r="K863" s="302"/>
      <c r="L863" s="302"/>
      <c r="M863" s="236"/>
    </row>
    <row r="864" spans="1:13" x14ac:dyDescent="0.2">
      <c r="A864" s="237"/>
      <c r="B864" s="302"/>
      <c r="C864" s="302"/>
      <c r="D864" s="302"/>
      <c r="E864" s="303"/>
      <c r="F864" s="302"/>
      <c r="G864" s="302"/>
      <c r="H864" s="302"/>
      <c r="I864" s="303"/>
      <c r="J864" s="302"/>
      <c r="K864" s="302"/>
      <c r="L864" s="302"/>
      <c r="M864" s="236"/>
    </row>
    <row r="865" spans="1:13" x14ac:dyDescent="0.2">
      <c r="A865" s="237"/>
      <c r="B865" s="302"/>
      <c r="C865" s="302"/>
      <c r="D865" s="302"/>
      <c r="E865" s="303"/>
      <c r="F865" s="302"/>
      <c r="G865" s="302"/>
      <c r="H865" s="302"/>
      <c r="I865" s="303"/>
      <c r="J865" s="302"/>
      <c r="K865" s="302"/>
      <c r="L865" s="302"/>
      <c r="M865" s="236"/>
    </row>
    <row r="866" spans="1:13" x14ac:dyDescent="0.2">
      <c r="A866" s="237"/>
      <c r="B866" s="302"/>
      <c r="C866" s="302"/>
      <c r="D866" s="302"/>
      <c r="E866" s="303"/>
      <c r="F866" s="302"/>
      <c r="G866" s="302"/>
      <c r="H866" s="302"/>
      <c r="I866" s="303"/>
      <c r="J866" s="302"/>
      <c r="K866" s="302"/>
      <c r="L866" s="302"/>
      <c r="M866" s="236"/>
    </row>
    <row r="867" spans="1:13" x14ac:dyDescent="0.2">
      <c r="A867" s="237"/>
      <c r="B867" s="302"/>
      <c r="C867" s="302"/>
      <c r="D867" s="302"/>
      <c r="E867" s="303"/>
      <c r="F867" s="302"/>
      <c r="G867" s="302"/>
      <c r="H867" s="302"/>
      <c r="I867" s="303"/>
      <c r="J867" s="302"/>
      <c r="K867" s="302"/>
      <c r="L867" s="302"/>
      <c r="M867" s="236"/>
    </row>
    <row r="868" spans="1:13" x14ac:dyDescent="0.2">
      <c r="A868" s="237"/>
      <c r="B868" s="302"/>
      <c r="C868" s="302"/>
      <c r="D868" s="302"/>
      <c r="E868" s="303"/>
      <c r="F868" s="302"/>
      <c r="G868" s="302"/>
      <c r="H868" s="302"/>
      <c r="I868" s="303"/>
      <c r="J868" s="302"/>
      <c r="K868" s="302"/>
      <c r="L868" s="302"/>
      <c r="M868" s="236"/>
    </row>
    <row r="869" spans="1:13" x14ac:dyDescent="0.2">
      <c r="A869" s="237"/>
      <c r="B869" s="303"/>
      <c r="C869" s="303"/>
      <c r="D869" s="303"/>
      <c r="E869" s="303"/>
      <c r="F869" s="303"/>
      <c r="G869" s="303"/>
      <c r="H869" s="303"/>
      <c r="I869" s="303"/>
      <c r="J869" s="303"/>
      <c r="K869" s="303"/>
      <c r="L869" s="303"/>
      <c r="M869" s="236"/>
    </row>
    <row r="870" spans="1:13" x14ac:dyDescent="0.2">
      <c r="A870" s="237"/>
      <c r="B870" s="237"/>
      <c r="C870" s="237"/>
      <c r="D870" s="237"/>
      <c r="E870" s="237"/>
      <c r="F870" s="237"/>
      <c r="G870" s="237"/>
      <c r="H870" s="237"/>
      <c r="I870" s="237"/>
      <c r="J870" s="237"/>
      <c r="K870" s="237"/>
      <c r="L870" s="240"/>
      <c r="M870" s="236"/>
    </row>
    <row r="871" spans="1:13" x14ac:dyDescent="0.2">
      <c r="A871" s="237"/>
      <c r="B871" s="237"/>
      <c r="C871" s="237"/>
      <c r="D871" s="237"/>
      <c r="E871" s="237"/>
      <c r="F871" s="237"/>
      <c r="G871" s="237"/>
      <c r="H871" s="237"/>
      <c r="I871" s="237"/>
      <c r="J871" s="237"/>
      <c r="K871" s="237"/>
      <c r="L871" s="284"/>
      <c r="M871" s="236"/>
    </row>
    <row r="872" spans="1:13" x14ac:dyDescent="0.2">
      <c r="A872" s="258"/>
      <c r="B872" s="241"/>
      <c r="C872" s="241"/>
      <c r="D872" s="241"/>
      <c r="E872" s="241"/>
      <c r="F872" s="241"/>
      <c r="G872" s="241"/>
      <c r="H872" s="241"/>
      <c r="I872" s="241"/>
      <c r="J872" s="241"/>
      <c r="K872" s="241"/>
      <c r="L872" s="236"/>
      <c r="M872" s="236"/>
    </row>
    <row r="873" spans="1:13" x14ac:dyDescent="0.2">
      <c r="A873" s="241"/>
      <c r="B873" s="375"/>
      <c r="C873" s="375"/>
      <c r="D873" s="375"/>
      <c r="E873" s="253"/>
      <c r="F873" s="375"/>
      <c r="G873" s="375"/>
      <c r="H873" s="375"/>
      <c r="I873" s="253"/>
      <c r="J873" s="375"/>
      <c r="K873" s="375"/>
      <c r="L873" s="375"/>
      <c r="M873" s="236"/>
    </row>
    <row r="874" spans="1:13" x14ac:dyDescent="0.2">
      <c r="A874" s="258"/>
      <c r="B874" s="259"/>
      <c r="C874" s="259"/>
      <c r="D874" s="259"/>
      <c r="E874" s="259"/>
      <c r="F874" s="259"/>
      <c r="G874" s="259"/>
      <c r="H874" s="259"/>
      <c r="I874" s="259"/>
      <c r="J874" s="259"/>
      <c r="K874" s="259"/>
      <c r="L874" s="259"/>
      <c r="M874" s="236"/>
    </row>
    <row r="875" spans="1:13" x14ac:dyDescent="0.2">
      <c r="A875" s="258"/>
      <c r="B875" s="259"/>
      <c r="C875" s="259"/>
      <c r="D875" s="259"/>
      <c r="E875" s="259"/>
      <c r="F875" s="259"/>
      <c r="G875" s="259"/>
      <c r="H875" s="259"/>
      <c r="I875" s="259"/>
      <c r="J875" s="259"/>
      <c r="K875" s="259"/>
      <c r="L875" s="259"/>
      <c r="M875" s="236"/>
    </row>
    <row r="876" spans="1:13" x14ac:dyDescent="0.2">
      <c r="A876" s="237"/>
      <c r="B876" s="302"/>
      <c r="C876" s="302"/>
      <c r="D876" s="302"/>
      <c r="E876" s="303"/>
      <c r="F876" s="302"/>
      <c r="G876" s="302"/>
      <c r="H876" s="302"/>
      <c r="I876" s="303"/>
      <c r="J876" s="302"/>
      <c r="K876" s="302"/>
      <c r="L876" s="302"/>
      <c r="M876" s="236"/>
    </row>
    <row r="877" spans="1:13" x14ac:dyDescent="0.2">
      <c r="A877" s="237"/>
      <c r="B877" s="302"/>
      <c r="C877" s="302"/>
      <c r="D877" s="302"/>
      <c r="E877" s="303"/>
      <c r="F877" s="302"/>
      <c r="G877" s="302"/>
      <c r="H877" s="302"/>
      <c r="I877" s="303"/>
      <c r="J877" s="302"/>
      <c r="K877" s="302"/>
      <c r="L877" s="302"/>
      <c r="M877" s="236"/>
    </row>
    <row r="878" spans="1:13" x14ac:dyDescent="0.2">
      <c r="A878" s="237"/>
      <c r="B878" s="302"/>
      <c r="C878" s="302"/>
      <c r="D878" s="302"/>
      <c r="E878" s="303"/>
      <c r="F878" s="302"/>
      <c r="G878" s="302"/>
      <c r="H878" s="302"/>
      <c r="I878" s="303"/>
      <c r="J878" s="302"/>
      <c r="K878" s="302"/>
      <c r="L878" s="302"/>
      <c r="M878" s="236"/>
    </row>
    <row r="879" spans="1:13" x14ac:dyDescent="0.2">
      <c r="A879" s="237"/>
      <c r="B879" s="302"/>
      <c r="C879" s="302"/>
      <c r="D879" s="302"/>
      <c r="E879" s="303"/>
      <c r="F879" s="302"/>
      <c r="G879" s="302"/>
      <c r="H879" s="302"/>
      <c r="I879" s="303"/>
      <c r="J879" s="302"/>
      <c r="K879" s="302"/>
      <c r="L879" s="302"/>
      <c r="M879" s="236"/>
    </row>
    <row r="880" spans="1:13" x14ac:dyDescent="0.2">
      <c r="A880" s="237"/>
      <c r="B880" s="302"/>
      <c r="C880" s="302"/>
      <c r="D880" s="302"/>
      <c r="E880" s="303"/>
      <c r="F880" s="302"/>
      <c r="G880" s="302"/>
      <c r="H880" s="302"/>
      <c r="I880" s="303"/>
      <c r="J880" s="302"/>
      <c r="K880" s="302"/>
      <c r="L880" s="302"/>
      <c r="M880" s="236"/>
    </row>
    <row r="881" spans="1:13" x14ac:dyDescent="0.2">
      <c r="A881" s="237"/>
      <c r="B881" s="302"/>
      <c r="C881" s="302"/>
      <c r="D881" s="302"/>
      <c r="E881" s="303"/>
      <c r="F881" s="302"/>
      <c r="G881" s="302"/>
      <c r="H881" s="302"/>
      <c r="I881" s="303"/>
      <c r="J881" s="302"/>
      <c r="K881" s="302"/>
      <c r="L881" s="302"/>
      <c r="M881" s="236"/>
    </row>
    <row r="882" spans="1:13" x14ac:dyDescent="0.2">
      <c r="A882" s="237"/>
      <c r="B882" s="302"/>
      <c r="C882" s="302"/>
      <c r="D882" s="302"/>
      <c r="E882" s="303"/>
      <c r="F882" s="302"/>
      <c r="G882" s="302"/>
      <c r="H882" s="302"/>
      <c r="I882" s="303"/>
      <c r="J882" s="302"/>
      <c r="K882" s="302"/>
      <c r="L882" s="302"/>
      <c r="M882" s="236"/>
    </row>
    <row r="883" spans="1:13" x14ac:dyDescent="0.2">
      <c r="A883" s="237"/>
      <c r="B883" s="302"/>
      <c r="C883" s="302"/>
      <c r="D883" s="302"/>
      <c r="E883" s="303"/>
      <c r="F883" s="302"/>
      <c r="G883" s="302"/>
      <c r="H883" s="302"/>
      <c r="I883" s="303"/>
      <c r="J883" s="302"/>
      <c r="K883" s="302"/>
      <c r="L883" s="302"/>
      <c r="M883" s="236"/>
    </row>
    <row r="884" spans="1:13" x14ac:dyDescent="0.2">
      <c r="A884" s="237"/>
      <c r="B884" s="302"/>
      <c r="C884" s="302"/>
      <c r="D884" s="302"/>
      <c r="E884" s="303"/>
      <c r="F884" s="302"/>
      <c r="G884" s="302"/>
      <c r="H884" s="302"/>
      <c r="I884" s="303"/>
      <c r="J884" s="302"/>
      <c r="K884" s="302"/>
      <c r="L884" s="302"/>
      <c r="M884" s="236"/>
    </row>
    <row r="885" spans="1:13" x14ac:dyDescent="0.2">
      <c r="A885" s="237"/>
      <c r="B885" s="302"/>
      <c r="C885" s="302"/>
      <c r="D885" s="302"/>
      <c r="E885" s="303"/>
      <c r="F885" s="302"/>
      <c r="G885" s="302"/>
      <c r="H885" s="302"/>
      <c r="I885" s="303"/>
      <c r="J885" s="302"/>
      <c r="K885" s="302"/>
      <c r="L885" s="302"/>
      <c r="M885" s="236"/>
    </row>
    <row r="886" spans="1:13" x14ac:dyDescent="0.2">
      <c r="A886" s="237"/>
      <c r="B886" s="303"/>
      <c r="C886" s="303"/>
      <c r="D886" s="303"/>
      <c r="E886" s="303"/>
      <c r="F886" s="303"/>
      <c r="G886" s="303"/>
      <c r="H886" s="303"/>
      <c r="I886" s="303"/>
      <c r="J886" s="303"/>
      <c r="K886" s="303"/>
      <c r="L886" s="303"/>
      <c r="M886" s="236"/>
    </row>
    <row r="887" spans="1:13" x14ac:dyDescent="0.2">
      <c r="A887" s="237"/>
      <c r="B887" s="237"/>
      <c r="C887" s="237"/>
      <c r="D887" s="237"/>
      <c r="E887" s="237"/>
      <c r="F887" s="237"/>
      <c r="G887" s="237"/>
      <c r="H887" s="237"/>
      <c r="I887" s="237"/>
      <c r="J887" s="237"/>
      <c r="K887" s="237"/>
      <c r="L887" s="240"/>
      <c r="M887" s="236"/>
    </row>
    <row r="888" spans="1:13" x14ac:dyDescent="0.2">
      <c r="A888" s="237"/>
      <c r="B888" s="237"/>
      <c r="C888" s="237"/>
      <c r="D888" s="237"/>
      <c r="E888" s="237"/>
      <c r="F888" s="237"/>
      <c r="G888" s="237"/>
      <c r="H888" s="237"/>
      <c r="I888" s="237"/>
      <c r="J888" s="237"/>
      <c r="K888" s="237"/>
      <c r="L888" s="284"/>
      <c r="M888" s="236"/>
    </row>
    <row r="889" spans="1:13" x14ac:dyDescent="0.2">
      <c r="A889" s="258"/>
      <c r="B889" s="241"/>
      <c r="C889" s="241"/>
      <c r="D889" s="241"/>
      <c r="E889" s="241"/>
      <c r="F889" s="241"/>
      <c r="G889" s="241"/>
      <c r="H889" s="241"/>
      <c r="I889" s="241"/>
      <c r="J889" s="241"/>
      <c r="K889" s="241"/>
      <c r="L889" s="236"/>
      <c r="M889" s="236"/>
    </row>
    <row r="890" spans="1:13" x14ac:dyDescent="0.2">
      <c r="A890" s="241"/>
      <c r="B890" s="375"/>
      <c r="C890" s="375"/>
      <c r="D890" s="375"/>
      <c r="E890" s="253"/>
      <c r="F890" s="375"/>
      <c r="G890" s="375"/>
      <c r="H890" s="375"/>
      <c r="I890" s="253"/>
      <c r="J890" s="375"/>
      <c r="K890" s="375"/>
      <c r="L890" s="375"/>
      <c r="M890" s="236"/>
    </row>
    <row r="891" spans="1:13" x14ac:dyDescent="0.2">
      <c r="A891" s="258"/>
      <c r="B891" s="259"/>
      <c r="C891" s="259"/>
      <c r="D891" s="259"/>
      <c r="E891" s="259"/>
      <c r="F891" s="259"/>
      <c r="G891" s="259"/>
      <c r="H891" s="259"/>
      <c r="I891" s="259"/>
      <c r="J891" s="259"/>
      <c r="K891" s="259"/>
      <c r="L891" s="259"/>
      <c r="M891" s="236"/>
    </row>
    <row r="892" spans="1:13" x14ac:dyDescent="0.2">
      <c r="A892" s="258"/>
      <c r="B892" s="259"/>
      <c r="C892" s="259"/>
      <c r="D892" s="259"/>
      <c r="E892" s="259"/>
      <c r="F892" s="259"/>
      <c r="G892" s="259"/>
      <c r="H892" s="259"/>
      <c r="I892" s="259"/>
      <c r="J892" s="259"/>
      <c r="K892" s="259"/>
      <c r="L892" s="259"/>
      <c r="M892" s="236"/>
    </row>
    <row r="893" spans="1:13" x14ac:dyDescent="0.2">
      <c r="A893" s="237"/>
      <c r="B893" s="302"/>
      <c r="C893" s="302"/>
      <c r="D893" s="302"/>
      <c r="E893" s="303"/>
      <c r="F893" s="302"/>
      <c r="G893" s="302"/>
      <c r="H893" s="302"/>
      <c r="I893" s="303"/>
      <c r="J893" s="302"/>
      <c r="K893" s="302"/>
      <c r="L893" s="302"/>
      <c r="M893" s="236"/>
    </row>
    <row r="894" spans="1:13" x14ac:dyDescent="0.2">
      <c r="A894" s="237"/>
      <c r="B894" s="302"/>
      <c r="C894" s="302"/>
      <c r="D894" s="302"/>
      <c r="E894" s="303"/>
      <c r="F894" s="302"/>
      <c r="G894" s="302"/>
      <c r="H894" s="302"/>
      <c r="I894" s="303"/>
      <c r="J894" s="302"/>
      <c r="K894" s="302"/>
      <c r="L894" s="302"/>
      <c r="M894" s="236"/>
    </row>
    <row r="895" spans="1:13" x14ac:dyDescent="0.2">
      <c r="A895" s="237"/>
      <c r="B895" s="302"/>
      <c r="C895" s="302"/>
      <c r="D895" s="302"/>
      <c r="E895" s="303"/>
      <c r="F895" s="302"/>
      <c r="G895" s="302"/>
      <c r="H895" s="302"/>
      <c r="I895" s="303"/>
      <c r="J895" s="302"/>
      <c r="K895" s="302"/>
      <c r="L895" s="302"/>
      <c r="M895" s="236"/>
    </row>
    <row r="896" spans="1:13" x14ac:dyDescent="0.2">
      <c r="A896" s="237"/>
      <c r="B896" s="302"/>
      <c r="C896" s="302"/>
      <c r="D896" s="302"/>
      <c r="E896" s="303"/>
      <c r="F896" s="302"/>
      <c r="G896" s="302"/>
      <c r="H896" s="302"/>
      <c r="I896" s="303"/>
      <c r="J896" s="302"/>
      <c r="K896" s="302"/>
      <c r="L896" s="302"/>
      <c r="M896" s="236"/>
    </row>
    <row r="897" spans="1:13" x14ac:dyDescent="0.2">
      <c r="A897" s="237"/>
      <c r="B897" s="302"/>
      <c r="C897" s="302"/>
      <c r="D897" s="302"/>
      <c r="E897" s="303"/>
      <c r="F897" s="302"/>
      <c r="G897" s="302"/>
      <c r="H897" s="302"/>
      <c r="I897" s="303"/>
      <c r="J897" s="302"/>
      <c r="K897" s="302"/>
      <c r="L897" s="302"/>
      <c r="M897" s="236"/>
    </row>
    <row r="898" spans="1:13" x14ac:dyDescent="0.2">
      <c r="A898" s="237"/>
      <c r="B898" s="302"/>
      <c r="C898" s="302"/>
      <c r="D898" s="302"/>
      <c r="E898" s="303"/>
      <c r="F898" s="302"/>
      <c r="G898" s="302"/>
      <c r="H898" s="302"/>
      <c r="I898" s="303"/>
      <c r="J898" s="302"/>
      <c r="K898" s="302"/>
      <c r="L898" s="302"/>
      <c r="M898" s="236"/>
    </row>
    <row r="899" spans="1:13" x14ac:dyDescent="0.2">
      <c r="A899" s="237"/>
      <c r="B899" s="302"/>
      <c r="C899" s="302"/>
      <c r="D899" s="302"/>
      <c r="E899" s="303"/>
      <c r="F899" s="302"/>
      <c r="G899" s="302"/>
      <c r="H899" s="302"/>
      <c r="I899" s="303"/>
      <c r="J899" s="302"/>
      <c r="K899" s="302"/>
      <c r="L899" s="302"/>
      <c r="M899" s="236"/>
    </row>
    <row r="900" spans="1:13" x14ac:dyDescent="0.2">
      <c r="A900" s="237"/>
      <c r="B900" s="302"/>
      <c r="C900" s="302"/>
      <c r="D900" s="302"/>
      <c r="E900" s="303"/>
      <c r="F900" s="302"/>
      <c r="G900" s="302"/>
      <c r="H900" s="302"/>
      <c r="I900" s="303"/>
      <c r="J900" s="302"/>
      <c r="K900" s="302"/>
      <c r="L900" s="302"/>
      <c r="M900" s="236"/>
    </row>
    <row r="901" spans="1:13" x14ac:dyDescent="0.2">
      <c r="A901" s="237"/>
      <c r="B901" s="302"/>
      <c r="C901" s="302"/>
      <c r="D901" s="302"/>
      <c r="E901" s="303"/>
      <c r="F901" s="302"/>
      <c r="G901" s="302"/>
      <c r="H901" s="302"/>
      <c r="I901" s="303"/>
      <c r="J901" s="302"/>
      <c r="K901" s="302"/>
      <c r="L901" s="302"/>
      <c r="M901" s="236"/>
    </row>
    <row r="902" spans="1:13" x14ac:dyDescent="0.2">
      <c r="A902" s="237"/>
      <c r="B902" s="302"/>
      <c r="C902" s="302"/>
      <c r="D902" s="302"/>
      <c r="E902" s="303"/>
      <c r="F902" s="302"/>
      <c r="G902" s="302"/>
      <c r="H902" s="302"/>
      <c r="I902" s="303"/>
      <c r="J902" s="302"/>
      <c r="K902" s="302"/>
      <c r="L902" s="302"/>
      <c r="M902" s="236"/>
    </row>
    <row r="903" spans="1:13" x14ac:dyDescent="0.2">
      <c r="A903" s="237"/>
      <c r="B903" s="303"/>
      <c r="C903" s="303"/>
      <c r="D903" s="303"/>
      <c r="E903" s="303"/>
      <c r="F903" s="303"/>
      <c r="G903" s="303"/>
      <c r="H903" s="303"/>
      <c r="I903" s="303"/>
      <c r="J903" s="303"/>
      <c r="K903" s="303"/>
      <c r="L903" s="303"/>
      <c r="M903" s="236"/>
    </row>
    <row r="904" spans="1:13" x14ac:dyDescent="0.2">
      <c r="A904" s="237"/>
      <c r="B904" s="237"/>
      <c r="C904" s="237"/>
      <c r="D904" s="237"/>
      <c r="E904" s="237"/>
      <c r="F904" s="237"/>
      <c r="G904" s="237"/>
      <c r="H904" s="237"/>
      <c r="I904" s="237"/>
      <c r="J904" s="237"/>
      <c r="K904" s="237"/>
      <c r="L904" s="240"/>
      <c r="M904" s="236"/>
    </row>
    <row r="905" spans="1:13" x14ac:dyDescent="0.2">
      <c r="A905" s="237"/>
      <c r="B905" s="237"/>
      <c r="C905" s="237"/>
      <c r="D905" s="237"/>
      <c r="E905" s="237"/>
      <c r="F905" s="237"/>
      <c r="G905" s="237"/>
      <c r="H905" s="237"/>
      <c r="I905" s="237"/>
      <c r="J905" s="237"/>
      <c r="K905" s="237"/>
      <c r="L905" s="284"/>
      <c r="M905" s="236"/>
    </row>
    <row r="906" spans="1:13" x14ac:dyDescent="0.2">
      <c r="A906" s="258"/>
      <c r="B906" s="241"/>
      <c r="C906" s="241"/>
      <c r="D906" s="241"/>
      <c r="E906" s="241"/>
      <c r="F906" s="241"/>
      <c r="G906" s="241"/>
      <c r="H906" s="241"/>
      <c r="I906" s="241"/>
      <c r="J906" s="241"/>
      <c r="K906" s="241"/>
      <c r="L906" s="236"/>
      <c r="M906" s="236"/>
    </row>
    <row r="907" spans="1:13" x14ac:dyDescent="0.2">
      <c r="A907" s="241"/>
      <c r="B907" s="375"/>
      <c r="C907" s="375"/>
      <c r="D907" s="375"/>
      <c r="E907" s="253"/>
      <c r="F907" s="375"/>
      <c r="G907" s="375"/>
      <c r="H907" s="375"/>
      <c r="I907" s="253"/>
      <c r="J907" s="375"/>
      <c r="K907" s="375"/>
      <c r="L907" s="375"/>
      <c r="M907" s="236"/>
    </row>
    <row r="908" spans="1:13" x14ac:dyDescent="0.2">
      <c r="A908" s="258"/>
      <c r="B908" s="259"/>
      <c r="C908" s="259"/>
      <c r="D908" s="259"/>
      <c r="E908" s="259"/>
      <c r="F908" s="259"/>
      <c r="G908" s="259"/>
      <c r="H908" s="259"/>
      <c r="I908" s="259"/>
      <c r="J908" s="259"/>
      <c r="K908" s="259"/>
      <c r="L908" s="259"/>
      <c r="M908" s="236"/>
    </row>
    <row r="909" spans="1:13" x14ac:dyDescent="0.2">
      <c r="A909" s="258"/>
      <c r="B909" s="259"/>
      <c r="C909" s="259"/>
      <c r="D909" s="259"/>
      <c r="E909" s="259"/>
      <c r="F909" s="259"/>
      <c r="G909" s="259"/>
      <c r="H909" s="259"/>
      <c r="I909" s="259"/>
      <c r="J909" s="259"/>
      <c r="K909" s="259"/>
      <c r="L909" s="259"/>
      <c r="M909" s="236"/>
    </row>
    <row r="910" spans="1:13" x14ac:dyDescent="0.2">
      <c r="A910" s="237"/>
      <c r="B910" s="302"/>
      <c r="C910" s="302"/>
      <c r="D910" s="302"/>
      <c r="E910" s="303"/>
      <c r="F910" s="302"/>
      <c r="G910" s="302"/>
      <c r="H910" s="302"/>
      <c r="I910" s="303"/>
      <c r="J910" s="302"/>
      <c r="K910" s="302"/>
      <c r="L910" s="302"/>
      <c r="M910" s="236"/>
    </row>
    <row r="911" spans="1:13" x14ac:dyDescent="0.2">
      <c r="A911" s="237"/>
      <c r="B911" s="302"/>
      <c r="C911" s="302"/>
      <c r="D911" s="302"/>
      <c r="E911" s="303"/>
      <c r="F911" s="302"/>
      <c r="G911" s="302"/>
      <c r="H911" s="302"/>
      <c r="I911" s="303"/>
      <c r="J911" s="302"/>
      <c r="K911" s="302"/>
      <c r="L911" s="302"/>
      <c r="M911" s="236"/>
    </row>
    <row r="912" spans="1:13" x14ac:dyDescent="0.2">
      <c r="A912" s="237"/>
      <c r="B912" s="302"/>
      <c r="C912" s="302"/>
      <c r="D912" s="302"/>
      <c r="E912" s="303"/>
      <c r="F912" s="302"/>
      <c r="G912" s="302"/>
      <c r="H912" s="302"/>
      <c r="I912" s="303"/>
      <c r="J912" s="302"/>
      <c r="K912" s="302"/>
      <c r="L912" s="302"/>
      <c r="M912" s="236"/>
    </row>
    <row r="913" spans="1:13" x14ac:dyDescent="0.2">
      <c r="A913" s="237"/>
      <c r="B913" s="302"/>
      <c r="C913" s="302"/>
      <c r="D913" s="302"/>
      <c r="E913" s="303"/>
      <c r="F913" s="302"/>
      <c r="G913" s="302"/>
      <c r="H913" s="302"/>
      <c r="I913" s="303"/>
      <c r="J913" s="302"/>
      <c r="K913" s="302"/>
      <c r="L913" s="302"/>
      <c r="M913" s="236"/>
    </row>
    <row r="914" spans="1:13" x14ac:dyDescent="0.2">
      <c r="A914" s="237"/>
      <c r="B914" s="302"/>
      <c r="C914" s="302"/>
      <c r="D914" s="302"/>
      <c r="E914" s="303"/>
      <c r="F914" s="302"/>
      <c r="G914" s="302"/>
      <c r="H914" s="302"/>
      <c r="I914" s="303"/>
      <c r="J914" s="302"/>
      <c r="K914" s="302"/>
      <c r="L914" s="302"/>
      <c r="M914" s="236"/>
    </row>
    <row r="915" spans="1:13" x14ac:dyDescent="0.2">
      <c r="A915" s="237"/>
      <c r="B915" s="302"/>
      <c r="C915" s="302"/>
      <c r="D915" s="302"/>
      <c r="E915" s="303"/>
      <c r="F915" s="302"/>
      <c r="G915" s="302"/>
      <c r="H915" s="302"/>
      <c r="I915" s="303"/>
      <c r="J915" s="302"/>
      <c r="K915" s="302"/>
      <c r="L915" s="302"/>
      <c r="M915" s="236"/>
    </row>
    <row r="916" spans="1:13" x14ac:dyDescent="0.2">
      <c r="A916" s="237"/>
      <c r="B916" s="302"/>
      <c r="C916" s="302"/>
      <c r="D916" s="302"/>
      <c r="E916" s="303"/>
      <c r="F916" s="302"/>
      <c r="G916" s="302"/>
      <c r="H916" s="302"/>
      <c r="I916" s="303"/>
      <c r="J916" s="302"/>
      <c r="K916" s="302"/>
      <c r="L916" s="302"/>
      <c r="M916" s="236"/>
    </row>
    <row r="917" spans="1:13" x14ac:dyDescent="0.2">
      <c r="A917" s="237"/>
      <c r="B917" s="302"/>
      <c r="C917" s="302"/>
      <c r="D917" s="302"/>
      <c r="E917" s="303"/>
      <c r="F917" s="302"/>
      <c r="G917" s="302"/>
      <c r="H917" s="302"/>
      <c r="I917" s="303"/>
      <c r="J917" s="302"/>
      <c r="K917" s="302"/>
      <c r="L917" s="302"/>
      <c r="M917" s="236"/>
    </row>
    <row r="918" spans="1:13" x14ac:dyDescent="0.2">
      <c r="A918" s="237"/>
      <c r="B918" s="302"/>
      <c r="C918" s="302"/>
      <c r="D918" s="302"/>
      <c r="E918" s="303"/>
      <c r="F918" s="302"/>
      <c r="G918" s="302"/>
      <c r="H918" s="302"/>
      <c r="I918" s="303"/>
      <c r="J918" s="302"/>
      <c r="K918" s="302"/>
      <c r="L918" s="302"/>
      <c r="M918" s="236"/>
    </row>
    <row r="919" spans="1:13" x14ac:dyDescent="0.2">
      <c r="A919" s="237"/>
      <c r="B919" s="302"/>
      <c r="C919" s="302"/>
      <c r="D919" s="302"/>
      <c r="E919" s="303"/>
      <c r="F919" s="302"/>
      <c r="G919" s="302"/>
      <c r="H919" s="302"/>
      <c r="I919" s="303"/>
      <c r="J919" s="302"/>
      <c r="K919" s="302"/>
      <c r="L919" s="302"/>
      <c r="M919" s="236"/>
    </row>
    <row r="920" spans="1:13" x14ac:dyDescent="0.2">
      <c r="A920" s="237"/>
      <c r="B920" s="303"/>
      <c r="C920" s="303"/>
      <c r="D920" s="303"/>
      <c r="E920" s="303"/>
      <c r="F920" s="303"/>
      <c r="G920" s="303"/>
      <c r="H920" s="303"/>
      <c r="I920" s="303"/>
      <c r="J920" s="303"/>
      <c r="K920" s="303"/>
      <c r="L920" s="303"/>
      <c r="M920" s="236"/>
    </row>
    <row r="921" spans="1:13" x14ac:dyDescent="0.2">
      <c r="A921" s="237"/>
      <c r="B921" s="237"/>
      <c r="C921" s="237"/>
      <c r="D921" s="237"/>
      <c r="E921" s="237"/>
      <c r="F921" s="237"/>
      <c r="G921" s="237"/>
      <c r="H921" s="237"/>
      <c r="I921" s="237"/>
      <c r="J921" s="237"/>
      <c r="K921" s="237"/>
      <c r="L921" s="240"/>
      <c r="M921" s="236"/>
    </row>
    <row r="922" spans="1:13" x14ac:dyDescent="0.2">
      <c r="A922" s="237"/>
      <c r="B922" s="237"/>
      <c r="C922" s="237"/>
      <c r="D922" s="237"/>
      <c r="E922" s="237"/>
      <c r="F922" s="237"/>
      <c r="G922" s="237"/>
      <c r="H922" s="237"/>
      <c r="I922" s="237"/>
      <c r="J922" s="237"/>
      <c r="K922" s="237"/>
      <c r="L922" s="284"/>
      <c r="M922" s="236"/>
    </row>
    <row r="923" spans="1:13" x14ac:dyDescent="0.2">
      <c r="A923" s="258"/>
      <c r="B923" s="241"/>
      <c r="C923" s="241"/>
      <c r="D923" s="241"/>
      <c r="E923" s="241"/>
      <c r="F923" s="241"/>
      <c r="G923" s="241"/>
      <c r="H923" s="241"/>
      <c r="I923" s="241"/>
      <c r="J923" s="241"/>
      <c r="K923" s="241"/>
      <c r="L923" s="236"/>
      <c r="M923" s="236"/>
    </row>
    <row r="924" spans="1:13" x14ac:dyDescent="0.2">
      <c r="A924" s="241"/>
      <c r="B924" s="375"/>
      <c r="C924" s="375"/>
      <c r="D924" s="375"/>
      <c r="E924" s="253"/>
      <c r="F924" s="375"/>
      <c r="G924" s="375"/>
      <c r="H924" s="375"/>
      <c r="I924" s="253"/>
      <c r="J924" s="375"/>
      <c r="K924" s="375"/>
      <c r="L924" s="375"/>
      <c r="M924" s="236"/>
    </row>
    <row r="925" spans="1:13" x14ac:dyDescent="0.2">
      <c r="A925" s="258"/>
      <c r="B925" s="259"/>
      <c r="C925" s="259"/>
      <c r="D925" s="259"/>
      <c r="E925" s="259"/>
      <c r="F925" s="259"/>
      <c r="G925" s="259"/>
      <c r="H925" s="259"/>
      <c r="I925" s="259"/>
      <c r="J925" s="259"/>
      <c r="K925" s="259"/>
      <c r="L925" s="259"/>
      <c r="M925" s="236"/>
    </row>
    <row r="926" spans="1:13" x14ac:dyDescent="0.2">
      <c r="A926" s="258"/>
      <c r="B926" s="259"/>
      <c r="C926" s="259"/>
      <c r="D926" s="259"/>
      <c r="E926" s="259"/>
      <c r="F926" s="259"/>
      <c r="G926" s="259"/>
      <c r="H926" s="259"/>
      <c r="I926" s="259"/>
      <c r="J926" s="259"/>
      <c r="K926" s="259"/>
      <c r="L926" s="259"/>
      <c r="M926" s="236"/>
    </row>
    <row r="927" spans="1:13" x14ac:dyDescent="0.2">
      <c r="A927" s="237"/>
      <c r="B927" s="302"/>
      <c r="C927" s="302"/>
      <c r="D927" s="302"/>
      <c r="E927" s="303"/>
      <c r="F927" s="302"/>
      <c r="G927" s="302"/>
      <c r="H927" s="302"/>
      <c r="I927" s="303"/>
      <c r="J927" s="302"/>
      <c r="K927" s="302"/>
      <c r="L927" s="302"/>
      <c r="M927" s="236"/>
    </row>
    <row r="928" spans="1:13" x14ac:dyDescent="0.2">
      <c r="A928" s="237"/>
      <c r="B928" s="302"/>
      <c r="C928" s="302"/>
      <c r="D928" s="302"/>
      <c r="E928" s="303"/>
      <c r="F928" s="302"/>
      <c r="G928" s="302"/>
      <c r="H928" s="302"/>
      <c r="I928" s="303"/>
      <c r="J928" s="302"/>
      <c r="K928" s="302"/>
      <c r="L928" s="302"/>
      <c r="M928" s="236"/>
    </row>
    <row r="929" spans="1:13" x14ac:dyDescent="0.2">
      <c r="A929" s="237"/>
      <c r="B929" s="302"/>
      <c r="C929" s="302"/>
      <c r="D929" s="302"/>
      <c r="E929" s="303"/>
      <c r="F929" s="302"/>
      <c r="G929" s="302"/>
      <c r="H929" s="302"/>
      <c r="I929" s="303"/>
      <c r="J929" s="302"/>
      <c r="K929" s="302"/>
      <c r="L929" s="302"/>
      <c r="M929" s="236"/>
    </row>
    <row r="930" spans="1:13" x14ac:dyDescent="0.2">
      <c r="A930" s="237"/>
      <c r="B930" s="302"/>
      <c r="C930" s="302"/>
      <c r="D930" s="302"/>
      <c r="E930" s="303"/>
      <c r="F930" s="302"/>
      <c r="G930" s="302"/>
      <c r="H930" s="302"/>
      <c r="I930" s="303"/>
      <c r="J930" s="302"/>
      <c r="K930" s="302"/>
      <c r="L930" s="302"/>
      <c r="M930" s="236"/>
    </row>
    <row r="931" spans="1:13" x14ac:dyDescent="0.2">
      <c r="A931" s="237"/>
      <c r="B931" s="302"/>
      <c r="C931" s="302"/>
      <c r="D931" s="302"/>
      <c r="E931" s="303"/>
      <c r="F931" s="302"/>
      <c r="G931" s="302"/>
      <c r="H931" s="302"/>
      <c r="I931" s="303"/>
      <c r="J931" s="302"/>
      <c r="K931" s="302"/>
      <c r="L931" s="302"/>
      <c r="M931" s="236"/>
    </row>
    <row r="932" spans="1:13" x14ac:dyDescent="0.2">
      <c r="A932" s="237"/>
      <c r="B932" s="302"/>
      <c r="C932" s="302"/>
      <c r="D932" s="302"/>
      <c r="E932" s="303"/>
      <c r="F932" s="302"/>
      <c r="G932" s="302"/>
      <c r="H932" s="302"/>
      <c r="I932" s="303"/>
      <c r="J932" s="302"/>
      <c r="K932" s="302"/>
      <c r="L932" s="302"/>
      <c r="M932" s="236"/>
    </row>
    <row r="933" spans="1:13" x14ac:dyDescent="0.2">
      <c r="A933" s="237"/>
      <c r="B933" s="302"/>
      <c r="C933" s="302"/>
      <c r="D933" s="302"/>
      <c r="E933" s="303"/>
      <c r="F933" s="302"/>
      <c r="G933" s="302"/>
      <c r="H933" s="302"/>
      <c r="I933" s="303"/>
      <c r="J933" s="302"/>
      <c r="K933" s="302"/>
      <c r="L933" s="302"/>
      <c r="M933" s="236"/>
    </row>
    <row r="934" spans="1:13" x14ac:dyDescent="0.2">
      <c r="A934" s="237"/>
      <c r="B934" s="302"/>
      <c r="C934" s="302"/>
      <c r="D934" s="302"/>
      <c r="E934" s="303"/>
      <c r="F934" s="302"/>
      <c r="G934" s="302"/>
      <c r="H934" s="302"/>
      <c r="I934" s="303"/>
      <c r="J934" s="302"/>
      <c r="K934" s="302"/>
      <c r="L934" s="302"/>
      <c r="M934" s="236"/>
    </row>
    <row r="935" spans="1:13" x14ac:dyDescent="0.2">
      <c r="A935" s="237"/>
      <c r="B935" s="302"/>
      <c r="C935" s="302"/>
      <c r="D935" s="302"/>
      <c r="E935" s="303"/>
      <c r="F935" s="302"/>
      <c r="G935" s="302"/>
      <c r="H935" s="302"/>
      <c r="I935" s="303"/>
      <c r="J935" s="302"/>
      <c r="K935" s="302"/>
      <c r="L935" s="302"/>
      <c r="M935" s="236"/>
    </row>
    <row r="936" spans="1:13" x14ac:dyDescent="0.2">
      <c r="A936" s="237"/>
      <c r="B936" s="302"/>
      <c r="C936" s="302"/>
      <c r="D936" s="302"/>
      <c r="E936" s="303"/>
      <c r="F936" s="302"/>
      <c r="G936" s="302"/>
      <c r="H936" s="302"/>
      <c r="I936" s="303"/>
      <c r="J936" s="302"/>
      <c r="K936" s="302"/>
      <c r="L936" s="302"/>
      <c r="M936" s="236"/>
    </row>
    <row r="937" spans="1:13" x14ac:dyDescent="0.2">
      <c r="A937" s="237"/>
      <c r="B937" s="303"/>
      <c r="C937" s="303"/>
      <c r="D937" s="303"/>
      <c r="E937" s="303"/>
      <c r="F937" s="303"/>
      <c r="G937" s="303"/>
      <c r="H937" s="303"/>
      <c r="I937" s="303"/>
      <c r="J937" s="303"/>
      <c r="K937" s="303"/>
      <c r="L937" s="303"/>
      <c r="M937" s="236"/>
    </row>
    <row r="938" spans="1:13" x14ac:dyDescent="0.2">
      <c r="A938" s="237"/>
      <c r="B938" s="237"/>
      <c r="C938" s="237"/>
      <c r="D938" s="237"/>
      <c r="E938" s="237"/>
      <c r="F938" s="237"/>
      <c r="G938" s="237"/>
      <c r="H938" s="237"/>
      <c r="I938" s="237"/>
      <c r="J938" s="237"/>
      <c r="K938" s="237"/>
      <c r="L938" s="240"/>
      <c r="M938" s="236"/>
    </row>
    <row r="939" spans="1:13" x14ac:dyDescent="0.2">
      <c r="A939" s="237"/>
      <c r="B939" s="237"/>
      <c r="C939" s="237"/>
      <c r="D939" s="237"/>
      <c r="E939" s="237"/>
      <c r="F939" s="237"/>
      <c r="G939" s="237"/>
      <c r="H939" s="237"/>
      <c r="I939" s="237"/>
      <c r="J939" s="237"/>
      <c r="K939" s="237"/>
      <c r="L939" s="284"/>
      <c r="M939" s="236"/>
    </row>
    <row r="940" spans="1:13" x14ac:dyDescent="0.2">
      <c r="A940" s="258"/>
      <c r="B940" s="241"/>
      <c r="C940" s="241"/>
      <c r="D940" s="241"/>
      <c r="E940" s="241"/>
      <c r="F940" s="241"/>
      <c r="G940" s="241"/>
      <c r="H940" s="241"/>
      <c r="I940" s="241"/>
      <c r="J940" s="241"/>
      <c r="K940" s="241"/>
      <c r="L940" s="236"/>
      <c r="M940" s="236"/>
    </row>
    <row r="941" spans="1:13" x14ac:dyDescent="0.2">
      <c r="A941" s="241"/>
      <c r="B941" s="375"/>
      <c r="C941" s="375"/>
      <c r="D941" s="375"/>
      <c r="E941" s="253"/>
      <c r="F941" s="375"/>
      <c r="G941" s="375"/>
      <c r="H941" s="375"/>
      <c r="I941" s="253"/>
      <c r="J941" s="375"/>
      <c r="K941" s="375"/>
      <c r="L941" s="375"/>
      <c r="M941" s="236"/>
    </row>
    <row r="942" spans="1:13" x14ac:dyDescent="0.2">
      <c r="A942" s="258"/>
      <c r="B942" s="259"/>
      <c r="C942" s="259"/>
      <c r="D942" s="259"/>
      <c r="E942" s="259"/>
      <c r="F942" s="259"/>
      <c r="G942" s="259"/>
      <c r="H942" s="259"/>
      <c r="I942" s="259"/>
      <c r="J942" s="259"/>
      <c r="K942" s="259"/>
      <c r="L942" s="259"/>
      <c r="M942" s="236"/>
    </row>
    <row r="943" spans="1:13" x14ac:dyDescent="0.2">
      <c r="A943" s="258"/>
      <c r="B943" s="259"/>
      <c r="C943" s="259"/>
      <c r="D943" s="259"/>
      <c r="E943" s="259"/>
      <c r="F943" s="259"/>
      <c r="G943" s="259"/>
      <c r="H943" s="259"/>
      <c r="I943" s="259"/>
      <c r="J943" s="259"/>
      <c r="K943" s="259"/>
      <c r="L943" s="259"/>
      <c r="M943" s="236"/>
    </row>
    <row r="944" spans="1:13" x14ac:dyDescent="0.2">
      <c r="A944" s="237"/>
      <c r="B944" s="302"/>
      <c r="C944" s="302"/>
      <c r="D944" s="302"/>
      <c r="E944" s="303"/>
      <c r="F944" s="302"/>
      <c r="G944" s="302"/>
      <c r="H944" s="302"/>
      <c r="I944" s="303"/>
      <c r="J944" s="302"/>
      <c r="K944" s="302"/>
      <c r="L944" s="302"/>
      <c r="M944" s="236"/>
    </row>
    <row r="945" spans="1:13" x14ac:dyDescent="0.2">
      <c r="A945" s="237"/>
      <c r="B945" s="302"/>
      <c r="C945" s="302"/>
      <c r="D945" s="302"/>
      <c r="E945" s="303"/>
      <c r="F945" s="302"/>
      <c r="G945" s="302"/>
      <c r="H945" s="302"/>
      <c r="I945" s="303"/>
      <c r="J945" s="302"/>
      <c r="K945" s="302"/>
      <c r="L945" s="302"/>
      <c r="M945" s="236"/>
    </row>
    <row r="946" spans="1:13" x14ac:dyDescent="0.2">
      <c r="A946" s="237"/>
      <c r="B946" s="302"/>
      <c r="C946" s="302"/>
      <c r="D946" s="302"/>
      <c r="E946" s="303"/>
      <c r="F946" s="302"/>
      <c r="G946" s="302"/>
      <c r="H946" s="302"/>
      <c r="I946" s="303"/>
      <c r="J946" s="302"/>
      <c r="K946" s="302"/>
      <c r="L946" s="302"/>
      <c r="M946" s="236"/>
    </row>
    <row r="947" spans="1:13" x14ac:dyDescent="0.2">
      <c r="A947" s="237"/>
      <c r="B947" s="302"/>
      <c r="C947" s="302"/>
      <c r="D947" s="302"/>
      <c r="E947" s="303"/>
      <c r="F947" s="302"/>
      <c r="G947" s="302"/>
      <c r="H947" s="302"/>
      <c r="I947" s="303"/>
      <c r="J947" s="302"/>
      <c r="K947" s="302"/>
      <c r="L947" s="302"/>
      <c r="M947" s="236"/>
    </row>
    <row r="948" spans="1:13" x14ac:dyDescent="0.2">
      <c r="A948" s="237"/>
      <c r="B948" s="302"/>
      <c r="C948" s="302"/>
      <c r="D948" s="302"/>
      <c r="E948" s="303"/>
      <c r="F948" s="302"/>
      <c r="G948" s="302"/>
      <c r="H948" s="302"/>
      <c r="I948" s="303"/>
      <c r="J948" s="302"/>
      <c r="K948" s="302"/>
      <c r="L948" s="302"/>
      <c r="M948" s="236"/>
    </row>
    <row r="949" spans="1:13" x14ac:dyDescent="0.2">
      <c r="A949" s="237"/>
      <c r="B949" s="302"/>
      <c r="C949" s="302"/>
      <c r="D949" s="302"/>
      <c r="E949" s="303"/>
      <c r="F949" s="302"/>
      <c r="G949" s="302"/>
      <c r="H949" s="302"/>
      <c r="I949" s="303"/>
      <c r="J949" s="302"/>
      <c r="K949" s="302"/>
      <c r="L949" s="302"/>
      <c r="M949" s="236"/>
    </row>
    <row r="950" spans="1:13" x14ac:dyDescent="0.2">
      <c r="A950" s="237"/>
      <c r="B950" s="302"/>
      <c r="C950" s="302"/>
      <c r="D950" s="302"/>
      <c r="E950" s="303"/>
      <c r="F950" s="302"/>
      <c r="G950" s="302"/>
      <c r="H950" s="302"/>
      <c r="I950" s="303"/>
      <c r="J950" s="302"/>
      <c r="K950" s="302"/>
      <c r="L950" s="302"/>
      <c r="M950" s="236"/>
    </row>
    <row r="951" spans="1:13" x14ac:dyDescent="0.2">
      <c r="A951" s="237"/>
      <c r="B951" s="302"/>
      <c r="C951" s="302"/>
      <c r="D951" s="302"/>
      <c r="E951" s="303"/>
      <c r="F951" s="302"/>
      <c r="G951" s="302"/>
      <c r="H951" s="302"/>
      <c r="I951" s="303"/>
      <c r="J951" s="302"/>
      <c r="K951" s="302"/>
      <c r="L951" s="302"/>
      <c r="M951" s="236"/>
    </row>
    <row r="952" spans="1:13" x14ac:dyDescent="0.2">
      <c r="A952" s="237"/>
      <c r="B952" s="302"/>
      <c r="C952" s="302"/>
      <c r="D952" s="302"/>
      <c r="E952" s="303"/>
      <c r="F952" s="302"/>
      <c r="G952" s="302"/>
      <c r="H952" s="302"/>
      <c r="I952" s="303"/>
      <c r="J952" s="302"/>
      <c r="K952" s="302"/>
      <c r="L952" s="302"/>
      <c r="M952" s="236"/>
    </row>
    <row r="953" spans="1:13" x14ac:dyDescent="0.2">
      <c r="A953" s="237"/>
      <c r="B953" s="302"/>
      <c r="C953" s="302"/>
      <c r="D953" s="302"/>
      <c r="E953" s="303"/>
      <c r="F953" s="302"/>
      <c r="G953" s="302"/>
      <c r="H953" s="302"/>
      <c r="I953" s="303"/>
      <c r="J953" s="302"/>
      <c r="K953" s="302"/>
      <c r="L953" s="302"/>
      <c r="M953" s="236"/>
    </row>
    <row r="954" spans="1:13" x14ac:dyDescent="0.2">
      <c r="A954" s="237"/>
      <c r="B954" s="303"/>
      <c r="C954" s="303"/>
      <c r="D954" s="303"/>
      <c r="E954" s="303"/>
      <c r="F954" s="303"/>
      <c r="G954" s="303"/>
      <c r="H954" s="303"/>
      <c r="I954" s="303"/>
      <c r="J954" s="303"/>
      <c r="K954" s="303"/>
      <c r="L954" s="303"/>
      <c r="M954" s="236"/>
    </row>
    <row r="955" spans="1:13" x14ac:dyDescent="0.2">
      <c r="A955" s="237"/>
      <c r="B955" s="237"/>
      <c r="C955" s="237"/>
      <c r="D955" s="237"/>
      <c r="E955" s="237"/>
      <c r="F955" s="237"/>
      <c r="G955" s="237"/>
      <c r="H955" s="237"/>
      <c r="I955" s="237"/>
      <c r="J955" s="237"/>
      <c r="K955" s="237"/>
      <c r="L955" s="240"/>
      <c r="M955" s="236"/>
    </row>
    <row r="956" spans="1:13" x14ac:dyDescent="0.2">
      <c r="A956" s="237"/>
      <c r="B956" s="237"/>
      <c r="C956" s="237"/>
      <c r="D956" s="237"/>
      <c r="E956" s="237"/>
      <c r="F956" s="237"/>
      <c r="G956" s="237"/>
      <c r="H956" s="237"/>
      <c r="I956" s="237"/>
      <c r="J956" s="237"/>
      <c r="K956" s="237"/>
      <c r="L956" s="284"/>
      <c r="M956" s="236"/>
    </row>
    <row r="957" spans="1:13" x14ac:dyDescent="0.2">
      <c r="A957" s="258"/>
      <c r="B957" s="241"/>
      <c r="C957" s="241"/>
      <c r="D957" s="241"/>
      <c r="E957" s="241"/>
      <c r="F957" s="241"/>
      <c r="G957" s="241"/>
      <c r="H957" s="241"/>
      <c r="I957" s="241"/>
      <c r="J957" s="241"/>
      <c r="K957" s="241"/>
      <c r="L957" s="236"/>
      <c r="M957" s="236"/>
    </row>
    <row r="958" spans="1:13" x14ac:dyDescent="0.2">
      <c r="A958" s="241"/>
      <c r="B958" s="375"/>
      <c r="C958" s="375"/>
      <c r="D958" s="375"/>
      <c r="E958" s="253"/>
      <c r="F958" s="375"/>
      <c r="G958" s="375"/>
      <c r="H958" s="375"/>
      <c r="I958" s="253"/>
      <c r="J958" s="375"/>
      <c r="K958" s="375"/>
      <c r="L958" s="375"/>
      <c r="M958" s="236"/>
    </row>
    <row r="959" spans="1:13" x14ac:dyDescent="0.2">
      <c r="A959" s="258"/>
      <c r="B959" s="259"/>
      <c r="C959" s="259"/>
      <c r="D959" s="259"/>
      <c r="E959" s="259"/>
      <c r="F959" s="259"/>
      <c r="G959" s="259"/>
      <c r="H959" s="259"/>
      <c r="I959" s="259"/>
      <c r="J959" s="259"/>
      <c r="K959" s="259"/>
      <c r="L959" s="259"/>
      <c r="M959" s="236"/>
    </row>
    <row r="960" spans="1:13" x14ac:dyDescent="0.2">
      <c r="A960" s="258"/>
      <c r="B960" s="259"/>
      <c r="C960" s="259"/>
      <c r="D960" s="259"/>
      <c r="E960" s="259"/>
      <c r="F960" s="259"/>
      <c r="G960" s="259"/>
      <c r="H960" s="259"/>
      <c r="I960" s="259"/>
      <c r="J960" s="259"/>
      <c r="K960" s="259"/>
      <c r="L960" s="259"/>
      <c r="M960" s="236"/>
    </row>
    <row r="961" spans="1:13" x14ac:dyDescent="0.2">
      <c r="A961" s="237"/>
      <c r="B961" s="302"/>
      <c r="C961" s="302"/>
      <c r="D961" s="302"/>
      <c r="E961" s="303"/>
      <c r="F961" s="302"/>
      <c r="G961" s="302"/>
      <c r="H961" s="302"/>
      <c r="I961" s="303"/>
      <c r="J961" s="302"/>
      <c r="K961" s="302"/>
      <c r="L961" s="302"/>
      <c r="M961" s="236"/>
    </row>
    <row r="962" spans="1:13" x14ac:dyDescent="0.2">
      <c r="A962" s="237"/>
      <c r="B962" s="302"/>
      <c r="C962" s="302"/>
      <c r="D962" s="302"/>
      <c r="E962" s="303"/>
      <c r="F962" s="302"/>
      <c r="G962" s="302"/>
      <c r="H962" s="302"/>
      <c r="I962" s="303"/>
      <c r="J962" s="302"/>
      <c r="K962" s="302"/>
      <c r="L962" s="302"/>
      <c r="M962" s="236"/>
    </row>
    <row r="963" spans="1:13" x14ac:dyDescent="0.2">
      <c r="A963" s="237"/>
      <c r="B963" s="302"/>
      <c r="C963" s="302"/>
      <c r="D963" s="302"/>
      <c r="E963" s="303"/>
      <c r="F963" s="302"/>
      <c r="G963" s="302"/>
      <c r="H963" s="302"/>
      <c r="I963" s="303"/>
      <c r="J963" s="302"/>
      <c r="K963" s="302"/>
      <c r="L963" s="302"/>
      <c r="M963" s="236"/>
    </row>
    <row r="964" spans="1:13" x14ac:dyDescent="0.2">
      <c r="A964" s="237"/>
      <c r="B964" s="302"/>
      <c r="C964" s="302"/>
      <c r="D964" s="302"/>
      <c r="E964" s="303"/>
      <c r="F964" s="302"/>
      <c r="G964" s="302"/>
      <c r="H964" s="302"/>
      <c r="I964" s="303"/>
      <c r="J964" s="302"/>
      <c r="K964" s="302"/>
      <c r="L964" s="302"/>
      <c r="M964" s="236"/>
    </row>
    <row r="965" spans="1:13" x14ac:dyDescent="0.2">
      <c r="A965" s="237"/>
      <c r="B965" s="302"/>
      <c r="C965" s="302"/>
      <c r="D965" s="302"/>
      <c r="E965" s="303"/>
      <c r="F965" s="302"/>
      <c r="G965" s="302"/>
      <c r="H965" s="302"/>
      <c r="I965" s="303"/>
      <c r="J965" s="302"/>
      <c r="K965" s="302"/>
      <c r="L965" s="302"/>
      <c r="M965" s="236"/>
    </row>
    <row r="966" spans="1:13" x14ac:dyDescent="0.2">
      <c r="A966" s="237"/>
      <c r="B966" s="302"/>
      <c r="C966" s="302"/>
      <c r="D966" s="302"/>
      <c r="E966" s="303"/>
      <c r="F966" s="302"/>
      <c r="G966" s="302"/>
      <c r="H966" s="302"/>
      <c r="I966" s="303"/>
      <c r="J966" s="302"/>
      <c r="K966" s="302"/>
      <c r="L966" s="302"/>
      <c r="M966" s="236"/>
    </row>
    <row r="967" spans="1:13" x14ac:dyDescent="0.2">
      <c r="A967" s="237"/>
      <c r="B967" s="302"/>
      <c r="C967" s="302"/>
      <c r="D967" s="302"/>
      <c r="E967" s="303"/>
      <c r="F967" s="302"/>
      <c r="G967" s="302"/>
      <c r="H967" s="302"/>
      <c r="I967" s="303"/>
      <c r="J967" s="302"/>
      <c r="K967" s="302"/>
      <c r="L967" s="302"/>
      <c r="M967" s="236"/>
    </row>
    <row r="968" spans="1:13" x14ac:dyDescent="0.2">
      <c r="A968" s="237"/>
      <c r="B968" s="302"/>
      <c r="C968" s="302"/>
      <c r="D968" s="302"/>
      <c r="E968" s="303"/>
      <c r="F968" s="302"/>
      <c r="G968" s="302"/>
      <c r="H968" s="302"/>
      <c r="I968" s="303"/>
      <c r="J968" s="302"/>
      <c r="K968" s="302"/>
      <c r="L968" s="302"/>
      <c r="M968" s="236"/>
    </row>
    <row r="969" spans="1:13" x14ac:dyDescent="0.2">
      <c r="A969" s="237"/>
      <c r="B969" s="302"/>
      <c r="C969" s="302"/>
      <c r="D969" s="302"/>
      <c r="E969" s="303"/>
      <c r="F969" s="302"/>
      <c r="G969" s="302"/>
      <c r="H969" s="302"/>
      <c r="I969" s="303"/>
      <c r="J969" s="302"/>
      <c r="K969" s="302"/>
      <c r="L969" s="302"/>
      <c r="M969" s="236"/>
    </row>
    <row r="970" spans="1:13" x14ac:dyDescent="0.2">
      <c r="A970" s="237"/>
      <c r="B970" s="302"/>
      <c r="C970" s="302"/>
      <c r="D970" s="302"/>
      <c r="E970" s="303"/>
      <c r="F970" s="302"/>
      <c r="G970" s="302"/>
      <c r="H970" s="302"/>
      <c r="I970" s="303"/>
      <c r="J970" s="302"/>
      <c r="K970" s="302"/>
      <c r="L970" s="302"/>
      <c r="M970" s="236"/>
    </row>
    <row r="971" spans="1:13" x14ac:dyDescent="0.2">
      <c r="A971" s="237"/>
      <c r="B971" s="303"/>
      <c r="C971" s="303"/>
      <c r="D971" s="303"/>
      <c r="E971" s="303"/>
      <c r="F971" s="303"/>
      <c r="G971" s="303"/>
      <c r="H971" s="303"/>
      <c r="I971" s="303"/>
      <c r="J971" s="303"/>
      <c r="K971" s="303"/>
      <c r="L971" s="303"/>
      <c r="M971" s="236"/>
    </row>
    <row r="972" spans="1:13" x14ac:dyDescent="0.2">
      <c r="A972" s="237"/>
      <c r="B972" s="237"/>
      <c r="C972" s="237"/>
      <c r="D972" s="237"/>
      <c r="E972" s="237"/>
      <c r="F972" s="237"/>
      <c r="G972" s="237"/>
      <c r="H972" s="237"/>
      <c r="I972" s="237"/>
      <c r="J972" s="237"/>
      <c r="K972" s="237"/>
      <c r="L972" s="240"/>
      <c r="M972" s="236"/>
    </row>
    <row r="973" spans="1:13" x14ac:dyDescent="0.2">
      <c r="A973" s="237"/>
      <c r="B973" s="237"/>
      <c r="C973" s="237"/>
      <c r="D973" s="237"/>
      <c r="E973" s="237"/>
      <c r="F973" s="237"/>
      <c r="G973" s="237"/>
      <c r="H973" s="237"/>
      <c r="I973" s="237"/>
      <c r="J973" s="237"/>
      <c r="K973" s="237"/>
      <c r="L973" s="284"/>
      <c r="M973" s="236"/>
    </row>
    <row r="974" spans="1:13" x14ac:dyDescent="0.2">
      <c r="A974" s="258"/>
      <c r="B974" s="241"/>
      <c r="C974" s="241"/>
      <c r="D974" s="241"/>
      <c r="E974" s="241"/>
      <c r="F974" s="241"/>
      <c r="G974" s="241"/>
      <c r="H974" s="241"/>
      <c r="I974" s="241"/>
      <c r="J974" s="241"/>
      <c r="K974" s="241"/>
      <c r="L974" s="236"/>
      <c r="M974" s="236"/>
    </row>
    <row r="975" spans="1:13" x14ac:dyDescent="0.2">
      <c r="A975" s="241"/>
      <c r="B975" s="375"/>
      <c r="C975" s="375"/>
      <c r="D975" s="375"/>
      <c r="E975" s="253"/>
      <c r="F975" s="375"/>
      <c r="G975" s="375"/>
      <c r="H975" s="375"/>
      <c r="I975" s="253"/>
      <c r="J975" s="375"/>
      <c r="K975" s="375"/>
      <c r="L975" s="375"/>
      <c r="M975" s="236"/>
    </row>
    <row r="976" spans="1:13" x14ac:dyDescent="0.2">
      <c r="A976" s="258"/>
      <c r="B976" s="259"/>
      <c r="C976" s="259"/>
      <c r="D976" s="259"/>
      <c r="E976" s="259"/>
      <c r="F976" s="259"/>
      <c r="G976" s="259"/>
      <c r="H976" s="259"/>
      <c r="I976" s="259"/>
      <c r="J976" s="259"/>
      <c r="K976" s="259"/>
      <c r="L976" s="259"/>
      <c r="M976" s="236"/>
    </row>
    <row r="977" spans="1:13" x14ac:dyDescent="0.2">
      <c r="A977" s="258"/>
      <c r="B977" s="259"/>
      <c r="C977" s="259"/>
      <c r="D977" s="259"/>
      <c r="E977" s="259"/>
      <c r="F977" s="259"/>
      <c r="G977" s="259"/>
      <c r="H977" s="259"/>
      <c r="I977" s="259"/>
      <c r="J977" s="259"/>
      <c r="K977" s="259"/>
      <c r="L977" s="259"/>
      <c r="M977" s="236"/>
    </row>
    <row r="978" spans="1:13" x14ac:dyDescent="0.2">
      <c r="A978" s="237"/>
      <c r="B978" s="302"/>
      <c r="C978" s="302"/>
      <c r="D978" s="302"/>
      <c r="E978" s="303"/>
      <c r="F978" s="302"/>
      <c r="G978" s="302"/>
      <c r="H978" s="302"/>
      <c r="I978" s="303"/>
      <c r="J978" s="302"/>
      <c r="K978" s="302"/>
      <c r="L978" s="302"/>
      <c r="M978" s="236"/>
    </row>
    <row r="979" spans="1:13" x14ac:dyDescent="0.2">
      <c r="A979" s="237"/>
      <c r="B979" s="302"/>
      <c r="C979" s="302"/>
      <c r="D979" s="302"/>
      <c r="E979" s="303"/>
      <c r="F979" s="302"/>
      <c r="G979" s="302"/>
      <c r="H979" s="302"/>
      <c r="I979" s="303"/>
      <c r="J979" s="302"/>
      <c r="K979" s="302"/>
      <c r="L979" s="302"/>
      <c r="M979" s="236"/>
    </row>
    <row r="980" spans="1:13" x14ac:dyDescent="0.2">
      <c r="A980" s="237"/>
      <c r="B980" s="302"/>
      <c r="C980" s="302"/>
      <c r="D980" s="302"/>
      <c r="E980" s="303"/>
      <c r="F980" s="302"/>
      <c r="G980" s="302"/>
      <c r="H980" s="302"/>
      <c r="I980" s="303"/>
      <c r="J980" s="302"/>
      <c r="K980" s="302"/>
      <c r="L980" s="302"/>
      <c r="M980" s="236"/>
    </row>
    <row r="981" spans="1:13" x14ac:dyDescent="0.2">
      <c r="A981" s="237"/>
      <c r="B981" s="302"/>
      <c r="C981" s="302"/>
      <c r="D981" s="302"/>
      <c r="E981" s="303"/>
      <c r="F981" s="302"/>
      <c r="G981" s="302"/>
      <c r="H981" s="302"/>
      <c r="I981" s="303"/>
      <c r="J981" s="302"/>
      <c r="K981" s="302"/>
      <c r="L981" s="302"/>
      <c r="M981" s="236"/>
    </row>
    <row r="982" spans="1:13" x14ac:dyDescent="0.2">
      <c r="A982" s="237"/>
      <c r="B982" s="302"/>
      <c r="C982" s="302"/>
      <c r="D982" s="302"/>
      <c r="E982" s="303"/>
      <c r="F982" s="302"/>
      <c r="G982" s="302"/>
      <c r="H982" s="302"/>
      <c r="I982" s="303"/>
      <c r="J982" s="302"/>
      <c r="K982" s="302"/>
      <c r="L982" s="302"/>
      <c r="M982" s="236"/>
    </row>
    <row r="983" spans="1:13" x14ac:dyDescent="0.2">
      <c r="A983" s="237"/>
      <c r="B983" s="302"/>
      <c r="C983" s="302"/>
      <c r="D983" s="302"/>
      <c r="E983" s="303"/>
      <c r="F983" s="302"/>
      <c r="G983" s="302"/>
      <c r="H983" s="302"/>
      <c r="I983" s="303"/>
      <c r="J983" s="302"/>
      <c r="K983" s="302"/>
      <c r="L983" s="302"/>
      <c r="M983" s="236"/>
    </row>
    <row r="984" spans="1:13" x14ac:dyDescent="0.2">
      <c r="A984" s="237"/>
      <c r="B984" s="302"/>
      <c r="C984" s="302"/>
      <c r="D984" s="302"/>
      <c r="E984" s="303"/>
      <c r="F984" s="302"/>
      <c r="G984" s="302"/>
      <c r="H984" s="302"/>
      <c r="I984" s="303"/>
      <c r="J984" s="302"/>
      <c r="K984" s="302"/>
      <c r="L984" s="302"/>
      <c r="M984" s="236"/>
    </row>
    <row r="985" spans="1:13" x14ac:dyDescent="0.2">
      <c r="A985" s="237"/>
      <c r="B985" s="302"/>
      <c r="C985" s="302"/>
      <c r="D985" s="302"/>
      <c r="E985" s="303"/>
      <c r="F985" s="302"/>
      <c r="G985" s="302"/>
      <c r="H985" s="302"/>
      <c r="I985" s="303"/>
      <c r="J985" s="302"/>
      <c r="K985" s="302"/>
      <c r="L985" s="302"/>
      <c r="M985" s="236"/>
    </row>
    <row r="986" spans="1:13" x14ac:dyDescent="0.2">
      <c r="A986" s="237"/>
      <c r="B986" s="302"/>
      <c r="C986" s="302"/>
      <c r="D986" s="302"/>
      <c r="E986" s="303"/>
      <c r="F986" s="302"/>
      <c r="G986" s="302"/>
      <c r="H986" s="302"/>
      <c r="I986" s="303"/>
      <c r="J986" s="302"/>
      <c r="K986" s="302"/>
      <c r="L986" s="302"/>
      <c r="M986" s="236"/>
    </row>
    <row r="987" spans="1:13" x14ac:dyDescent="0.2">
      <c r="A987" s="237"/>
      <c r="B987" s="302"/>
      <c r="C987" s="302"/>
      <c r="D987" s="302"/>
      <c r="E987" s="303"/>
      <c r="F987" s="302"/>
      <c r="G987" s="302"/>
      <c r="H987" s="302"/>
      <c r="I987" s="303"/>
      <c r="J987" s="302"/>
      <c r="K987" s="302"/>
      <c r="L987" s="302"/>
      <c r="M987" s="236"/>
    </row>
    <row r="988" spans="1:13" x14ac:dyDescent="0.2">
      <c r="A988" s="237"/>
      <c r="B988" s="303"/>
      <c r="C988" s="303"/>
      <c r="D988" s="303"/>
      <c r="E988" s="303"/>
      <c r="F988" s="303"/>
      <c r="G988" s="303"/>
      <c r="H988" s="303"/>
      <c r="I988" s="303"/>
      <c r="J988" s="303"/>
      <c r="K988" s="303"/>
      <c r="L988" s="303"/>
      <c r="M988" s="236"/>
    </row>
    <row r="989" spans="1:13" x14ac:dyDescent="0.2">
      <c r="A989" s="237"/>
      <c r="B989" s="237"/>
      <c r="C989" s="237"/>
      <c r="D989" s="237"/>
      <c r="E989" s="237"/>
      <c r="F989" s="237"/>
      <c r="G989" s="237"/>
      <c r="H989" s="237"/>
      <c r="I989" s="237"/>
      <c r="J989" s="237"/>
      <c r="K989" s="237"/>
      <c r="L989" s="240"/>
      <c r="M989" s="236"/>
    </row>
    <row r="990" spans="1:13" x14ac:dyDescent="0.2">
      <c r="A990" s="237"/>
      <c r="B990" s="237"/>
      <c r="C990" s="237"/>
      <c r="D990" s="237"/>
      <c r="E990" s="237"/>
      <c r="F990" s="237"/>
      <c r="G990" s="237"/>
      <c r="H990" s="237"/>
      <c r="I990" s="237"/>
      <c r="J990" s="237"/>
      <c r="K990" s="237"/>
      <c r="L990" s="284"/>
      <c r="M990" s="236"/>
    </row>
    <row r="991" spans="1:13" x14ac:dyDescent="0.2">
      <c r="A991" s="258"/>
      <c r="B991" s="241"/>
      <c r="C991" s="241"/>
      <c r="D991" s="241"/>
      <c r="E991" s="241"/>
      <c r="F991" s="241"/>
      <c r="G991" s="241"/>
      <c r="H991" s="241"/>
      <c r="I991" s="241"/>
      <c r="J991" s="241"/>
      <c r="K991" s="241"/>
      <c r="L991" s="236"/>
      <c r="M991" s="236"/>
    </row>
    <row r="992" spans="1:13" x14ac:dyDescent="0.2">
      <c r="A992" s="241"/>
      <c r="B992" s="375"/>
      <c r="C992" s="375"/>
      <c r="D992" s="375"/>
      <c r="E992" s="253"/>
      <c r="F992" s="375"/>
      <c r="G992" s="375"/>
      <c r="H992" s="375"/>
      <c r="I992" s="253"/>
      <c r="J992" s="375"/>
      <c r="K992" s="375"/>
      <c r="L992" s="375"/>
      <c r="M992" s="236"/>
    </row>
    <row r="993" spans="1:13" x14ac:dyDescent="0.2">
      <c r="A993" s="258"/>
      <c r="B993" s="259"/>
      <c r="C993" s="259"/>
      <c r="D993" s="259"/>
      <c r="E993" s="259"/>
      <c r="F993" s="259"/>
      <c r="G993" s="259"/>
      <c r="H993" s="259"/>
      <c r="I993" s="259"/>
      <c r="J993" s="259"/>
      <c r="K993" s="259"/>
      <c r="L993" s="259"/>
      <c r="M993" s="236"/>
    </row>
    <row r="994" spans="1:13" x14ac:dyDescent="0.2">
      <c r="A994" s="258"/>
      <c r="B994" s="259"/>
      <c r="C994" s="259"/>
      <c r="D994" s="259"/>
      <c r="E994" s="259"/>
      <c r="F994" s="259"/>
      <c r="G994" s="259"/>
      <c r="H994" s="259"/>
      <c r="I994" s="259"/>
      <c r="J994" s="259"/>
      <c r="K994" s="259"/>
      <c r="L994" s="259"/>
      <c r="M994" s="236"/>
    </row>
    <row r="995" spans="1:13" x14ac:dyDescent="0.2">
      <c r="A995" s="237"/>
      <c r="B995" s="302"/>
      <c r="C995" s="302"/>
      <c r="D995" s="302"/>
      <c r="E995" s="303"/>
      <c r="F995" s="302"/>
      <c r="G995" s="302"/>
      <c r="H995" s="302"/>
      <c r="I995" s="303"/>
      <c r="J995" s="302"/>
      <c r="K995" s="302"/>
      <c r="L995" s="302"/>
      <c r="M995" s="236"/>
    </row>
    <row r="996" spans="1:13" x14ac:dyDescent="0.2">
      <c r="A996" s="237"/>
      <c r="B996" s="302"/>
      <c r="C996" s="302"/>
      <c r="D996" s="302"/>
      <c r="E996" s="303"/>
      <c r="F996" s="302"/>
      <c r="G996" s="302"/>
      <c r="H996" s="302"/>
      <c r="I996" s="303"/>
      <c r="J996" s="302"/>
      <c r="K996" s="302"/>
      <c r="L996" s="302"/>
      <c r="M996" s="236"/>
    </row>
    <row r="997" spans="1:13" x14ac:dyDescent="0.2">
      <c r="A997" s="237"/>
      <c r="B997" s="302"/>
      <c r="C997" s="302"/>
      <c r="D997" s="302"/>
      <c r="E997" s="303"/>
      <c r="F997" s="302"/>
      <c r="G997" s="302"/>
      <c r="H997" s="302"/>
      <c r="I997" s="303"/>
      <c r="J997" s="302"/>
      <c r="K997" s="302"/>
      <c r="L997" s="302"/>
      <c r="M997" s="236"/>
    </row>
    <row r="998" spans="1:13" x14ac:dyDescent="0.2">
      <c r="A998" s="237"/>
      <c r="B998" s="302"/>
      <c r="C998" s="302"/>
      <c r="D998" s="302"/>
      <c r="E998" s="303"/>
      <c r="F998" s="302"/>
      <c r="G998" s="302"/>
      <c r="H998" s="302"/>
      <c r="I998" s="303"/>
      <c r="J998" s="302"/>
      <c r="K998" s="302"/>
      <c r="L998" s="302"/>
      <c r="M998" s="236"/>
    </row>
    <row r="999" spans="1:13" x14ac:dyDescent="0.2">
      <c r="A999" s="237"/>
      <c r="B999" s="302"/>
      <c r="C999" s="302"/>
      <c r="D999" s="302"/>
      <c r="E999" s="303"/>
      <c r="F999" s="302"/>
      <c r="G999" s="302"/>
      <c r="H999" s="302"/>
      <c r="I999" s="303"/>
      <c r="J999" s="302"/>
      <c r="K999" s="302"/>
      <c r="L999" s="302"/>
      <c r="M999" s="236"/>
    </row>
    <row r="1000" spans="1:13" x14ac:dyDescent="0.2">
      <c r="A1000" s="237"/>
      <c r="B1000" s="302"/>
      <c r="C1000" s="302"/>
      <c r="D1000" s="302"/>
      <c r="E1000" s="303"/>
      <c r="F1000" s="302"/>
      <c r="G1000" s="302"/>
      <c r="H1000" s="302"/>
      <c r="I1000" s="303"/>
      <c r="J1000" s="302"/>
      <c r="K1000" s="302"/>
      <c r="L1000" s="302"/>
      <c r="M1000" s="236"/>
    </row>
    <row r="1001" spans="1:13" x14ac:dyDescent="0.2">
      <c r="A1001" s="237"/>
      <c r="B1001" s="302"/>
      <c r="C1001" s="302"/>
      <c r="D1001" s="302"/>
      <c r="E1001" s="303"/>
      <c r="F1001" s="302"/>
      <c r="G1001" s="302"/>
      <c r="H1001" s="302"/>
      <c r="I1001" s="303"/>
      <c r="J1001" s="302"/>
      <c r="K1001" s="302"/>
      <c r="L1001" s="302"/>
      <c r="M1001" s="236"/>
    </row>
    <row r="1002" spans="1:13" x14ac:dyDescent="0.2">
      <c r="A1002" s="237"/>
      <c r="B1002" s="302"/>
      <c r="C1002" s="302"/>
      <c r="D1002" s="302"/>
      <c r="E1002" s="303"/>
      <c r="F1002" s="302"/>
      <c r="G1002" s="302"/>
      <c r="H1002" s="302"/>
      <c r="I1002" s="303"/>
      <c r="J1002" s="302"/>
      <c r="K1002" s="302"/>
      <c r="L1002" s="302"/>
      <c r="M1002" s="236"/>
    </row>
    <row r="1003" spans="1:13" x14ac:dyDescent="0.2">
      <c r="A1003" s="237"/>
      <c r="B1003" s="302"/>
      <c r="C1003" s="302"/>
      <c r="D1003" s="302"/>
      <c r="E1003" s="303"/>
      <c r="F1003" s="302"/>
      <c r="G1003" s="302"/>
      <c r="H1003" s="302"/>
      <c r="I1003" s="303"/>
      <c r="J1003" s="302"/>
      <c r="K1003" s="302"/>
      <c r="L1003" s="302"/>
      <c r="M1003" s="236"/>
    </row>
    <row r="1004" spans="1:13" x14ac:dyDescent="0.2">
      <c r="A1004" s="237"/>
      <c r="B1004" s="302"/>
      <c r="C1004" s="302"/>
      <c r="D1004" s="302"/>
      <c r="E1004" s="303"/>
      <c r="F1004" s="302"/>
      <c r="G1004" s="302"/>
      <c r="H1004" s="302"/>
      <c r="I1004" s="303"/>
      <c r="J1004" s="302"/>
      <c r="K1004" s="302"/>
      <c r="L1004" s="302"/>
      <c r="M1004" s="236"/>
    </row>
    <row r="1005" spans="1:13" x14ac:dyDescent="0.2">
      <c r="A1005" s="237"/>
      <c r="B1005" s="303"/>
      <c r="C1005" s="303"/>
      <c r="D1005" s="303"/>
      <c r="E1005" s="303"/>
      <c r="F1005" s="303"/>
      <c r="G1005" s="303"/>
      <c r="H1005" s="303"/>
      <c r="I1005" s="303"/>
      <c r="J1005" s="303"/>
      <c r="K1005" s="303"/>
      <c r="L1005" s="303"/>
      <c r="M1005" s="236"/>
    </row>
    <row r="1006" spans="1:13" x14ac:dyDescent="0.2">
      <c r="A1006" s="237"/>
      <c r="B1006" s="237"/>
      <c r="C1006" s="237"/>
      <c r="D1006" s="237"/>
      <c r="E1006" s="237"/>
      <c r="F1006" s="237"/>
      <c r="G1006" s="237"/>
      <c r="H1006" s="237"/>
      <c r="I1006" s="237"/>
      <c r="J1006" s="237"/>
      <c r="K1006" s="237"/>
      <c r="L1006" s="240"/>
      <c r="M1006" s="236"/>
    </row>
    <row r="1007" spans="1:13" x14ac:dyDescent="0.2">
      <c r="A1007" s="237"/>
      <c r="B1007" s="237"/>
      <c r="C1007" s="237"/>
      <c r="D1007" s="237"/>
      <c r="E1007" s="237"/>
      <c r="F1007" s="237"/>
      <c r="G1007" s="237"/>
      <c r="H1007" s="237"/>
      <c r="I1007" s="237"/>
      <c r="J1007" s="237"/>
      <c r="K1007" s="237"/>
      <c r="L1007" s="284"/>
      <c r="M1007" s="236"/>
    </row>
    <row r="1008" spans="1:13" x14ac:dyDescent="0.2">
      <c r="A1008" s="258"/>
      <c r="B1008" s="241"/>
      <c r="C1008" s="241"/>
      <c r="D1008" s="241"/>
      <c r="E1008" s="241"/>
      <c r="F1008" s="241"/>
      <c r="G1008" s="241"/>
      <c r="H1008" s="241"/>
      <c r="I1008" s="241"/>
      <c r="J1008" s="241"/>
      <c r="K1008" s="241"/>
      <c r="L1008" s="236"/>
      <c r="M1008" s="236"/>
    </row>
    <row r="1009" spans="1:13" x14ac:dyDescent="0.2">
      <c r="A1009" s="241"/>
      <c r="B1009" s="375"/>
      <c r="C1009" s="375"/>
      <c r="D1009" s="375"/>
      <c r="E1009" s="253"/>
      <c r="F1009" s="375"/>
      <c r="G1009" s="375"/>
      <c r="H1009" s="375"/>
      <c r="I1009" s="253"/>
      <c r="J1009" s="375"/>
      <c r="K1009" s="375"/>
      <c r="L1009" s="375"/>
      <c r="M1009" s="236"/>
    </row>
    <row r="1010" spans="1:13" x14ac:dyDescent="0.2">
      <c r="A1010" s="258"/>
      <c r="B1010" s="259"/>
      <c r="C1010" s="259"/>
      <c r="D1010" s="259"/>
      <c r="E1010" s="259"/>
      <c r="F1010" s="259"/>
      <c r="G1010" s="259"/>
      <c r="H1010" s="259"/>
      <c r="I1010" s="259"/>
      <c r="J1010" s="259"/>
      <c r="K1010" s="259"/>
      <c r="L1010" s="259"/>
      <c r="M1010" s="236"/>
    </row>
    <row r="1011" spans="1:13" x14ac:dyDescent="0.2">
      <c r="A1011" s="258"/>
      <c r="B1011" s="259"/>
      <c r="C1011" s="259"/>
      <c r="D1011" s="259"/>
      <c r="E1011" s="259"/>
      <c r="F1011" s="259"/>
      <c r="G1011" s="259"/>
      <c r="H1011" s="259"/>
      <c r="I1011" s="259"/>
      <c r="J1011" s="259"/>
      <c r="K1011" s="259"/>
      <c r="L1011" s="259"/>
      <c r="M1011" s="236"/>
    </row>
    <row r="1012" spans="1:13" x14ac:dyDescent="0.2">
      <c r="A1012" s="237"/>
      <c r="B1012" s="302"/>
      <c r="C1012" s="302"/>
      <c r="D1012" s="302"/>
      <c r="E1012" s="303"/>
      <c r="F1012" s="302"/>
      <c r="G1012" s="302"/>
      <c r="H1012" s="302"/>
      <c r="I1012" s="303"/>
      <c r="J1012" s="302"/>
      <c r="K1012" s="302"/>
      <c r="L1012" s="302"/>
      <c r="M1012" s="236"/>
    </row>
    <row r="1013" spans="1:13" x14ac:dyDescent="0.2">
      <c r="A1013" s="237"/>
      <c r="B1013" s="302"/>
      <c r="C1013" s="302"/>
      <c r="D1013" s="302"/>
      <c r="E1013" s="303"/>
      <c r="F1013" s="302"/>
      <c r="G1013" s="302"/>
      <c r="H1013" s="302"/>
      <c r="I1013" s="303"/>
      <c r="J1013" s="302"/>
      <c r="K1013" s="302"/>
      <c r="L1013" s="302"/>
      <c r="M1013" s="236"/>
    </row>
    <row r="1014" spans="1:13" x14ac:dyDescent="0.2">
      <c r="A1014" s="237"/>
      <c r="B1014" s="302"/>
      <c r="C1014" s="302"/>
      <c r="D1014" s="302"/>
      <c r="E1014" s="303"/>
      <c r="F1014" s="302"/>
      <c r="G1014" s="302"/>
      <c r="H1014" s="302"/>
      <c r="I1014" s="303"/>
      <c r="J1014" s="302"/>
      <c r="K1014" s="302"/>
      <c r="L1014" s="302"/>
      <c r="M1014" s="236"/>
    </row>
    <row r="1015" spans="1:13" x14ac:dyDescent="0.2">
      <c r="A1015" s="237"/>
      <c r="B1015" s="302"/>
      <c r="C1015" s="302"/>
      <c r="D1015" s="302"/>
      <c r="E1015" s="303"/>
      <c r="F1015" s="302"/>
      <c r="G1015" s="302"/>
      <c r="H1015" s="302"/>
      <c r="I1015" s="303"/>
      <c r="J1015" s="302"/>
      <c r="K1015" s="302"/>
      <c r="L1015" s="302"/>
      <c r="M1015" s="236"/>
    </row>
    <row r="1016" spans="1:13" x14ac:dyDescent="0.2">
      <c r="A1016" s="237"/>
      <c r="B1016" s="302"/>
      <c r="C1016" s="302"/>
      <c r="D1016" s="302"/>
      <c r="E1016" s="303"/>
      <c r="F1016" s="302"/>
      <c r="G1016" s="302"/>
      <c r="H1016" s="302"/>
      <c r="I1016" s="303"/>
      <c r="J1016" s="302"/>
      <c r="K1016" s="302"/>
      <c r="L1016" s="302"/>
      <c r="M1016" s="236"/>
    </row>
    <row r="1017" spans="1:13" x14ac:dyDescent="0.2">
      <c r="A1017" s="237"/>
      <c r="B1017" s="302"/>
      <c r="C1017" s="302"/>
      <c r="D1017" s="302"/>
      <c r="E1017" s="303"/>
      <c r="F1017" s="302"/>
      <c r="G1017" s="302"/>
      <c r="H1017" s="302"/>
      <c r="I1017" s="303"/>
      <c r="J1017" s="302"/>
      <c r="K1017" s="302"/>
      <c r="L1017" s="302"/>
      <c r="M1017" s="236"/>
    </row>
    <row r="1018" spans="1:13" x14ac:dyDescent="0.2">
      <c r="A1018" s="237"/>
      <c r="B1018" s="302"/>
      <c r="C1018" s="302"/>
      <c r="D1018" s="302"/>
      <c r="E1018" s="303"/>
      <c r="F1018" s="302"/>
      <c r="G1018" s="302"/>
      <c r="H1018" s="302"/>
      <c r="I1018" s="303"/>
      <c r="J1018" s="302"/>
      <c r="K1018" s="302"/>
      <c r="L1018" s="302"/>
      <c r="M1018" s="236"/>
    </row>
    <row r="1019" spans="1:13" x14ac:dyDescent="0.2">
      <c r="A1019" s="237"/>
      <c r="B1019" s="302"/>
      <c r="C1019" s="302"/>
      <c r="D1019" s="302"/>
      <c r="E1019" s="303"/>
      <c r="F1019" s="302"/>
      <c r="G1019" s="302"/>
      <c r="H1019" s="302"/>
      <c r="I1019" s="303"/>
      <c r="J1019" s="302"/>
      <c r="K1019" s="302"/>
      <c r="L1019" s="302"/>
      <c r="M1019" s="236"/>
    </row>
    <row r="1020" spans="1:13" x14ac:dyDescent="0.2">
      <c r="A1020" s="237"/>
      <c r="B1020" s="302"/>
      <c r="C1020" s="302"/>
      <c r="D1020" s="302"/>
      <c r="E1020" s="303"/>
      <c r="F1020" s="302"/>
      <c r="G1020" s="302"/>
      <c r="H1020" s="302"/>
      <c r="I1020" s="303"/>
      <c r="J1020" s="302"/>
      <c r="K1020" s="302"/>
      <c r="L1020" s="302"/>
      <c r="M1020" s="236"/>
    </row>
    <row r="1021" spans="1:13" x14ac:dyDescent="0.2">
      <c r="A1021" s="237"/>
      <c r="B1021" s="302"/>
      <c r="C1021" s="302"/>
      <c r="D1021" s="302"/>
      <c r="E1021" s="303"/>
      <c r="F1021" s="302"/>
      <c r="G1021" s="302"/>
      <c r="H1021" s="302"/>
      <c r="I1021" s="303"/>
      <c r="J1021" s="302"/>
      <c r="K1021" s="302"/>
      <c r="L1021" s="302"/>
      <c r="M1021" s="236"/>
    </row>
    <row r="1022" spans="1:13" x14ac:dyDescent="0.2">
      <c r="A1022" s="237"/>
      <c r="B1022" s="303"/>
      <c r="C1022" s="303"/>
      <c r="D1022" s="303"/>
      <c r="E1022" s="303"/>
      <c r="F1022" s="303"/>
      <c r="G1022" s="303"/>
      <c r="H1022" s="303"/>
      <c r="I1022" s="303"/>
      <c r="J1022" s="303"/>
      <c r="K1022" s="303"/>
      <c r="L1022" s="303"/>
      <c r="M1022" s="236"/>
    </row>
    <row r="1023" spans="1:13" x14ac:dyDescent="0.2">
      <c r="A1023" s="237"/>
      <c r="B1023" s="237"/>
      <c r="C1023" s="237"/>
      <c r="D1023" s="237"/>
      <c r="E1023" s="237"/>
      <c r="F1023" s="237"/>
      <c r="G1023" s="237"/>
      <c r="H1023" s="237"/>
      <c r="I1023" s="237"/>
      <c r="J1023" s="237"/>
      <c r="K1023" s="237"/>
      <c r="L1023" s="240"/>
      <c r="M1023" s="236"/>
    </row>
    <row r="1024" spans="1:13" x14ac:dyDescent="0.2">
      <c r="A1024" s="237"/>
      <c r="B1024" s="237"/>
      <c r="C1024" s="237"/>
      <c r="D1024" s="237"/>
      <c r="E1024" s="237"/>
      <c r="F1024" s="237"/>
      <c r="G1024" s="237"/>
      <c r="H1024" s="237"/>
      <c r="I1024" s="237"/>
      <c r="J1024" s="237"/>
      <c r="K1024" s="237"/>
      <c r="L1024" s="284"/>
      <c r="M1024" s="236"/>
    </row>
    <row r="1025" spans="1:13" x14ac:dyDescent="0.2">
      <c r="A1025" s="258"/>
      <c r="B1025" s="241"/>
      <c r="C1025" s="241"/>
      <c r="D1025" s="241"/>
      <c r="E1025" s="241"/>
      <c r="F1025" s="241"/>
      <c r="G1025" s="241"/>
      <c r="H1025" s="241"/>
      <c r="I1025" s="241"/>
      <c r="J1025" s="241"/>
      <c r="K1025" s="241"/>
      <c r="L1025" s="236"/>
      <c r="M1025" s="236"/>
    </row>
    <row r="1026" spans="1:13" x14ac:dyDescent="0.2">
      <c r="A1026" s="241"/>
      <c r="B1026" s="375"/>
      <c r="C1026" s="375"/>
      <c r="D1026" s="375"/>
      <c r="E1026" s="253"/>
      <c r="F1026" s="375"/>
      <c r="G1026" s="375"/>
      <c r="H1026" s="375"/>
      <c r="I1026" s="253"/>
      <c r="J1026" s="375"/>
      <c r="K1026" s="375"/>
      <c r="L1026" s="375"/>
      <c r="M1026" s="236"/>
    </row>
    <row r="1027" spans="1:13" x14ac:dyDescent="0.2">
      <c r="A1027" s="258"/>
      <c r="B1027" s="259"/>
      <c r="C1027" s="259"/>
      <c r="D1027" s="259"/>
      <c r="E1027" s="259"/>
      <c r="F1027" s="259"/>
      <c r="G1027" s="259"/>
      <c r="H1027" s="259"/>
      <c r="I1027" s="259"/>
      <c r="J1027" s="259"/>
      <c r="K1027" s="259"/>
      <c r="L1027" s="259"/>
      <c r="M1027" s="236"/>
    </row>
    <row r="1028" spans="1:13" x14ac:dyDescent="0.2">
      <c r="A1028" s="258"/>
      <c r="B1028" s="259"/>
      <c r="C1028" s="259"/>
      <c r="D1028" s="259"/>
      <c r="E1028" s="259"/>
      <c r="F1028" s="259"/>
      <c r="G1028" s="259"/>
      <c r="H1028" s="259"/>
      <c r="I1028" s="259"/>
      <c r="J1028" s="259"/>
      <c r="K1028" s="259"/>
      <c r="L1028" s="259"/>
      <c r="M1028" s="236"/>
    </row>
    <row r="1029" spans="1:13" x14ac:dyDescent="0.2">
      <c r="A1029" s="237"/>
      <c r="B1029" s="302"/>
      <c r="C1029" s="302"/>
      <c r="D1029" s="302"/>
      <c r="E1029" s="303"/>
      <c r="F1029" s="302"/>
      <c r="G1029" s="302"/>
      <c r="H1029" s="302"/>
      <c r="I1029" s="303"/>
      <c r="J1029" s="302"/>
      <c r="K1029" s="302"/>
      <c r="L1029" s="302"/>
      <c r="M1029" s="236"/>
    </row>
    <row r="1030" spans="1:13" x14ac:dyDescent="0.2">
      <c r="A1030" s="237"/>
      <c r="B1030" s="302"/>
      <c r="C1030" s="302"/>
      <c r="D1030" s="302"/>
      <c r="E1030" s="303"/>
      <c r="F1030" s="302"/>
      <c r="G1030" s="302"/>
      <c r="H1030" s="302"/>
      <c r="I1030" s="303"/>
      <c r="J1030" s="302"/>
      <c r="K1030" s="302"/>
      <c r="L1030" s="302"/>
      <c r="M1030" s="236"/>
    </row>
    <row r="1031" spans="1:13" x14ac:dyDescent="0.2">
      <c r="A1031" s="237"/>
      <c r="B1031" s="302"/>
      <c r="C1031" s="302"/>
      <c r="D1031" s="302"/>
      <c r="E1031" s="303"/>
      <c r="F1031" s="302"/>
      <c r="G1031" s="302"/>
      <c r="H1031" s="302"/>
      <c r="I1031" s="303"/>
      <c r="J1031" s="302"/>
      <c r="K1031" s="302"/>
      <c r="L1031" s="302"/>
      <c r="M1031" s="236"/>
    </row>
    <row r="1032" spans="1:13" x14ac:dyDescent="0.2">
      <c r="A1032" s="237"/>
      <c r="B1032" s="302"/>
      <c r="C1032" s="302"/>
      <c r="D1032" s="302"/>
      <c r="E1032" s="303"/>
      <c r="F1032" s="302"/>
      <c r="G1032" s="302"/>
      <c r="H1032" s="302"/>
      <c r="I1032" s="303"/>
      <c r="J1032" s="302"/>
      <c r="K1032" s="302"/>
      <c r="L1032" s="302"/>
      <c r="M1032" s="236"/>
    </row>
    <row r="1033" spans="1:13" x14ac:dyDescent="0.2">
      <c r="A1033" s="237"/>
      <c r="B1033" s="302"/>
      <c r="C1033" s="302"/>
      <c r="D1033" s="302"/>
      <c r="E1033" s="303"/>
      <c r="F1033" s="302"/>
      <c r="G1033" s="302"/>
      <c r="H1033" s="302"/>
      <c r="I1033" s="303"/>
      <c r="J1033" s="302"/>
      <c r="K1033" s="302"/>
      <c r="L1033" s="302"/>
      <c r="M1033" s="236"/>
    </row>
    <row r="1034" spans="1:13" x14ac:dyDescent="0.2">
      <c r="A1034" s="237"/>
      <c r="B1034" s="302"/>
      <c r="C1034" s="302"/>
      <c r="D1034" s="302"/>
      <c r="E1034" s="303"/>
      <c r="F1034" s="302"/>
      <c r="G1034" s="302"/>
      <c r="H1034" s="302"/>
      <c r="I1034" s="303"/>
      <c r="J1034" s="302"/>
      <c r="K1034" s="302"/>
      <c r="L1034" s="302"/>
      <c r="M1034" s="236"/>
    </row>
    <row r="1035" spans="1:13" x14ac:dyDescent="0.2">
      <c r="A1035" s="237"/>
      <c r="B1035" s="302"/>
      <c r="C1035" s="302"/>
      <c r="D1035" s="302"/>
      <c r="E1035" s="303"/>
      <c r="F1035" s="302"/>
      <c r="G1035" s="302"/>
      <c r="H1035" s="302"/>
      <c r="I1035" s="303"/>
      <c r="J1035" s="302"/>
      <c r="K1035" s="302"/>
      <c r="L1035" s="302"/>
      <c r="M1035" s="236"/>
    </row>
    <row r="1036" spans="1:13" x14ac:dyDescent="0.2">
      <c r="A1036" s="237"/>
      <c r="B1036" s="302"/>
      <c r="C1036" s="302"/>
      <c r="D1036" s="302"/>
      <c r="E1036" s="303"/>
      <c r="F1036" s="302"/>
      <c r="G1036" s="302"/>
      <c r="H1036" s="302"/>
      <c r="I1036" s="303"/>
      <c r="J1036" s="302"/>
      <c r="K1036" s="302"/>
      <c r="L1036" s="302"/>
      <c r="M1036" s="236"/>
    </row>
    <row r="1037" spans="1:13" ht="13.5" customHeight="1" x14ac:dyDescent="0.2">
      <c r="A1037" s="237"/>
      <c r="B1037" s="302"/>
      <c r="C1037" s="302"/>
      <c r="D1037" s="302"/>
      <c r="E1037" s="303"/>
      <c r="F1037" s="302"/>
      <c r="G1037" s="302"/>
      <c r="H1037" s="302"/>
      <c r="I1037" s="303"/>
      <c r="J1037" s="302"/>
      <c r="K1037" s="302"/>
      <c r="L1037" s="302"/>
      <c r="M1037" s="236"/>
    </row>
    <row r="1038" spans="1:13" ht="13.5" customHeight="1" x14ac:dyDescent="0.2">
      <c r="A1038" s="237"/>
      <c r="B1038" s="302"/>
      <c r="C1038" s="302"/>
      <c r="D1038" s="302"/>
      <c r="E1038" s="303"/>
      <c r="F1038" s="302"/>
      <c r="G1038" s="302"/>
      <c r="H1038" s="302"/>
      <c r="I1038" s="303"/>
      <c r="J1038" s="302"/>
      <c r="K1038" s="302"/>
      <c r="L1038" s="302"/>
      <c r="M1038" s="236"/>
    </row>
    <row r="1039" spans="1:13" x14ac:dyDescent="0.2">
      <c r="A1039" s="237"/>
      <c r="B1039" s="303"/>
      <c r="C1039" s="303"/>
      <c r="D1039" s="303"/>
      <c r="E1039" s="303"/>
      <c r="F1039" s="303"/>
      <c r="G1039" s="303"/>
      <c r="H1039" s="303"/>
      <c r="I1039" s="303"/>
      <c r="J1039" s="303"/>
      <c r="K1039" s="303"/>
      <c r="L1039" s="303"/>
      <c r="M1039" s="236"/>
    </row>
    <row r="1040" spans="1:13" x14ac:dyDescent="0.2">
      <c r="A1040" s="237"/>
      <c r="B1040" s="237"/>
      <c r="C1040" s="237"/>
      <c r="D1040" s="237"/>
      <c r="E1040" s="237"/>
      <c r="F1040" s="237"/>
      <c r="G1040" s="237"/>
      <c r="H1040" s="237"/>
      <c r="I1040" s="237"/>
      <c r="J1040" s="237"/>
      <c r="K1040" s="237"/>
      <c r="L1040" s="240"/>
      <c r="M1040" s="236"/>
    </row>
    <row r="1041" spans="1:13" x14ac:dyDescent="0.2">
      <c r="A1041" s="237"/>
      <c r="B1041" s="237"/>
      <c r="C1041" s="237"/>
      <c r="D1041" s="237"/>
      <c r="E1041" s="237"/>
      <c r="F1041" s="237"/>
      <c r="G1041" s="237"/>
      <c r="H1041" s="237"/>
      <c r="I1041" s="237"/>
      <c r="J1041" s="237"/>
      <c r="K1041" s="237"/>
      <c r="L1041" s="284"/>
      <c r="M1041" s="236"/>
    </row>
    <row r="1042" spans="1:13" x14ac:dyDescent="0.2">
      <c r="A1042" s="258"/>
      <c r="B1042" s="241"/>
      <c r="C1042" s="241"/>
      <c r="D1042" s="241"/>
      <c r="E1042" s="241"/>
      <c r="F1042" s="241"/>
      <c r="G1042" s="241"/>
      <c r="H1042" s="241"/>
      <c r="I1042" s="241"/>
      <c r="J1042" s="241"/>
      <c r="K1042" s="241"/>
      <c r="L1042" s="236"/>
      <c r="M1042" s="236"/>
    </row>
    <row r="1043" spans="1:13" x14ac:dyDescent="0.2">
      <c r="A1043" s="241"/>
      <c r="B1043" s="375"/>
      <c r="C1043" s="375"/>
      <c r="D1043" s="375"/>
      <c r="E1043" s="253"/>
      <c r="F1043" s="375"/>
      <c r="G1043" s="375"/>
      <c r="H1043" s="375"/>
      <c r="I1043" s="253"/>
      <c r="J1043" s="375"/>
      <c r="K1043" s="375"/>
      <c r="L1043" s="375"/>
      <c r="M1043" s="236"/>
    </row>
    <row r="1044" spans="1:13" x14ac:dyDescent="0.2">
      <c r="A1044" s="258"/>
      <c r="B1044" s="259"/>
      <c r="C1044" s="259"/>
      <c r="D1044" s="259"/>
      <c r="E1044" s="259"/>
      <c r="F1044" s="259"/>
      <c r="G1044" s="259"/>
      <c r="H1044" s="259"/>
      <c r="I1044" s="259"/>
      <c r="J1044" s="259"/>
      <c r="K1044" s="259"/>
      <c r="L1044" s="259"/>
      <c r="M1044" s="236"/>
    </row>
    <row r="1045" spans="1:13" x14ac:dyDescent="0.2">
      <c r="A1045" s="258"/>
      <c r="B1045" s="259"/>
      <c r="C1045" s="259"/>
      <c r="D1045" s="259"/>
      <c r="E1045" s="259"/>
      <c r="F1045" s="259"/>
      <c r="G1045" s="259"/>
      <c r="H1045" s="259"/>
      <c r="I1045" s="259"/>
      <c r="J1045" s="259"/>
      <c r="K1045" s="259"/>
      <c r="L1045" s="259"/>
      <c r="M1045" s="236"/>
    </row>
    <row r="1046" spans="1:13" x14ac:dyDescent="0.2">
      <c r="A1046" s="237"/>
      <c r="B1046" s="302"/>
      <c r="C1046" s="302"/>
      <c r="D1046" s="302"/>
      <c r="E1046" s="303"/>
      <c r="F1046" s="302"/>
      <c r="G1046" s="302"/>
      <c r="H1046" s="302"/>
      <c r="I1046" s="303"/>
      <c r="J1046" s="302"/>
      <c r="K1046" s="302"/>
      <c r="L1046" s="302"/>
      <c r="M1046" s="236"/>
    </row>
    <row r="1047" spans="1:13" x14ac:dyDescent="0.2">
      <c r="A1047" s="237"/>
      <c r="B1047" s="302"/>
      <c r="C1047" s="302"/>
      <c r="D1047" s="302"/>
      <c r="E1047" s="303"/>
      <c r="F1047" s="302"/>
      <c r="G1047" s="302"/>
      <c r="H1047" s="302"/>
      <c r="I1047" s="303"/>
      <c r="J1047" s="302"/>
      <c r="K1047" s="302"/>
      <c r="L1047" s="302"/>
      <c r="M1047" s="236"/>
    </row>
    <row r="1048" spans="1:13" x14ac:dyDescent="0.2">
      <c r="A1048" s="237"/>
      <c r="B1048" s="302"/>
      <c r="C1048" s="302"/>
      <c r="D1048" s="302"/>
      <c r="E1048" s="303"/>
      <c r="F1048" s="302"/>
      <c r="G1048" s="302"/>
      <c r="H1048" s="302"/>
      <c r="I1048" s="303"/>
      <c r="J1048" s="302"/>
      <c r="K1048" s="302"/>
      <c r="L1048" s="302"/>
      <c r="M1048" s="236"/>
    </row>
    <row r="1049" spans="1:13" x14ac:dyDescent="0.2">
      <c r="A1049" s="237"/>
      <c r="B1049" s="302"/>
      <c r="C1049" s="302"/>
      <c r="D1049" s="302"/>
      <c r="E1049" s="303"/>
      <c r="F1049" s="302"/>
      <c r="G1049" s="302"/>
      <c r="H1049" s="302"/>
      <c r="I1049" s="303"/>
      <c r="J1049" s="302"/>
      <c r="K1049" s="302"/>
      <c r="L1049" s="302"/>
      <c r="M1049" s="236"/>
    </row>
    <row r="1050" spans="1:13" x14ac:dyDescent="0.2">
      <c r="A1050" s="237"/>
      <c r="B1050" s="302"/>
      <c r="C1050" s="302"/>
      <c r="D1050" s="302"/>
      <c r="E1050" s="303"/>
      <c r="F1050" s="302"/>
      <c r="G1050" s="302"/>
      <c r="H1050" s="302"/>
      <c r="I1050" s="303"/>
      <c r="J1050" s="302"/>
      <c r="K1050" s="302"/>
      <c r="L1050" s="302"/>
      <c r="M1050" s="236"/>
    </row>
    <row r="1051" spans="1:13" x14ac:dyDescent="0.2">
      <c r="A1051" s="237"/>
      <c r="B1051" s="302"/>
      <c r="C1051" s="302"/>
      <c r="D1051" s="302"/>
      <c r="E1051" s="303"/>
      <c r="F1051" s="302"/>
      <c r="G1051" s="302"/>
      <c r="H1051" s="302"/>
      <c r="I1051" s="303"/>
      <c r="J1051" s="302"/>
      <c r="K1051" s="302"/>
      <c r="L1051" s="302"/>
      <c r="M1051" s="236"/>
    </row>
    <row r="1052" spans="1:13" x14ac:dyDescent="0.2">
      <c r="A1052" s="237"/>
      <c r="B1052" s="302"/>
      <c r="C1052" s="302"/>
      <c r="D1052" s="302"/>
      <c r="E1052" s="303"/>
      <c r="F1052" s="302"/>
      <c r="G1052" s="302"/>
      <c r="H1052" s="302"/>
      <c r="I1052" s="303"/>
      <c r="J1052" s="302"/>
      <c r="K1052" s="302"/>
      <c r="L1052" s="302"/>
      <c r="M1052" s="236"/>
    </row>
    <row r="1053" spans="1:13" x14ac:dyDescent="0.2">
      <c r="A1053" s="237"/>
      <c r="B1053" s="302"/>
      <c r="C1053" s="302"/>
      <c r="D1053" s="302"/>
      <c r="E1053" s="303"/>
      <c r="F1053" s="302"/>
      <c r="G1053" s="302"/>
      <c r="H1053" s="302"/>
      <c r="I1053" s="303"/>
      <c r="J1053" s="302"/>
      <c r="K1053" s="302"/>
      <c r="L1053" s="302"/>
      <c r="M1053" s="236"/>
    </row>
    <row r="1054" spans="1:13" x14ac:dyDescent="0.2">
      <c r="A1054" s="237"/>
      <c r="B1054" s="302"/>
      <c r="C1054" s="302"/>
      <c r="D1054" s="302"/>
      <c r="E1054" s="303"/>
      <c r="F1054" s="302"/>
      <c r="G1054" s="302"/>
      <c r="H1054" s="302"/>
      <c r="I1054" s="303"/>
      <c r="J1054" s="302"/>
      <c r="K1054" s="302"/>
      <c r="L1054" s="302"/>
      <c r="M1054" s="236"/>
    </row>
    <row r="1055" spans="1:13" x14ac:dyDescent="0.2">
      <c r="A1055" s="237"/>
      <c r="B1055" s="302"/>
      <c r="C1055" s="302"/>
      <c r="D1055" s="302"/>
      <c r="E1055" s="303"/>
      <c r="F1055" s="302"/>
      <c r="G1055" s="302"/>
      <c r="H1055" s="302"/>
      <c r="I1055" s="303"/>
      <c r="J1055" s="302"/>
      <c r="K1055" s="302"/>
      <c r="L1055" s="302"/>
      <c r="M1055" s="236"/>
    </row>
    <row r="1056" spans="1:13" x14ac:dyDescent="0.2">
      <c r="A1056" s="237"/>
      <c r="B1056" s="303"/>
      <c r="C1056" s="303"/>
      <c r="D1056" s="303"/>
      <c r="E1056" s="303"/>
      <c r="F1056" s="303"/>
      <c r="G1056" s="303"/>
      <c r="H1056" s="303"/>
      <c r="I1056" s="303"/>
      <c r="J1056" s="303"/>
      <c r="K1056" s="303"/>
      <c r="L1056" s="303"/>
      <c r="M1056" s="236"/>
    </row>
    <row r="1057" spans="1:13" x14ac:dyDescent="0.2">
      <c r="A1057" s="237"/>
      <c r="B1057" s="237"/>
      <c r="C1057" s="237"/>
      <c r="D1057" s="237"/>
      <c r="E1057" s="237"/>
      <c r="F1057" s="237"/>
      <c r="G1057" s="237"/>
      <c r="H1057" s="237"/>
      <c r="I1057" s="237"/>
      <c r="J1057" s="237"/>
      <c r="K1057" s="237"/>
      <c r="L1057" s="240"/>
      <c r="M1057" s="236"/>
    </row>
    <row r="1058" spans="1:13" x14ac:dyDescent="0.2">
      <c r="A1058" s="237"/>
      <c r="B1058" s="237"/>
      <c r="C1058" s="237"/>
      <c r="D1058" s="237"/>
      <c r="E1058" s="237"/>
      <c r="F1058" s="237"/>
      <c r="G1058" s="237"/>
      <c r="H1058" s="237"/>
      <c r="I1058" s="237"/>
      <c r="J1058" s="237"/>
      <c r="K1058" s="237"/>
      <c r="L1058" s="284"/>
      <c r="M1058" s="236"/>
    </row>
    <row r="1059" spans="1:13" x14ac:dyDescent="0.2">
      <c r="A1059" s="258"/>
      <c r="B1059" s="241"/>
      <c r="C1059" s="241"/>
      <c r="D1059" s="241"/>
      <c r="E1059" s="241"/>
      <c r="F1059" s="241"/>
      <c r="G1059" s="241"/>
      <c r="H1059" s="241"/>
      <c r="I1059" s="241"/>
      <c r="J1059" s="241"/>
      <c r="K1059" s="241"/>
      <c r="L1059" s="236"/>
      <c r="M1059" s="236"/>
    </row>
    <row r="1060" spans="1:13" x14ac:dyDescent="0.2">
      <c r="A1060" s="241"/>
      <c r="B1060" s="375"/>
      <c r="C1060" s="375"/>
      <c r="D1060" s="375"/>
      <c r="E1060" s="253"/>
      <c r="F1060" s="375"/>
      <c r="G1060" s="375"/>
      <c r="H1060" s="375"/>
      <c r="I1060" s="253"/>
      <c r="J1060" s="375"/>
      <c r="K1060" s="375"/>
      <c r="L1060" s="375"/>
      <c r="M1060" s="236"/>
    </row>
    <row r="1061" spans="1:13" x14ac:dyDescent="0.2">
      <c r="A1061" s="258"/>
      <c r="B1061" s="259"/>
      <c r="C1061" s="259"/>
      <c r="D1061" s="259"/>
      <c r="E1061" s="259"/>
      <c r="F1061" s="259"/>
      <c r="G1061" s="259"/>
      <c r="H1061" s="259"/>
      <c r="I1061" s="259"/>
      <c r="J1061" s="259"/>
      <c r="K1061" s="259"/>
      <c r="L1061" s="259"/>
      <c r="M1061" s="236"/>
    </row>
    <row r="1062" spans="1:13" x14ac:dyDescent="0.2">
      <c r="A1062" s="258"/>
      <c r="B1062" s="259"/>
      <c r="C1062" s="259"/>
      <c r="D1062" s="259"/>
      <c r="E1062" s="259"/>
      <c r="F1062" s="259"/>
      <c r="G1062" s="259"/>
      <c r="H1062" s="259"/>
      <c r="I1062" s="259"/>
      <c r="J1062" s="259"/>
      <c r="K1062" s="259"/>
      <c r="L1062" s="259"/>
      <c r="M1062" s="236"/>
    </row>
    <row r="1063" spans="1:13" x14ac:dyDescent="0.2">
      <c r="A1063" s="237"/>
      <c r="B1063" s="302"/>
      <c r="C1063" s="302"/>
      <c r="D1063" s="302"/>
      <c r="E1063" s="303"/>
      <c r="F1063" s="302"/>
      <c r="G1063" s="302"/>
      <c r="H1063" s="302"/>
      <c r="I1063" s="303"/>
      <c r="J1063" s="302"/>
      <c r="K1063" s="302"/>
      <c r="L1063" s="302"/>
      <c r="M1063" s="236"/>
    </row>
    <row r="1064" spans="1:13" x14ac:dyDescent="0.2">
      <c r="A1064" s="237"/>
      <c r="B1064" s="302"/>
      <c r="C1064" s="302"/>
      <c r="D1064" s="302"/>
      <c r="E1064" s="303"/>
      <c r="F1064" s="302"/>
      <c r="G1064" s="302"/>
      <c r="H1064" s="302"/>
      <c r="I1064" s="303"/>
      <c r="J1064" s="302"/>
      <c r="K1064" s="302"/>
      <c r="L1064" s="302"/>
      <c r="M1064" s="236"/>
    </row>
    <row r="1065" spans="1:13" x14ac:dyDescent="0.2">
      <c r="A1065" s="237"/>
      <c r="B1065" s="302"/>
      <c r="C1065" s="302"/>
      <c r="D1065" s="302"/>
      <c r="E1065" s="303"/>
      <c r="F1065" s="302"/>
      <c r="G1065" s="302"/>
      <c r="H1065" s="302"/>
      <c r="I1065" s="303"/>
      <c r="J1065" s="302"/>
      <c r="K1065" s="302"/>
      <c r="L1065" s="302"/>
      <c r="M1065" s="236"/>
    </row>
    <row r="1066" spans="1:13" x14ac:dyDescent="0.2">
      <c r="A1066" s="237"/>
      <c r="B1066" s="302"/>
      <c r="C1066" s="302"/>
      <c r="D1066" s="302"/>
      <c r="E1066" s="303"/>
      <c r="F1066" s="302"/>
      <c r="G1066" s="302"/>
      <c r="H1066" s="302"/>
      <c r="I1066" s="303"/>
      <c r="J1066" s="302"/>
      <c r="K1066" s="302"/>
      <c r="L1066" s="302"/>
      <c r="M1066" s="236"/>
    </row>
    <row r="1067" spans="1:13" x14ac:dyDescent="0.2">
      <c r="A1067" s="237"/>
      <c r="B1067" s="302"/>
      <c r="C1067" s="302"/>
      <c r="D1067" s="302"/>
      <c r="E1067" s="303"/>
      <c r="F1067" s="302"/>
      <c r="G1067" s="302"/>
      <c r="H1067" s="302"/>
      <c r="I1067" s="303"/>
      <c r="J1067" s="302"/>
      <c r="K1067" s="302"/>
      <c r="L1067" s="302"/>
      <c r="M1067" s="236"/>
    </row>
    <row r="1068" spans="1:13" x14ac:dyDescent="0.2">
      <c r="A1068" s="237"/>
      <c r="B1068" s="302"/>
      <c r="C1068" s="302"/>
      <c r="D1068" s="302"/>
      <c r="E1068" s="303"/>
      <c r="F1068" s="302"/>
      <c r="G1068" s="302"/>
      <c r="H1068" s="302"/>
      <c r="I1068" s="303"/>
      <c r="J1068" s="302"/>
      <c r="K1068" s="302"/>
      <c r="L1068" s="302"/>
      <c r="M1068" s="236"/>
    </row>
    <row r="1069" spans="1:13" x14ac:dyDescent="0.2">
      <c r="A1069" s="237"/>
      <c r="B1069" s="302"/>
      <c r="C1069" s="302"/>
      <c r="D1069" s="302"/>
      <c r="E1069" s="303"/>
      <c r="F1069" s="302"/>
      <c r="G1069" s="302"/>
      <c r="H1069" s="302"/>
      <c r="I1069" s="303"/>
      <c r="J1069" s="302"/>
      <c r="K1069" s="302"/>
      <c r="L1069" s="302"/>
      <c r="M1069" s="236"/>
    </row>
    <row r="1070" spans="1:13" x14ac:dyDescent="0.2">
      <c r="A1070" s="237"/>
      <c r="B1070" s="302"/>
      <c r="C1070" s="302"/>
      <c r="D1070" s="302"/>
      <c r="E1070" s="303"/>
      <c r="F1070" s="302"/>
      <c r="G1070" s="302"/>
      <c r="H1070" s="302"/>
      <c r="I1070" s="303"/>
      <c r="J1070" s="302"/>
      <c r="K1070" s="302"/>
      <c r="L1070" s="302"/>
      <c r="M1070" s="236"/>
    </row>
    <row r="1071" spans="1:13" x14ac:dyDescent="0.2">
      <c r="A1071" s="237"/>
      <c r="B1071" s="302"/>
      <c r="C1071" s="302"/>
      <c r="D1071" s="302"/>
      <c r="E1071" s="303"/>
      <c r="F1071" s="302"/>
      <c r="G1071" s="302"/>
      <c r="H1071" s="302"/>
      <c r="I1071" s="303"/>
      <c r="J1071" s="302"/>
      <c r="K1071" s="302"/>
      <c r="L1071" s="302"/>
      <c r="M1071" s="236"/>
    </row>
    <row r="1072" spans="1:13" x14ac:dyDescent="0.2">
      <c r="A1072" s="237"/>
      <c r="B1072" s="302"/>
      <c r="C1072" s="302"/>
      <c r="D1072" s="302"/>
      <c r="E1072" s="303"/>
      <c r="F1072" s="302"/>
      <c r="G1072" s="302"/>
      <c r="H1072" s="302"/>
      <c r="I1072" s="303"/>
      <c r="J1072" s="302"/>
      <c r="K1072" s="302"/>
      <c r="L1072" s="302"/>
      <c r="M1072" s="236"/>
    </row>
    <row r="1073" spans="1:13" x14ac:dyDescent="0.2">
      <c r="A1073" s="237"/>
      <c r="B1073" s="303"/>
      <c r="C1073" s="303"/>
      <c r="D1073" s="303"/>
      <c r="E1073" s="303"/>
      <c r="F1073" s="303"/>
      <c r="G1073" s="303"/>
      <c r="H1073" s="303"/>
      <c r="I1073" s="303"/>
      <c r="J1073" s="303"/>
      <c r="K1073" s="303"/>
      <c r="L1073" s="303"/>
      <c r="M1073" s="236"/>
    </row>
    <row r="1074" spans="1:13" x14ac:dyDescent="0.2">
      <c r="A1074" s="237"/>
      <c r="B1074" s="237"/>
      <c r="C1074" s="237"/>
      <c r="D1074" s="237"/>
      <c r="E1074" s="237"/>
      <c r="F1074" s="237"/>
      <c r="G1074" s="237"/>
      <c r="H1074" s="237"/>
      <c r="I1074" s="237"/>
      <c r="J1074" s="237"/>
      <c r="K1074" s="237"/>
      <c r="L1074" s="240"/>
      <c r="M1074" s="236"/>
    </row>
    <row r="1075" spans="1:13" x14ac:dyDescent="0.2">
      <c r="A1075" s="237"/>
      <c r="B1075" s="237"/>
      <c r="C1075" s="237"/>
      <c r="D1075" s="237"/>
      <c r="E1075" s="237"/>
      <c r="F1075" s="237"/>
      <c r="G1075" s="237"/>
      <c r="H1075" s="237"/>
      <c r="I1075" s="237"/>
      <c r="J1075" s="237"/>
      <c r="K1075" s="237"/>
      <c r="L1075" s="284"/>
      <c r="M1075" s="236"/>
    </row>
    <row r="1076" spans="1:13" x14ac:dyDescent="0.2">
      <c r="A1076" s="258"/>
      <c r="B1076" s="241"/>
      <c r="C1076" s="241"/>
      <c r="D1076" s="241"/>
      <c r="E1076" s="241"/>
      <c r="F1076" s="241"/>
      <c r="G1076" s="241"/>
      <c r="H1076" s="241"/>
      <c r="I1076" s="241"/>
      <c r="J1076" s="241"/>
      <c r="K1076" s="241"/>
      <c r="L1076" s="236"/>
      <c r="M1076" s="236"/>
    </row>
    <row r="1077" spans="1:13" x14ac:dyDescent="0.2">
      <c r="A1077" s="241"/>
      <c r="B1077" s="375"/>
      <c r="C1077" s="375"/>
      <c r="D1077" s="375"/>
      <c r="E1077" s="253"/>
      <c r="F1077" s="375"/>
      <c r="G1077" s="375"/>
      <c r="H1077" s="375"/>
      <c r="I1077" s="253"/>
      <c r="J1077" s="375"/>
      <c r="K1077" s="375"/>
      <c r="L1077" s="375"/>
      <c r="M1077" s="236"/>
    </row>
    <row r="1078" spans="1:13" x14ac:dyDescent="0.2">
      <c r="A1078" s="258"/>
      <c r="B1078" s="259"/>
      <c r="C1078" s="259"/>
      <c r="D1078" s="259"/>
      <c r="E1078" s="259"/>
      <c r="F1078" s="259"/>
      <c r="G1078" s="259"/>
      <c r="H1078" s="259"/>
      <c r="I1078" s="259"/>
      <c r="J1078" s="259"/>
      <c r="K1078" s="259"/>
      <c r="L1078" s="259"/>
      <c r="M1078" s="236"/>
    </row>
    <row r="1079" spans="1:13" x14ac:dyDescent="0.2">
      <c r="A1079" s="258"/>
      <c r="B1079" s="259"/>
      <c r="C1079" s="259"/>
      <c r="D1079" s="259"/>
      <c r="E1079" s="259"/>
      <c r="F1079" s="259"/>
      <c r="G1079" s="259"/>
      <c r="H1079" s="259"/>
      <c r="I1079" s="259"/>
      <c r="J1079" s="259"/>
      <c r="K1079" s="259"/>
      <c r="L1079" s="259"/>
      <c r="M1079" s="236"/>
    </row>
    <row r="1080" spans="1:13" x14ac:dyDescent="0.2">
      <c r="A1080" s="237"/>
      <c r="B1080" s="302"/>
      <c r="C1080" s="302"/>
      <c r="D1080" s="302"/>
      <c r="E1080" s="303"/>
      <c r="F1080" s="302"/>
      <c r="G1080" s="302"/>
      <c r="H1080" s="302"/>
      <c r="I1080" s="303"/>
      <c r="J1080" s="302"/>
      <c r="K1080" s="302"/>
      <c r="L1080" s="302"/>
      <c r="M1080" s="236"/>
    </row>
    <row r="1081" spans="1:13" x14ac:dyDescent="0.2">
      <c r="A1081" s="237"/>
      <c r="B1081" s="302"/>
      <c r="C1081" s="302"/>
      <c r="D1081" s="302"/>
      <c r="E1081" s="303"/>
      <c r="F1081" s="302"/>
      <c r="G1081" s="302"/>
      <c r="H1081" s="302"/>
      <c r="I1081" s="303"/>
      <c r="J1081" s="302"/>
      <c r="K1081" s="302"/>
      <c r="L1081" s="302"/>
      <c r="M1081" s="236"/>
    </row>
    <row r="1082" spans="1:13" x14ac:dyDescent="0.2">
      <c r="A1082" s="237"/>
      <c r="B1082" s="302"/>
      <c r="C1082" s="302"/>
      <c r="D1082" s="302"/>
      <c r="E1082" s="303"/>
      <c r="F1082" s="302"/>
      <c r="G1082" s="302"/>
      <c r="H1082" s="302"/>
      <c r="I1082" s="303"/>
      <c r="J1082" s="302"/>
      <c r="K1082" s="302"/>
      <c r="L1082" s="302"/>
      <c r="M1082" s="236"/>
    </row>
    <row r="1083" spans="1:13" x14ac:dyDescent="0.2">
      <c r="A1083" s="237"/>
      <c r="B1083" s="302"/>
      <c r="C1083" s="302"/>
      <c r="D1083" s="302"/>
      <c r="E1083" s="303"/>
      <c r="F1083" s="302"/>
      <c r="G1083" s="302"/>
      <c r="H1083" s="302"/>
      <c r="I1083" s="303"/>
      <c r="J1083" s="302"/>
      <c r="K1083" s="302"/>
      <c r="L1083" s="302"/>
      <c r="M1083" s="236"/>
    </row>
    <row r="1084" spans="1:13" x14ac:dyDescent="0.2">
      <c r="A1084" s="237"/>
      <c r="B1084" s="302"/>
      <c r="C1084" s="302"/>
      <c r="D1084" s="302"/>
      <c r="E1084" s="303"/>
      <c r="F1084" s="302"/>
      <c r="G1084" s="302"/>
      <c r="H1084" s="302"/>
      <c r="I1084" s="303"/>
      <c r="J1084" s="302"/>
      <c r="K1084" s="302"/>
      <c r="L1084" s="302"/>
      <c r="M1084" s="236"/>
    </row>
    <row r="1085" spans="1:13" x14ac:dyDescent="0.2">
      <c r="A1085" s="237"/>
      <c r="B1085" s="302"/>
      <c r="C1085" s="302"/>
      <c r="D1085" s="302"/>
      <c r="E1085" s="303"/>
      <c r="F1085" s="302"/>
      <c r="G1085" s="302"/>
      <c r="H1085" s="302"/>
      <c r="I1085" s="303"/>
      <c r="J1085" s="302"/>
      <c r="K1085" s="302"/>
      <c r="L1085" s="302"/>
      <c r="M1085" s="236"/>
    </row>
    <row r="1086" spans="1:13" x14ac:dyDescent="0.2">
      <c r="A1086" s="237"/>
      <c r="B1086" s="302"/>
      <c r="C1086" s="302"/>
      <c r="D1086" s="302"/>
      <c r="E1086" s="303"/>
      <c r="F1086" s="302"/>
      <c r="G1086" s="302"/>
      <c r="H1086" s="302"/>
      <c r="I1086" s="303"/>
      <c r="J1086" s="302"/>
      <c r="K1086" s="302"/>
      <c r="L1086" s="302"/>
      <c r="M1086" s="236"/>
    </row>
    <row r="1087" spans="1:13" x14ac:dyDescent="0.2">
      <c r="A1087" s="237"/>
      <c r="B1087" s="302"/>
      <c r="C1087" s="302"/>
      <c r="D1087" s="302"/>
      <c r="E1087" s="303"/>
      <c r="F1087" s="302"/>
      <c r="G1087" s="302"/>
      <c r="H1087" s="302"/>
      <c r="I1087" s="303"/>
      <c r="J1087" s="302"/>
      <c r="K1087" s="302"/>
      <c r="L1087" s="302"/>
      <c r="M1087" s="236"/>
    </row>
    <row r="1088" spans="1:13" x14ac:dyDescent="0.2">
      <c r="A1088" s="237"/>
      <c r="B1088" s="302"/>
      <c r="C1088" s="302"/>
      <c r="D1088" s="302"/>
      <c r="E1088" s="303"/>
      <c r="F1088" s="302"/>
      <c r="G1088" s="302"/>
      <c r="H1088" s="302"/>
      <c r="I1088" s="303"/>
      <c r="J1088" s="302"/>
      <c r="K1088" s="302"/>
      <c r="L1088" s="302"/>
      <c r="M1088" s="236"/>
    </row>
    <row r="1089" spans="1:13" x14ac:dyDescent="0.2">
      <c r="A1089" s="237"/>
      <c r="B1089" s="302"/>
      <c r="C1089" s="302"/>
      <c r="D1089" s="302"/>
      <c r="E1089" s="303"/>
      <c r="F1089" s="302"/>
      <c r="G1089" s="302"/>
      <c r="H1089" s="302"/>
      <c r="I1089" s="303"/>
      <c r="J1089" s="302"/>
      <c r="K1089" s="302"/>
      <c r="L1089" s="302"/>
      <c r="M1089" s="236"/>
    </row>
    <row r="1090" spans="1:13" x14ac:dyDescent="0.2">
      <c r="A1090" s="237"/>
      <c r="B1090" s="303"/>
      <c r="C1090" s="303"/>
      <c r="D1090" s="303"/>
      <c r="E1090" s="303"/>
      <c r="F1090" s="303"/>
      <c r="G1090" s="303"/>
      <c r="H1090" s="303"/>
      <c r="I1090" s="303"/>
      <c r="J1090" s="303"/>
      <c r="K1090" s="303"/>
      <c r="L1090" s="303"/>
      <c r="M1090" s="236"/>
    </row>
    <row r="1091" spans="1:13" x14ac:dyDescent="0.2">
      <c r="A1091" s="237"/>
      <c r="B1091" s="237"/>
      <c r="C1091" s="237"/>
      <c r="D1091" s="237"/>
      <c r="E1091" s="237"/>
      <c r="F1091" s="237"/>
      <c r="G1091" s="237"/>
      <c r="H1091" s="237"/>
      <c r="I1091" s="237"/>
      <c r="J1091" s="237"/>
      <c r="K1091" s="237"/>
      <c r="L1091" s="240"/>
      <c r="M1091" s="236"/>
    </row>
    <row r="1092" spans="1:13" x14ac:dyDescent="0.2">
      <c r="A1092" s="237"/>
      <c r="B1092" s="237"/>
      <c r="C1092" s="237"/>
      <c r="D1092" s="237"/>
      <c r="E1092" s="237"/>
      <c r="F1092" s="237"/>
      <c r="G1092" s="237"/>
      <c r="H1092" s="237"/>
      <c r="I1092" s="237"/>
      <c r="J1092" s="237"/>
      <c r="K1092" s="237"/>
      <c r="L1092" s="284"/>
      <c r="M1092" s="236"/>
    </row>
    <row r="1093" spans="1:13" x14ac:dyDescent="0.2">
      <c r="A1093" s="258"/>
      <c r="B1093" s="241"/>
      <c r="C1093" s="241"/>
      <c r="D1093" s="241"/>
      <c r="E1093" s="241"/>
      <c r="F1093" s="241"/>
      <c r="G1093" s="241"/>
      <c r="H1093" s="241"/>
      <c r="I1093" s="241"/>
      <c r="J1093" s="241"/>
      <c r="K1093" s="241"/>
      <c r="L1093" s="236"/>
      <c r="M1093" s="236"/>
    </row>
    <row r="1094" spans="1:13" x14ac:dyDescent="0.2">
      <c r="A1094" s="241"/>
      <c r="B1094" s="375"/>
      <c r="C1094" s="375"/>
      <c r="D1094" s="375"/>
      <c r="E1094" s="253"/>
      <c r="F1094" s="375"/>
      <c r="G1094" s="375"/>
      <c r="H1094" s="375"/>
      <c r="I1094" s="253"/>
      <c r="J1094" s="375"/>
      <c r="K1094" s="375"/>
      <c r="L1094" s="375"/>
      <c r="M1094" s="236"/>
    </row>
    <row r="1095" spans="1:13" x14ac:dyDescent="0.2">
      <c r="A1095" s="258"/>
      <c r="B1095" s="259"/>
      <c r="C1095" s="259"/>
      <c r="D1095" s="259"/>
      <c r="E1095" s="259"/>
      <c r="F1095" s="259"/>
      <c r="G1095" s="259"/>
      <c r="H1095" s="259"/>
      <c r="I1095" s="259"/>
      <c r="J1095" s="259"/>
      <c r="K1095" s="259"/>
      <c r="L1095" s="259"/>
      <c r="M1095" s="236"/>
    </row>
    <row r="1096" spans="1:13" x14ac:dyDescent="0.2">
      <c r="A1096" s="258"/>
      <c r="B1096" s="259"/>
      <c r="C1096" s="259"/>
      <c r="D1096" s="259"/>
      <c r="E1096" s="259"/>
      <c r="F1096" s="259"/>
      <c r="G1096" s="259"/>
      <c r="H1096" s="259"/>
      <c r="I1096" s="259"/>
      <c r="J1096" s="259"/>
      <c r="K1096" s="259"/>
      <c r="L1096" s="259"/>
      <c r="M1096" s="236"/>
    </row>
    <row r="1097" spans="1:13" x14ac:dyDescent="0.2">
      <c r="A1097" s="237"/>
      <c r="B1097" s="302"/>
      <c r="C1097" s="302"/>
      <c r="D1097" s="302"/>
      <c r="E1097" s="303"/>
      <c r="F1097" s="302"/>
      <c r="G1097" s="302"/>
      <c r="H1097" s="302"/>
      <c r="I1097" s="303"/>
      <c r="J1097" s="302"/>
      <c r="K1097" s="302"/>
      <c r="L1097" s="302"/>
      <c r="M1097" s="236"/>
    </row>
    <row r="1098" spans="1:13" x14ac:dyDescent="0.2">
      <c r="A1098" s="237"/>
      <c r="B1098" s="302"/>
      <c r="C1098" s="302"/>
      <c r="D1098" s="302"/>
      <c r="E1098" s="303"/>
      <c r="F1098" s="302"/>
      <c r="G1098" s="302"/>
      <c r="H1098" s="302"/>
      <c r="I1098" s="303"/>
      <c r="J1098" s="302"/>
      <c r="K1098" s="302"/>
      <c r="L1098" s="302"/>
      <c r="M1098" s="236"/>
    </row>
    <row r="1099" spans="1:13" x14ac:dyDescent="0.2">
      <c r="A1099" s="237"/>
      <c r="B1099" s="302"/>
      <c r="C1099" s="302"/>
      <c r="D1099" s="302"/>
      <c r="E1099" s="303"/>
      <c r="F1099" s="302"/>
      <c r="G1099" s="302"/>
      <c r="H1099" s="302"/>
      <c r="I1099" s="303"/>
      <c r="J1099" s="302"/>
      <c r="K1099" s="302"/>
      <c r="L1099" s="302"/>
      <c r="M1099" s="236"/>
    </row>
    <row r="1100" spans="1:13" x14ac:dyDescent="0.2">
      <c r="A1100" s="237"/>
      <c r="B1100" s="302"/>
      <c r="C1100" s="302"/>
      <c r="D1100" s="302"/>
      <c r="E1100" s="303"/>
      <c r="F1100" s="302"/>
      <c r="G1100" s="302"/>
      <c r="H1100" s="302"/>
      <c r="I1100" s="303"/>
      <c r="J1100" s="302"/>
      <c r="K1100" s="302"/>
      <c r="L1100" s="302"/>
      <c r="M1100" s="236"/>
    </row>
    <row r="1101" spans="1:13" x14ac:dyDescent="0.2">
      <c r="A1101" s="237"/>
      <c r="B1101" s="302"/>
      <c r="C1101" s="302"/>
      <c r="D1101" s="302"/>
      <c r="E1101" s="303"/>
      <c r="F1101" s="302"/>
      <c r="G1101" s="302"/>
      <c r="H1101" s="302"/>
      <c r="I1101" s="303"/>
      <c r="J1101" s="302"/>
      <c r="K1101" s="302"/>
      <c r="L1101" s="302"/>
      <c r="M1101" s="236"/>
    </row>
    <row r="1102" spans="1:13" x14ac:dyDescent="0.2">
      <c r="A1102" s="237"/>
      <c r="B1102" s="302"/>
      <c r="C1102" s="302"/>
      <c r="D1102" s="302"/>
      <c r="E1102" s="303"/>
      <c r="F1102" s="302"/>
      <c r="G1102" s="302"/>
      <c r="H1102" s="302"/>
      <c r="I1102" s="303"/>
      <c r="J1102" s="302"/>
      <c r="K1102" s="302"/>
      <c r="L1102" s="302"/>
      <c r="M1102" s="236"/>
    </row>
    <row r="1103" spans="1:13" x14ac:dyDescent="0.2">
      <c r="A1103" s="237"/>
      <c r="B1103" s="302"/>
      <c r="C1103" s="302"/>
      <c r="D1103" s="302"/>
      <c r="E1103" s="303"/>
      <c r="F1103" s="302"/>
      <c r="G1103" s="302"/>
      <c r="H1103" s="302"/>
      <c r="I1103" s="303"/>
      <c r="J1103" s="302"/>
      <c r="K1103" s="302"/>
      <c r="L1103" s="302"/>
      <c r="M1103" s="236"/>
    </row>
    <row r="1104" spans="1:13" x14ac:dyDescent="0.2">
      <c r="A1104" s="237"/>
      <c r="B1104" s="302"/>
      <c r="C1104" s="302"/>
      <c r="D1104" s="302"/>
      <c r="E1104" s="303"/>
      <c r="F1104" s="302"/>
      <c r="G1104" s="302"/>
      <c r="H1104" s="302"/>
      <c r="I1104" s="303"/>
      <c r="J1104" s="302"/>
      <c r="K1104" s="302"/>
      <c r="L1104" s="302"/>
      <c r="M1104" s="236"/>
    </row>
    <row r="1105" spans="1:13" x14ac:dyDescent="0.2">
      <c r="A1105" s="237"/>
      <c r="B1105" s="302"/>
      <c r="C1105" s="302"/>
      <c r="D1105" s="302"/>
      <c r="E1105" s="303"/>
      <c r="F1105" s="302"/>
      <c r="G1105" s="302"/>
      <c r="H1105" s="302"/>
      <c r="I1105" s="303"/>
      <c r="J1105" s="302"/>
      <c r="K1105" s="302"/>
      <c r="L1105" s="302"/>
      <c r="M1105" s="236"/>
    </row>
    <row r="1106" spans="1:13" x14ac:dyDescent="0.2">
      <c r="A1106" s="237"/>
      <c r="B1106" s="302"/>
      <c r="C1106" s="302"/>
      <c r="D1106" s="302"/>
      <c r="E1106" s="303"/>
      <c r="F1106" s="302"/>
      <c r="G1106" s="302"/>
      <c r="H1106" s="302"/>
      <c r="I1106" s="303"/>
      <c r="J1106" s="302"/>
      <c r="K1106" s="302"/>
      <c r="L1106" s="302"/>
      <c r="M1106" s="236"/>
    </row>
    <row r="1107" spans="1:13" x14ac:dyDescent="0.2">
      <c r="A1107" s="237"/>
      <c r="B1107" s="303"/>
      <c r="C1107" s="303"/>
      <c r="D1107" s="303"/>
      <c r="E1107" s="303"/>
      <c r="F1107" s="303"/>
      <c r="G1107" s="303"/>
      <c r="H1107" s="303"/>
      <c r="I1107" s="303"/>
      <c r="J1107" s="303"/>
      <c r="K1107" s="303"/>
      <c r="L1107" s="303"/>
      <c r="M1107" s="236"/>
    </row>
    <row r="1108" spans="1:13" x14ac:dyDescent="0.2">
      <c r="A1108" s="237"/>
      <c r="B1108" s="237"/>
      <c r="C1108" s="237"/>
      <c r="D1108" s="237"/>
      <c r="E1108" s="237"/>
      <c r="F1108" s="237"/>
      <c r="G1108" s="237"/>
      <c r="H1108" s="237"/>
      <c r="I1108" s="237"/>
      <c r="J1108" s="237"/>
      <c r="K1108" s="237"/>
      <c r="L1108" s="240"/>
      <c r="M1108" s="236"/>
    </row>
    <row r="1109" spans="1:13" x14ac:dyDescent="0.2">
      <c r="A1109" s="237"/>
      <c r="B1109" s="237"/>
      <c r="C1109" s="237"/>
      <c r="D1109" s="237"/>
      <c r="E1109" s="237"/>
      <c r="F1109" s="237"/>
      <c r="G1109" s="237"/>
      <c r="H1109" s="237"/>
      <c r="I1109" s="237"/>
      <c r="J1109" s="237"/>
      <c r="K1109" s="237"/>
      <c r="L1109" s="284"/>
      <c r="M1109" s="236"/>
    </row>
    <row r="1110" spans="1:13" x14ac:dyDescent="0.2">
      <c r="A1110" s="258"/>
      <c r="B1110" s="241"/>
      <c r="C1110" s="241"/>
      <c r="D1110" s="241"/>
      <c r="E1110" s="241"/>
      <c r="F1110" s="241"/>
      <c r="G1110" s="241"/>
      <c r="H1110" s="241"/>
      <c r="I1110" s="241"/>
      <c r="J1110" s="241"/>
      <c r="K1110" s="241"/>
      <c r="L1110" s="236"/>
      <c r="M1110" s="236"/>
    </row>
    <row r="1111" spans="1:13" x14ac:dyDescent="0.2">
      <c r="A1111" s="241"/>
      <c r="B1111" s="375"/>
      <c r="C1111" s="375"/>
      <c r="D1111" s="375"/>
      <c r="E1111" s="253"/>
      <c r="F1111" s="375"/>
      <c r="G1111" s="375"/>
      <c r="H1111" s="375"/>
      <c r="I1111" s="253"/>
      <c r="J1111" s="375"/>
      <c r="K1111" s="375"/>
      <c r="L1111" s="375"/>
      <c r="M1111" s="236"/>
    </row>
    <row r="1112" spans="1:13" x14ac:dyDescent="0.2">
      <c r="A1112" s="258"/>
      <c r="B1112" s="259"/>
      <c r="C1112" s="259"/>
      <c r="D1112" s="259"/>
      <c r="E1112" s="259"/>
      <c r="F1112" s="259"/>
      <c r="G1112" s="259"/>
      <c r="H1112" s="259"/>
      <c r="I1112" s="259"/>
      <c r="J1112" s="259"/>
      <c r="K1112" s="259"/>
      <c r="L1112" s="259"/>
      <c r="M1112" s="236"/>
    </row>
    <row r="1113" spans="1:13" x14ac:dyDescent="0.2">
      <c r="A1113" s="258"/>
      <c r="B1113" s="259"/>
      <c r="C1113" s="259"/>
      <c r="D1113" s="259"/>
      <c r="E1113" s="259"/>
      <c r="F1113" s="259"/>
      <c r="G1113" s="259"/>
      <c r="H1113" s="259"/>
      <c r="I1113" s="259"/>
      <c r="J1113" s="259"/>
      <c r="K1113" s="259"/>
      <c r="L1113" s="259"/>
      <c r="M1113" s="236"/>
    </row>
    <row r="1114" spans="1:13" x14ac:dyDescent="0.2">
      <c r="A1114" s="237"/>
      <c r="B1114" s="302"/>
      <c r="C1114" s="302"/>
      <c r="D1114" s="302"/>
      <c r="E1114" s="303"/>
      <c r="F1114" s="302"/>
      <c r="G1114" s="302"/>
      <c r="H1114" s="302"/>
      <c r="I1114" s="303"/>
      <c r="J1114" s="302"/>
      <c r="K1114" s="302"/>
      <c r="L1114" s="302"/>
      <c r="M1114" s="236"/>
    </row>
    <row r="1115" spans="1:13" x14ac:dyDescent="0.2">
      <c r="A1115" s="237"/>
      <c r="B1115" s="302"/>
      <c r="C1115" s="302"/>
      <c r="D1115" s="302"/>
      <c r="E1115" s="303"/>
      <c r="F1115" s="302"/>
      <c r="G1115" s="302"/>
      <c r="H1115" s="302"/>
      <c r="I1115" s="303"/>
      <c r="J1115" s="302"/>
      <c r="K1115" s="302"/>
      <c r="L1115" s="302"/>
      <c r="M1115" s="236"/>
    </row>
    <row r="1116" spans="1:13" x14ac:dyDescent="0.2">
      <c r="A1116" s="237"/>
      <c r="B1116" s="302"/>
      <c r="C1116" s="302"/>
      <c r="D1116" s="302"/>
      <c r="E1116" s="303"/>
      <c r="F1116" s="302"/>
      <c r="G1116" s="302"/>
      <c r="H1116" s="302"/>
      <c r="I1116" s="303"/>
      <c r="J1116" s="302"/>
      <c r="K1116" s="302"/>
      <c r="L1116" s="302"/>
      <c r="M1116" s="236"/>
    </row>
    <row r="1117" spans="1:13" x14ac:dyDescent="0.2">
      <c r="A1117" s="237"/>
      <c r="B1117" s="302"/>
      <c r="C1117" s="302"/>
      <c r="D1117" s="302"/>
      <c r="E1117" s="303"/>
      <c r="F1117" s="302"/>
      <c r="G1117" s="302"/>
      <c r="H1117" s="302"/>
      <c r="I1117" s="303"/>
      <c r="J1117" s="302"/>
      <c r="K1117" s="302"/>
      <c r="L1117" s="302"/>
      <c r="M1117" s="236"/>
    </row>
    <row r="1118" spans="1:13" x14ac:dyDescent="0.2">
      <c r="A1118" s="237"/>
      <c r="B1118" s="302"/>
      <c r="C1118" s="302"/>
      <c r="D1118" s="302"/>
      <c r="E1118" s="303"/>
      <c r="F1118" s="302"/>
      <c r="G1118" s="302"/>
      <c r="H1118" s="302"/>
      <c r="I1118" s="303"/>
      <c r="J1118" s="302"/>
      <c r="K1118" s="302"/>
      <c r="L1118" s="302"/>
      <c r="M1118" s="236"/>
    </row>
    <row r="1119" spans="1:13" x14ac:dyDescent="0.2">
      <c r="A1119" s="237"/>
      <c r="B1119" s="302"/>
      <c r="C1119" s="302"/>
      <c r="D1119" s="302"/>
      <c r="E1119" s="303"/>
      <c r="F1119" s="302"/>
      <c r="G1119" s="302"/>
      <c r="H1119" s="302"/>
      <c r="I1119" s="303"/>
      <c r="J1119" s="302"/>
      <c r="K1119" s="302"/>
      <c r="L1119" s="302"/>
      <c r="M1119" s="236"/>
    </row>
    <row r="1120" spans="1:13" x14ac:dyDescent="0.2">
      <c r="A1120" s="237"/>
      <c r="B1120" s="302"/>
      <c r="C1120" s="302"/>
      <c r="D1120" s="302"/>
      <c r="E1120" s="303"/>
      <c r="F1120" s="302"/>
      <c r="G1120" s="302"/>
      <c r="H1120" s="302"/>
      <c r="I1120" s="303"/>
      <c r="J1120" s="302"/>
      <c r="K1120" s="302"/>
      <c r="L1120" s="302"/>
      <c r="M1120" s="236"/>
    </row>
    <row r="1121" spans="1:13" x14ac:dyDescent="0.2">
      <c r="A1121" s="237"/>
      <c r="B1121" s="302"/>
      <c r="C1121" s="302"/>
      <c r="D1121" s="302"/>
      <c r="E1121" s="303"/>
      <c r="F1121" s="302"/>
      <c r="G1121" s="302"/>
      <c r="H1121" s="302"/>
      <c r="I1121" s="303"/>
      <c r="J1121" s="302"/>
      <c r="K1121" s="302"/>
      <c r="L1121" s="302"/>
      <c r="M1121" s="236"/>
    </row>
    <row r="1122" spans="1:13" x14ac:dyDescent="0.2">
      <c r="A1122" s="237"/>
      <c r="B1122" s="302"/>
      <c r="C1122" s="302"/>
      <c r="D1122" s="302"/>
      <c r="E1122" s="303"/>
      <c r="F1122" s="302"/>
      <c r="G1122" s="302"/>
      <c r="H1122" s="302"/>
      <c r="I1122" s="303"/>
      <c r="J1122" s="302"/>
      <c r="K1122" s="302"/>
      <c r="L1122" s="302"/>
      <c r="M1122" s="236"/>
    </row>
    <row r="1123" spans="1:13" x14ac:dyDescent="0.2">
      <c r="A1123" s="237"/>
      <c r="B1123" s="302"/>
      <c r="C1123" s="302"/>
      <c r="D1123" s="302"/>
      <c r="E1123" s="303"/>
      <c r="F1123" s="302"/>
      <c r="G1123" s="302"/>
      <c r="H1123" s="302"/>
      <c r="I1123" s="303"/>
      <c r="J1123" s="302"/>
      <c r="K1123" s="302"/>
      <c r="L1123" s="302"/>
      <c r="M1123" s="236"/>
    </row>
    <row r="1124" spans="1:13" x14ac:dyDescent="0.2">
      <c r="A1124" s="237"/>
      <c r="B1124" s="303"/>
      <c r="C1124" s="303"/>
      <c r="D1124" s="303"/>
      <c r="E1124" s="303"/>
      <c r="F1124" s="303"/>
      <c r="G1124" s="303"/>
      <c r="H1124" s="303"/>
      <c r="I1124" s="303"/>
      <c r="J1124" s="303"/>
      <c r="K1124" s="303"/>
      <c r="L1124" s="303"/>
      <c r="M1124" s="236"/>
    </row>
    <row r="1125" spans="1:13" x14ac:dyDescent="0.2">
      <c r="A1125" s="237"/>
      <c r="B1125" s="237"/>
      <c r="C1125" s="237"/>
      <c r="D1125" s="237"/>
      <c r="E1125" s="237"/>
      <c r="F1125" s="237"/>
      <c r="G1125" s="237"/>
      <c r="H1125" s="237"/>
      <c r="I1125" s="237"/>
      <c r="J1125" s="237"/>
      <c r="K1125" s="237"/>
      <c r="L1125" s="240"/>
      <c r="M1125" s="236"/>
    </row>
    <row r="1126" spans="1:13" x14ac:dyDescent="0.2">
      <c r="A1126" s="237"/>
      <c r="B1126" s="237"/>
      <c r="C1126" s="237"/>
      <c r="D1126" s="237"/>
      <c r="E1126" s="237"/>
      <c r="F1126" s="237"/>
      <c r="G1126" s="237"/>
      <c r="H1126" s="237"/>
      <c r="I1126" s="237"/>
      <c r="J1126" s="237"/>
      <c r="K1126" s="237"/>
      <c r="L1126" s="284"/>
      <c r="M1126" s="236"/>
    </row>
    <row r="1127" spans="1:13" x14ac:dyDescent="0.2">
      <c r="A1127" s="258"/>
      <c r="B1127" s="241"/>
      <c r="C1127" s="241"/>
      <c r="D1127" s="241"/>
      <c r="E1127" s="241"/>
      <c r="F1127" s="241"/>
      <c r="G1127" s="241"/>
      <c r="H1127" s="241"/>
      <c r="I1127" s="241"/>
      <c r="J1127" s="241"/>
      <c r="K1127" s="241"/>
      <c r="L1127" s="236"/>
      <c r="M1127" s="236"/>
    </row>
    <row r="1128" spans="1:13" x14ac:dyDescent="0.2">
      <c r="A1128" s="241"/>
      <c r="B1128" s="375"/>
      <c r="C1128" s="375"/>
      <c r="D1128" s="375"/>
      <c r="E1128" s="253"/>
      <c r="F1128" s="375"/>
      <c r="G1128" s="375"/>
      <c r="H1128" s="375"/>
      <c r="I1128" s="253"/>
      <c r="J1128" s="375"/>
      <c r="K1128" s="375"/>
      <c r="L1128" s="375"/>
      <c r="M1128" s="236"/>
    </row>
    <row r="1129" spans="1:13" x14ac:dyDescent="0.2">
      <c r="A1129" s="258"/>
      <c r="B1129" s="259"/>
      <c r="C1129" s="259"/>
      <c r="D1129" s="259"/>
      <c r="E1129" s="259"/>
      <c r="F1129" s="259"/>
      <c r="G1129" s="259"/>
      <c r="H1129" s="259"/>
      <c r="I1129" s="259"/>
      <c r="J1129" s="259"/>
      <c r="K1129" s="259"/>
      <c r="L1129" s="259"/>
      <c r="M1129" s="236"/>
    </row>
    <row r="1130" spans="1:13" x14ac:dyDescent="0.2">
      <c r="A1130" s="258"/>
      <c r="B1130" s="259"/>
      <c r="C1130" s="259"/>
      <c r="D1130" s="259"/>
      <c r="E1130" s="259"/>
      <c r="F1130" s="259"/>
      <c r="G1130" s="259"/>
      <c r="H1130" s="259"/>
      <c r="I1130" s="259"/>
      <c r="J1130" s="259"/>
      <c r="K1130" s="259"/>
      <c r="L1130" s="259"/>
      <c r="M1130" s="236"/>
    </row>
    <row r="1131" spans="1:13" x14ac:dyDescent="0.2">
      <c r="A1131" s="237"/>
      <c r="B1131" s="302"/>
      <c r="C1131" s="302"/>
      <c r="D1131" s="302"/>
      <c r="E1131" s="303"/>
      <c r="F1131" s="302"/>
      <c r="G1131" s="302"/>
      <c r="H1131" s="302"/>
      <c r="I1131" s="303"/>
      <c r="J1131" s="302"/>
      <c r="K1131" s="302"/>
      <c r="L1131" s="302"/>
      <c r="M1131" s="236"/>
    </row>
    <row r="1132" spans="1:13" x14ac:dyDescent="0.2">
      <c r="A1132" s="237"/>
      <c r="B1132" s="302"/>
      <c r="C1132" s="302"/>
      <c r="D1132" s="302"/>
      <c r="E1132" s="303"/>
      <c r="F1132" s="302"/>
      <c r="G1132" s="302"/>
      <c r="H1132" s="302"/>
      <c r="I1132" s="303"/>
      <c r="J1132" s="302"/>
      <c r="K1132" s="302"/>
      <c r="L1132" s="302"/>
      <c r="M1132" s="236"/>
    </row>
    <row r="1133" spans="1:13" x14ac:dyDescent="0.2">
      <c r="A1133" s="237"/>
      <c r="B1133" s="302"/>
      <c r="C1133" s="302"/>
      <c r="D1133" s="302"/>
      <c r="E1133" s="303"/>
      <c r="F1133" s="302"/>
      <c r="G1133" s="302"/>
      <c r="H1133" s="302"/>
      <c r="I1133" s="303"/>
      <c r="J1133" s="302"/>
      <c r="K1133" s="302"/>
      <c r="L1133" s="302"/>
      <c r="M1133" s="236"/>
    </row>
    <row r="1134" spans="1:13" x14ac:dyDescent="0.2">
      <c r="A1134" s="237"/>
      <c r="B1134" s="302"/>
      <c r="C1134" s="302"/>
      <c r="D1134" s="302"/>
      <c r="E1134" s="303"/>
      <c r="F1134" s="302"/>
      <c r="G1134" s="302"/>
      <c r="H1134" s="302"/>
      <c r="I1134" s="303"/>
      <c r="J1134" s="302"/>
      <c r="K1134" s="302"/>
      <c r="L1134" s="302"/>
      <c r="M1134" s="236"/>
    </row>
    <row r="1135" spans="1:13" x14ac:dyDescent="0.2">
      <c r="A1135" s="237"/>
      <c r="B1135" s="302"/>
      <c r="C1135" s="302"/>
      <c r="D1135" s="302"/>
      <c r="E1135" s="303"/>
      <c r="F1135" s="302"/>
      <c r="G1135" s="302"/>
      <c r="H1135" s="302"/>
      <c r="I1135" s="303"/>
      <c r="J1135" s="302"/>
      <c r="K1135" s="302"/>
      <c r="L1135" s="302"/>
      <c r="M1135" s="236"/>
    </row>
    <row r="1136" spans="1:13" x14ac:dyDescent="0.2">
      <c r="A1136" s="237"/>
      <c r="B1136" s="302"/>
      <c r="C1136" s="302"/>
      <c r="D1136" s="302"/>
      <c r="E1136" s="303"/>
      <c r="F1136" s="302"/>
      <c r="G1136" s="302"/>
      <c r="H1136" s="302"/>
      <c r="I1136" s="303"/>
      <c r="J1136" s="302"/>
      <c r="K1136" s="302"/>
      <c r="L1136" s="302"/>
      <c r="M1136" s="236"/>
    </row>
    <row r="1137" spans="1:13" x14ac:dyDescent="0.2">
      <c r="A1137" s="237"/>
      <c r="B1137" s="302"/>
      <c r="C1137" s="302"/>
      <c r="D1137" s="302"/>
      <c r="E1137" s="303"/>
      <c r="F1137" s="302"/>
      <c r="G1137" s="302"/>
      <c r="H1137" s="302"/>
      <c r="I1137" s="303"/>
      <c r="J1137" s="302"/>
      <c r="K1137" s="302"/>
      <c r="L1137" s="302"/>
      <c r="M1137" s="236"/>
    </row>
    <row r="1138" spans="1:13" x14ac:dyDescent="0.2">
      <c r="A1138" s="237"/>
      <c r="B1138" s="302"/>
      <c r="C1138" s="302"/>
      <c r="D1138" s="302"/>
      <c r="E1138" s="303"/>
      <c r="F1138" s="302"/>
      <c r="G1138" s="302"/>
      <c r="H1138" s="302"/>
      <c r="I1138" s="303"/>
      <c r="J1138" s="302"/>
      <c r="K1138" s="302"/>
      <c r="L1138" s="302"/>
      <c r="M1138" s="236"/>
    </row>
    <row r="1139" spans="1:13" x14ac:dyDescent="0.2">
      <c r="A1139" s="237"/>
      <c r="B1139" s="302"/>
      <c r="C1139" s="302"/>
      <c r="D1139" s="302"/>
      <c r="E1139" s="303"/>
      <c r="F1139" s="302"/>
      <c r="G1139" s="302"/>
      <c r="H1139" s="302"/>
      <c r="I1139" s="303"/>
      <c r="J1139" s="302"/>
      <c r="K1139" s="302"/>
      <c r="L1139" s="302"/>
      <c r="M1139" s="236"/>
    </row>
    <row r="1140" spans="1:13" x14ac:dyDescent="0.2">
      <c r="A1140" s="237"/>
      <c r="B1140" s="302"/>
      <c r="C1140" s="302"/>
      <c r="D1140" s="302"/>
      <c r="E1140" s="303"/>
      <c r="F1140" s="302"/>
      <c r="G1140" s="302"/>
      <c r="H1140" s="302"/>
      <c r="I1140" s="303"/>
      <c r="J1140" s="302"/>
      <c r="K1140" s="302"/>
      <c r="L1140" s="302"/>
      <c r="M1140" s="236"/>
    </row>
    <row r="1141" spans="1:13" x14ac:dyDescent="0.2">
      <c r="A1141" s="237"/>
      <c r="B1141" s="303"/>
      <c r="C1141" s="303"/>
      <c r="D1141" s="303"/>
      <c r="E1141" s="303"/>
      <c r="F1141" s="303"/>
      <c r="G1141" s="303"/>
      <c r="H1141" s="303"/>
      <c r="I1141" s="303"/>
      <c r="J1141" s="303"/>
      <c r="K1141" s="303"/>
      <c r="L1141" s="303"/>
      <c r="M1141" s="236"/>
    </row>
    <row r="1142" spans="1:13" x14ac:dyDescent="0.2">
      <c r="A1142" s="237"/>
      <c r="B1142" s="237"/>
      <c r="C1142" s="237"/>
      <c r="D1142" s="237"/>
      <c r="E1142" s="237"/>
      <c r="F1142" s="237"/>
      <c r="G1142" s="237"/>
      <c r="H1142" s="237"/>
      <c r="I1142" s="237"/>
      <c r="J1142" s="237"/>
      <c r="K1142" s="237"/>
      <c r="L1142" s="240"/>
      <c r="M1142" s="236"/>
    </row>
    <row r="1143" spans="1:13" x14ac:dyDescent="0.2">
      <c r="A1143" s="237"/>
      <c r="B1143" s="237"/>
      <c r="C1143" s="237"/>
      <c r="D1143" s="237"/>
      <c r="E1143" s="237"/>
      <c r="F1143" s="237"/>
      <c r="G1143" s="237"/>
      <c r="H1143" s="237"/>
      <c r="I1143" s="237"/>
      <c r="J1143" s="237"/>
      <c r="K1143" s="237"/>
      <c r="L1143" s="284"/>
      <c r="M1143" s="236"/>
    </row>
    <row r="1144" spans="1:13" x14ac:dyDescent="0.2">
      <c r="A1144" s="258"/>
      <c r="B1144" s="241"/>
      <c r="C1144" s="241"/>
      <c r="D1144" s="241"/>
      <c r="E1144" s="241"/>
      <c r="F1144" s="241"/>
      <c r="G1144" s="241"/>
      <c r="H1144" s="241"/>
      <c r="I1144" s="241"/>
      <c r="J1144" s="241"/>
      <c r="K1144" s="241"/>
      <c r="L1144" s="236"/>
      <c r="M1144" s="236"/>
    </row>
    <row r="1145" spans="1:13" x14ac:dyDescent="0.2">
      <c r="A1145" s="241"/>
      <c r="B1145" s="375"/>
      <c r="C1145" s="375"/>
      <c r="D1145" s="375"/>
      <c r="E1145" s="253"/>
      <c r="F1145" s="375"/>
      <c r="G1145" s="375"/>
      <c r="H1145" s="375"/>
      <c r="I1145" s="253"/>
      <c r="J1145" s="375"/>
      <c r="K1145" s="375"/>
      <c r="L1145" s="375"/>
      <c r="M1145" s="236"/>
    </row>
    <row r="1146" spans="1:13" x14ac:dyDescent="0.2">
      <c r="A1146" s="258"/>
      <c r="B1146" s="259"/>
      <c r="C1146" s="259"/>
      <c r="D1146" s="259"/>
      <c r="E1146" s="259"/>
      <c r="F1146" s="259"/>
      <c r="G1146" s="259"/>
      <c r="H1146" s="259"/>
      <c r="I1146" s="259"/>
      <c r="J1146" s="259"/>
      <c r="K1146" s="259"/>
      <c r="L1146" s="259"/>
      <c r="M1146" s="236"/>
    </row>
    <row r="1147" spans="1:13" x14ac:dyDescent="0.2">
      <c r="A1147" s="258"/>
      <c r="B1147" s="259"/>
      <c r="C1147" s="259"/>
      <c r="D1147" s="259"/>
      <c r="E1147" s="259"/>
      <c r="F1147" s="259"/>
      <c r="G1147" s="259"/>
      <c r="H1147" s="259"/>
      <c r="I1147" s="259"/>
      <c r="J1147" s="259"/>
      <c r="K1147" s="259"/>
      <c r="L1147" s="259"/>
      <c r="M1147" s="236"/>
    </row>
    <row r="1148" spans="1:13" x14ac:dyDescent="0.2">
      <c r="A1148" s="237"/>
      <c r="B1148" s="302"/>
      <c r="C1148" s="302"/>
      <c r="D1148" s="302"/>
      <c r="E1148" s="303"/>
      <c r="F1148" s="302"/>
      <c r="G1148" s="302"/>
      <c r="H1148" s="302"/>
      <c r="I1148" s="303"/>
      <c r="J1148" s="302"/>
      <c r="K1148" s="302"/>
      <c r="L1148" s="302"/>
      <c r="M1148" s="236"/>
    </row>
    <row r="1149" spans="1:13" x14ac:dyDescent="0.2">
      <c r="A1149" s="237"/>
      <c r="B1149" s="302"/>
      <c r="C1149" s="302"/>
      <c r="D1149" s="302"/>
      <c r="E1149" s="303"/>
      <c r="F1149" s="302"/>
      <c r="G1149" s="302"/>
      <c r="H1149" s="302"/>
      <c r="I1149" s="303"/>
      <c r="J1149" s="302"/>
      <c r="K1149" s="302"/>
      <c r="L1149" s="302"/>
      <c r="M1149" s="236"/>
    </row>
    <row r="1150" spans="1:13" x14ac:dyDescent="0.2">
      <c r="A1150" s="237"/>
      <c r="B1150" s="302"/>
      <c r="C1150" s="302"/>
      <c r="D1150" s="302"/>
      <c r="E1150" s="303"/>
      <c r="F1150" s="302"/>
      <c r="G1150" s="302"/>
      <c r="H1150" s="302"/>
      <c r="I1150" s="303"/>
      <c r="J1150" s="302"/>
      <c r="K1150" s="302"/>
      <c r="L1150" s="302"/>
      <c r="M1150" s="236"/>
    </row>
    <row r="1151" spans="1:13" x14ac:dyDescent="0.2">
      <c r="A1151" s="237"/>
      <c r="B1151" s="302"/>
      <c r="C1151" s="302"/>
      <c r="D1151" s="302"/>
      <c r="E1151" s="303"/>
      <c r="F1151" s="302"/>
      <c r="G1151" s="302"/>
      <c r="H1151" s="302"/>
      <c r="I1151" s="303"/>
      <c r="J1151" s="302"/>
      <c r="K1151" s="302"/>
      <c r="L1151" s="302"/>
      <c r="M1151" s="236"/>
    </row>
    <row r="1152" spans="1:13" x14ac:dyDescent="0.2">
      <c r="A1152" s="237"/>
      <c r="B1152" s="302"/>
      <c r="C1152" s="302"/>
      <c r="D1152" s="302"/>
      <c r="E1152" s="303"/>
      <c r="F1152" s="302"/>
      <c r="G1152" s="302"/>
      <c r="H1152" s="302"/>
      <c r="I1152" s="303"/>
      <c r="J1152" s="302"/>
      <c r="K1152" s="302"/>
      <c r="L1152" s="302"/>
      <c r="M1152" s="236"/>
    </row>
    <row r="1153" spans="1:13" x14ac:dyDescent="0.2">
      <c r="A1153" s="237"/>
      <c r="B1153" s="302"/>
      <c r="C1153" s="302"/>
      <c r="D1153" s="302"/>
      <c r="E1153" s="303"/>
      <c r="F1153" s="302"/>
      <c r="G1153" s="302"/>
      <c r="H1153" s="302"/>
      <c r="I1153" s="303"/>
      <c r="J1153" s="302"/>
      <c r="K1153" s="302"/>
      <c r="L1153" s="302"/>
      <c r="M1153" s="236"/>
    </row>
    <row r="1154" spans="1:13" x14ac:dyDescent="0.2">
      <c r="A1154" s="237"/>
      <c r="B1154" s="302"/>
      <c r="C1154" s="302"/>
      <c r="D1154" s="302"/>
      <c r="E1154" s="303"/>
      <c r="F1154" s="302"/>
      <c r="G1154" s="302"/>
      <c r="H1154" s="302"/>
      <c r="I1154" s="303"/>
      <c r="J1154" s="302"/>
      <c r="K1154" s="302"/>
      <c r="L1154" s="302"/>
      <c r="M1154" s="236"/>
    </row>
    <row r="1155" spans="1:13" x14ac:dyDescent="0.2">
      <c r="A1155" s="237"/>
      <c r="B1155" s="302"/>
      <c r="C1155" s="302"/>
      <c r="D1155" s="302"/>
      <c r="E1155" s="303"/>
      <c r="F1155" s="302"/>
      <c r="G1155" s="302"/>
      <c r="H1155" s="302"/>
      <c r="I1155" s="303"/>
      <c r="J1155" s="302"/>
      <c r="K1155" s="302"/>
      <c r="L1155" s="302"/>
      <c r="M1155" s="236"/>
    </row>
    <row r="1156" spans="1:13" x14ac:dyDescent="0.2">
      <c r="A1156" s="237"/>
      <c r="B1156" s="302"/>
      <c r="C1156" s="302"/>
      <c r="D1156" s="302"/>
      <c r="E1156" s="303"/>
      <c r="F1156" s="302"/>
      <c r="G1156" s="302"/>
      <c r="H1156" s="302"/>
      <c r="I1156" s="303"/>
      <c r="J1156" s="302"/>
      <c r="K1156" s="302"/>
      <c r="L1156" s="302"/>
      <c r="M1156" s="236"/>
    </row>
    <row r="1157" spans="1:13" x14ac:dyDescent="0.2">
      <c r="A1157" s="237"/>
      <c r="B1157" s="302"/>
      <c r="C1157" s="302"/>
      <c r="D1157" s="302"/>
      <c r="E1157" s="303"/>
      <c r="F1157" s="302"/>
      <c r="G1157" s="302"/>
      <c r="H1157" s="302"/>
      <c r="I1157" s="303"/>
      <c r="J1157" s="302"/>
      <c r="K1157" s="302"/>
      <c r="L1157" s="302"/>
      <c r="M1157" s="236"/>
    </row>
    <row r="1158" spans="1:13" x14ac:dyDescent="0.2">
      <c r="A1158" s="237"/>
      <c r="B1158" s="303"/>
      <c r="C1158" s="303"/>
      <c r="D1158" s="303"/>
      <c r="E1158" s="303"/>
      <c r="F1158" s="303"/>
      <c r="G1158" s="303"/>
      <c r="H1158" s="303"/>
      <c r="I1158" s="303"/>
      <c r="J1158" s="303"/>
      <c r="K1158" s="303"/>
      <c r="L1158" s="303"/>
      <c r="M1158" s="236"/>
    </row>
    <row r="1159" spans="1:13" x14ac:dyDescent="0.2">
      <c r="A1159" s="237"/>
      <c r="B1159" s="237"/>
      <c r="C1159" s="237"/>
      <c r="D1159" s="237"/>
      <c r="E1159" s="237"/>
      <c r="F1159" s="237"/>
      <c r="G1159" s="237"/>
      <c r="H1159" s="237"/>
      <c r="I1159" s="237"/>
      <c r="J1159" s="237"/>
      <c r="K1159" s="237"/>
      <c r="L1159" s="240"/>
      <c r="M1159" s="236"/>
    </row>
    <row r="1160" spans="1:13" x14ac:dyDescent="0.2">
      <c r="A1160" s="237"/>
      <c r="B1160" s="237"/>
      <c r="C1160" s="237"/>
      <c r="D1160" s="237"/>
      <c r="E1160" s="237"/>
      <c r="F1160" s="237"/>
      <c r="G1160" s="237"/>
      <c r="H1160" s="237"/>
      <c r="I1160" s="237"/>
      <c r="J1160" s="237"/>
      <c r="K1160" s="237"/>
      <c r="L1160" s="284"/>
      <c r="M1160" s="236"/>
    </row>
    <row r="1161" spans="1:13" x14ac:dyDescent="0.2">
      <c r="A1161" s="258"/>
      <c r="B1161" s="241"/>
      <c r="C1161" s="241"/>
      <c r="D1161" s="241"/>
      <c r="E1161" s="241"/>
      <c r="F1161" s="241"/>
      <c r="G1161" s="241"/>
      <c r="H1161" s="241"/>
      <c r="I1161" s="241"/>
      <c r="J1161" s="241"/>
      <c r="K1161" s="241"/>
      <c r="L1161" s="236"/>
      <c r="M1161" s="236"/>
    </row>
    <row r="1162" spans="1:13" x14ac:dyDescent="0.2">
      <c r="A1162" s="241"/>
      <c r="B1162" s="375"/>
      <c r="C1162" s="375"/>
      <c r="D1162" s="375"/>
      <c r="E1162" s="253"/>
      <c r="F1162" s="375"/>
      <c r="G1162" s="375"/>
      <c r="H1162" s="375"/>
      <c r="I1162" s="253"/>
      <c r="J1162" s="375"/>
      <c r="K1162" s="375"/>
      <c r="L1162" s="375"/>
      <c r="M1162" s="236"/>
    </row>
    <row r="1163" spans="1:13" x14ac:dyDescent="0.2">
      <c r="A1163" s="258"/>
      <c r="B1163" s="259"/>
      <c r="C1163" s="259"/>
      <c r="D1163" s="259"/>
      <c r="E1163" s="259"/>
      <c r="F1163" s="259"/>
      <c r="G1163" s="259"/>
      <c r="H1163" s="259"/>
      <c r="I1163" s="259"/>
      <c r="J1163" s="259"/>
      <c r="K1163" s="259"/>
      <c r="L1163" s="259"/>
      <c r="M1163" s="236"/>
    </row>
    <row r="1164" spans="1:13" x14ac:dyDescent="0.2">
      <c r="A1164" s="258"/>
      <c r="B1164" s="259"/>
      <c r="C1164" s="259"/>
      <c r="D1164" s="259"/>
      <c r="E1164" s="259"/>
      <c r="F1164" s="259"/>
      <c r="G1164" s="259"/>
      <c r="H1164" s="259"/>
      <c r="I1164" s="259"/>
      <c r="J1164" s="259"/>
      <c r="K1164" s="259"/>
      <c r="L1164" s="259"/>
      <c r="M1164" s="236"/>
    </row>
    <row r="1165" spans="1:13" x14ac:dyDescent="0.2">
      <c r="A1165" s="237"/>
      <c r="B1165" s="302"/>
      <c r="C1165" s="302"/>
      <c r="D1165" s="302"/>
      <c r="E1165" s="303"/>
      <c r="F1165" s="302"/>
      <c r="G1165" s="302"/>
      <c r="H1165" s="302"/>
      <c r="I1165" s="303"/>
      <c r="J1165" s="302"/>
      <c r="K1165" s="302"/>
      <c r="L1165" s="302"/>
      <c r="M1165" s="236"/>
    </row>
    <row r="1166" spans="1:13" x14ac:dyDescent="0.2">
      <c r="A1166" s="237"/>
      <c r="B1166" s="302"/>
      <c r="C1166" s="302"/>
      <c r="D1166" s="302"/>
      <c r="E1166" s="303"/>
      <c r="F1166" s="302"/>
      <c r="G1166" s="302"/>
      <c r="H1166" s="302"/>
      <c r="I1166" s="303"/>
      <c r="J1166" s="302"/>
      <c r="K1166" s="302"/>
      <c r="L1166" s="302"/>
      <c r="M1166" s="236"/>
    </row>
    <row r="1167" spans="1:13" x14ac:dyDescent="0.2">
      <c r="A1167" s="237"/>
      <c r="B1167" s="302"/>
      <c r="C1167" s="302"/>
      <c r="D1167" s="302"/>
      <c r="E1167" s="303"/>
      <c r="F1167" s="302"/>
      <c r="G1167" s="302"/>
      <c r="H1167" s="302"/>
      <c r="I1167" s="303"/>
      <c r="J1167" s="302"/>
      <c r="K1167" s="302"/>
      <c r="L1167" s="302"/>
      <c r="M1167" s="236"/>
    </row>
    <row r="1168" spans="1:13" x14ac:dyDescent="0.2">
      <c r="A1168" s="237"/>
      <c r="B1168" s="302"/>
      <c r="C1168" s="302"/>
      <c r="D1168" s="302"/>
      <c r="E1168" s="303"/>
      <c r="F1168" s="302"/>
      <c r="G1168" s="302"/>
      <c r="H1168" s="302"/>
      <c r="I1168" s="303"/>
      <c r="J1168" s="302"/>
      <c r="K1168" s="302"/>
      <c r="L1168" s="302"/>
      <c r="M1168" s="236"/>
    </row>
    <row r="1169" spans="1:13" x14ac:dyDescent="0.2">
      <c r="A1169" s="237"/>
      <c r="B1169" s="302"/>
      <c r="C1169" s="302"/>
      <c r="D1169" s="302"/>
      <c r="E1169" s="303"/>
      <c r="F1169" s="302"/>
      <c r="G1169" s="302"/>
      <c r="H1169" s="302"/>
      <c r="I1169" s="303"/>
      <c r="J1169" s="302"/>
      <c r="K1169" s="302"/>
      <c r="L1169" s="302"/>
      <c r="M1169" s="236"/>
    </row>
    <row r="1170" spans="1:13" x14ac:dyDescent="0.2">
      <c r="A1170" s="237"/>
      <c r="B1170" s="302"/>
      <c r="C1170" s="302"/>
      <c r="D1170" s="302"/>
      <c r="E1170" s="303"/>
      <c r="F1170" s="302"/>
      <c r="G1170" s="302"/>
      <c r="H1170" s="302"/>
      <c r="I1170" s="303"/>
      <c r="J1170" s="302"/>
      <c r="K1170" s="302"/>
      <c r="L1170" s="302"/>
      <c r="M1170" s="236"/>
    </row>
    <row r="1171" spans="1:13" x14ac:dyDescent="0.2">
      <c r="A1171" s="237"/>
      <c r="B1171" s="302"/>
      <c r="C1171" s="302"/>
      <c r="D1171" s="302"/>
      <c r="E1171" s="303"/>
      <c r="F1171" s="302"/>
      <c r="G1171" s="302"/>
      <c r="H1171" s="302"/>
      <c r="I1171" s="303"/>
      <c r="J1171" s="302"/>
      <c r="K1171" s="302"/>
      <c r="L1171" s="302"/>
      <c r="M1171" s="236"/>
    </row>
    <row r="1172" spans="1:13" x14ac:dyDescent="0.2">
      <c r="A1172" s="237"/>
      <c r="B1172" s="302"/>
      <c r="C1172" s="302"/>
      <c r="D1172" s="302"/>
      <c r="E1172" s="303"/>
      <c r="F1172" s="302"/>
      <c r="G1172" s="302"/>
      <c r="H1172" s="302"/>
      <c r="I1172" s="303"/>
      <c r="J1172" s="302"/>
      <c r="K1172" s="302"/>
      <c r="L1172" s="302"/>
      <c r="M1172" s="236"/>
    </row>
    <row r="1173" spans="1:13" x14ac:dyDescent="0.2">
      <c r="A1173" s="237"/>
      <c r="B1173" s="302"/>
      <c r="C1173" s="302"/>
      <c r="D1173" s="302"/>
      <c r="E1173" s="303"/>
      <c r="F1173" s="302"/>
      <c r="G1173" s="302"/>
      <c r="H1173" s="302"/>
      <c r="I1173" s="303"/>
      <c r="J1173" s="302"/>
      <c r="K1173" s="302"/>
      <c r="L1173" s="302"/>
      <c r="M1173" s="236"/>
    </row>
    <row r="1174" spans="1:13" x14ac:dyDescent="0.2">
      <c r="A1174" s="237"/>
      <c r="B1174" s="302"/>
      <c r="C1174" s="302"/>
      <c r="D1174" s="302"/>
      <c r="E1174" s="303"/>
      <c r="F1174" s="302"/>
      <c r="G1174" s="302"/>
      <c r="H1174" s="302"/>
      <c r="I1174" s="303"/>
      <c r="J1174" s="302"/>
      <c r="K1174" s="302"/>
      <c r="L1174" s="302"/>
      <c r="M1174" s="236"/>
    </row>
    <row r="1175" spans="1:13" x14ac:dyDescent="0.2">
      <c r="A1175" s="237"/>
      <c r="B1175" s="303"/>
      <c r="C1175" s="303"/>
      <c r="D1175" s="303"/>
      <c r="E1175" s="303"/>
      <c r="F1175" s="303"/>
      <c r="G1175" s="303"/>
      <c r="H1175" s="303"/>
      <c r="I1175" s="303"/>
      <c r="J1175" s="303"/>
      <c r="K1175" s="303"/>
      <c r="L1175" s="303"/>
      <c r="M1175" s="236"/>
    </row>
    <row r="1176" spans="1:13" x14ac:dyDescent="0.2">
      <c r="A1176" s="237"/>
      <c r="B1176" s="237"/>
      <c r="C1176" s="237"/>
      <c r="D1176" s="237"/>
      <c r="E1176" s="237"/>
      <c r="F1176" s="237"/>
      <c r="G1176" s="237"/>
      <c r="H1176" s="237"/>
      <c r="I1176" s="237"/>
      <c r="J1176" s="237"/>
      <c r="K1176" s="237"/>
      <c r="L1176" s="240"/>
      <c r="M1176" s="236"/>
    </row>
    <row r="1177" spans="1:13" x14ac:dyDescent="0.2">
      <c r="A1177" s="237"/>
      <c r="B1177" s="237"/>
      <c r="C1177" s="237"/>
      <c r="D1177" s="237"/>
      <c r="E1177" s="237"/>
      <c r="F1177" s="237"/>
      <c r="G1177" s="237"/>
      <c r="H1177" s="237"/>
      <c r="I1177" s="237"/>
      <c r="J1177" s="237"/>
      <c r="K1177" s="237"/>
      <c r="L1177" s="284"/>
      <c r="M1177" s="236"/>
    </row>
    <row r="1178" spans="1:13" x14ac:dyDescent="0.2">
      <c r="A1178" s="258"/>
      <c r="B1178" s="241"/>
      <c r="C1178" s="241"/>
      <c r="D1178" s="241"/>
      <c r="E1178" s="241"/>
      <c r="F1178" s="241"/>
      <c r="G1178" s="241"/>
      <c r="H1178" s="241"/>
      <c r="I1178" s="241"/>
      <c r="J1178" s="241"/>
      <c r="K1178" s="241"/>
      <c r="L1178" s="236"/>
      <c r="M1178" s="236"/>
    </row>
    <row r="1179" spans="1:13" x14ac:dyDescent="0.2">
      <c r="A1179" s="241"/>
      <c r="B1179" s="375"/>
      <c r="C1179" s="375"/>
      <c r="D1179" s="375"/>
      <c r="E1179" s="253"/>
      <c r="F1179" s="375"/>
      <c r="G1179" s="375"/>
      <c r="H1179" s="375"/>
      <c r="I1179" s="253"/>
      <c r="J1179" s="375"/>
      <c r="K1179" s="375"/>
      <c r="L1179" s="375"/>
      <c r="M1179" s="236"/>
    </row>
    <row r="1180" spans="1:13" x14ac:dyDescent="0.2">
      <c r="A1180" s="258"/>
      <c r="B1180" s="259"/>
      <c r="C1180" s="259"/>
      <c r="D1180" s="259"/>
      <c r="E1180" s="259"/>
      <c r="F1180" s="259"/>
      <c r="G1180" s="259"/>
      <c r="H1180" s="259"/>
      <c r="I1180" s="259"/>
      <c r="J1180" s="259"/>
      <c r="K1180" s="259"/>
      <c r="L1180" s="259"/>
      <c r="M1180" s="236"/>
    </row>
    <row r="1181" spans="1:13" x14ac:dyDescent="0.2">
      <c r="A1181" s="258"/>
      <c r="B1181" s="259"/>
      <c r="C1181" s="259"/>
      <c r="D1181" s="259"/>
      <c r="E1181" s="259"/>
      <c r="F1181" s="259"/>
      <c r="G1181" s="259"/>
      <c r="H1181" s="259"/>
      <c r="I1181" s="259"/>
      <c r="J1181" s="259"/>
      <c r="K1181" s="259"/>
      <c r="L1181" s="259"/>
      <c r="M1181" s="236"/>
    </row>
    <row r="1182" spans="1:13" x14ac:dyDescent="0.2">
      <c r="A1182" s="237"/>
      <c r="B1182" s="302"/>
      <c r="C1182" s="302"/>
      <c r="D1182" s="302"/>
      <c r="E1182" s="303"/>
      <c r="F1182" s="302"/>
      <c r="G1182" s="302"/>
      <c r="H1182" s="302"/>
      <c r="I1182" s="303"/>
      <c r="J1182" s="302"/>
      <c r="K1182" s="302"/>
      <c r="L1182" s="302"/>
      <c r="M1182" s="236"/>
    </row>
    <row r="1183" spans="1:13" x14ac:dyDescent="0.2">
      <c r="A1183" s="237"/>
      <c r="B1183" s="302"/>
      <c r="C1183" s="302"/>
      <c r="D1183" s="302"/>
      <c r="E1183" s="303"/>
      <c r="F1183" s="302"/>
      <c r="G1183" s="302"/>
      <c r="H1183" s="302"/>
      <c r="I1183" s="303"/>
      <c r="J1183" s="302"/>
      <c r="K1183" s="302"/>
      <c r="L1183" s="302"/>
      <c r="M1183" s="236"/>
    </row>
    <row r="1184" spans="1:13" x14ac:dyDescent="0.2">
      <c r="A1184" s="237"/>
      <c r="B1184" s="302"/>
      <c r="C1184" s="302"/>
      <c r="D1184" s="302"/>
      <c r="E1184" s="303"/>
      <c r="F1184" s="302"/>
      <c r="G1184" s="302"/>
      <c r="H1184" s="302"/>
      <c r="I1184" s="303"/>
      <c r="J1184" s="302"/>
      <c r="K1184" s="302"/>
      <c r="L1184" s="302"/>
      <c r="M1184" s="236"/>
    </row>
    <row r="1185" spans="1:13" x14ac:dyDescent="0.2">
      <c r="A1185" s="237"/>
      <c r="B1185" s="302"/>
      <c r="C1185" s="302"/>
      <c r="D1185" s="302"/>
      <c r="E1185" s="303"/>
      <c r="F1185" s="302"/>
      <c r="G1185" s="302"/>
      <c r="H1185" s="302"/>
      <c r="I1185" s="303"/>
      <c r="J1185" s="302"/>
      <c r="K1185" s="302"/>
      <c r="L1185" s="302"/>
      <c r="M1185" s="236"/>
    </row>
    <row r="1186" spans="1:13" x14ac:dyDescent="0.2">
      <c r="A1186" s="237"/>
      <c r="B1186" s="302"/>
      <c r="C1186" s="302"/>
      <c r="D1186" s="302"/>
      <c r="E1186" s="303"/>
      <c r="F1186" s="302"/>
      <c r="G1186" s="302"/>
      <c r="H1186" s="302"/>
      <c r="I1186" s="303"/>
      <c r="J1186" s="302"/>
      <c r="K1186" s="302"/>
      <c r="L1186" s="302"/>
      <c r="M1186" s="236"/>
    </row>
    <row r="1187" spans="1:13" x14ac:dyDescent="0.2">
      <c r="A1187" s="237"/>
      <c r="B1187" s="302"/>
      <c r="C1187" s="302"/>
      <c r="D1187" s="302"/>
      <c r="E1187" s="303"/>
      <c r="F1187" s="302"/>
      <c r="G1187" s="302"/>
      <c r="H1187" s="302"/>
      <c r="I1187" s="303"/>
      <c r="J1187" s="302"/>
      <c r="K1187" s="302"/>
      <c r="L1187" s="302"/>
      <c r="M1187" s="236"/>
    </row>
    <row r="1188" spans="1:13" x14ac:dyDescent="0.2">
      <c r="A1188" s="237"/>
      <c r="B1188" s="302"/>
      <c r="C1188" s="302"/>
      <c r="D1188" s="302"/>
      <c r="E1188" s="303"/>
      <c r="F1188" s="302"/>
      <c r="G1188" s="302"/>
      <c r="H1188" s="302"/>
      <c r="I1188" s="303"/>
      <c r="J1188" s="302"/>
      <c r="K1188" s="302"/>
      <c r="L1188" s="302"/>
      <c r="M1188" s="236"/>
    </row>
    <row r="1189" spans="1:13" x14ac:dyDescent="0.2">
      <c r="A1189" s="237"/>
      <c r="B1189" s="302"/>
      <c r="C1189" s="302"/>
      <c r="D1189" s="302"/>
      <c r="E1189" s="303"/>
      <c r="F1189" s="302"/>
      <c r="G1189" s="302"/>
      <c r="H1189" s="302"/>
      <c r="I1189" s="303"/>
      <c r="J1189" s="302"/>
      <c r="K1189" s="302"/>
      <c r="L1189" s="302"/>
      <c r="M1189" s="236"/>
    </row>
    <row r="1190" spans="1:13" x14ac:dyDescent="0.2">
      <c r="A1190" s="237"/>
      <c r="B1190" s="302"/>
      <c r="C1190" s="302"/>
      <c r="D1190" s="302"/>
      <c r="E1190" s="303"/>
      <c r="F1190" s="302"/>
      <c r="G1190" s="302"/>
      <c r="H1190" s="302"/>
      <c r="I1190" s="303"/>
      <c r="J1190" s="302"/>
      <c r="K1190" s="302"/>
      <c r="L1190" s="302"/>
      <c r="M1190" s="236"/>
    </row>
    <row r="1191" spans="1:13" x14ac:dyDescent="0.2">
      <c r="A1191" s="237"/>
      <c r="B1191" s="302"/>
      <c r="C1191" s="302"/>
      <c r="D1191" s="302"/>
      <c r="E1191" s="303"/>
      <c r="F1191" s="302"/>
      <c r="G1191" s="302"/>
      <c r="H1191" s="302"/>
      <c r="I1191" s="303"/>
      <c r="J1191" s="302"/>
      <c r="K1191" s="302"/>
      <c r="L1191" s="302"/>
      <c r="M1191" s="236"/>
    </row>
    <row r="1192" spans="1:13" x14ac:dyDescent="0.2">
      <c r="A1192" s="237"/>
      <c r="B1192" s="303"/>
      <c r="C1192" s="303"/>
      <c r="D1192" s="303"/>
      <c r="E1192" s="303"/>
      <c r="F1192" s="303"/>
      <c r="G1192" s="303"/>
      <c r="H1192" s="303"/>
      <c r="I1192" s="303"/>
      <c r="J1192" s="303"/>
      <c r="K1192" s="303"/>
      <c r="L1192" s="303"/>
      <c r="M1192" s="236"/>
    </row>
    <row r="1193" spans="1:13" x14ac:dyDescent="0.2">
      <c r="A1193" s="237"/>
      <c r="B1193" s="237"/>
      <c r="C1193" s="237"/>
      <c r="D1193" s="237"/>
      <c r="E1193" s="237"/>
      <c r="F1193" s="237"/>
      <c r="G1193" s="237"/>
      <c r="H1193" s="237"/>
      <c r="I1193" s="237"/>
      <c r="J1193" s="237"/>
      <c r="K1193" s="237"/>
      <c r="L1193" s="240"/>
      <c r="M1193" s="236"/>
    </row>
    <row r="1194" spans="1:13" x14ac:dyDescent="0.2">
      <c r="A1194" s="237"/>
      <c r="B1194" s="237"/>
      <c r="C1194" s="237"/>
      <c r="D1194" s="237"/>
      <c r="E1194" s="237"/>
      <c r="F1194" s="237"/>
      <c r="G1194" s="237"/>
      <c r="H1194" s="237"/>
      <c r="I1194" s="237"/>
      <c r="J1194" s="237"/>
      <c r="K1194" s="237"/>
      <c r="L1194" s="284"/>
      <c r="M1194" s="236"/>
    </row>
    <row r="1195" spans="1:13" x14ac:dyDescent="0.2">
      <c r="A1195" s="258"/>
      <c r="B1195" s="241"/>
      <c r="C1195" s="241"/>
      <c r="D1195" s="241"/>
      <c r="E1195" s="241"/>
      <c r="F1195" s="241"/>
      <c r="G1195" s="241"/>
      <c r="H1195" s="241"/>
      <c r="I1195" s="241"/>
      <c r="J1195" s="241"/>
      <c r="K1195" s="241"/>
      <c r="L1195" s="236"/>
      <c r="M1195" s="236"/>
    </row>
    <row r="1196" spans="1:13" x14ac:dyDescent="0.2">
      <c r="A1196" s="241"/>
      <c r="B1196" s="375"/>
      <c r="C1196" s="375"/>
      <c r="D1196" s="375"/>
      <c r="E1196" s="253"/>
      <c r="F1196" s="375"/>
      <c r="G1196" s="375"/>
      <c r="H1196" s="375"/>
      <c r="I1196" s="253"/>
      <c r="J1196" s="375"/>
      <c r="K1196" s="375"/>
      <c r="L1196" s="375"/>
      <c r="M1196" s="236"/>
    </row>
    <row r="1197" spans="1:13" x14ac:dyDescent="0.2">
      <c r="A1197" s="258"/>
      <c r="B1197" s="259"/>
      <c r="C1197" s="259"/>
      <c r="D1197" s="259"/>
      <c r="E1197" s="259"/>
      <c r="F1197" s="259"/>
      <c r="G1197" s="259"/>
      <c r="H1197" s="259"/>
      <c r="I1197" s="259"/>
      <c r="J1197" s="259"/>
      <c r="K1197" s="259"/>
      <c r="L1197" s="259"/>
      <c r="M1197" s="236"/>
    </row>
    <row r="1198" spans="1:13" x14ac:dyDescent="0.2">
      <c r="A1198" s="258"/>
      <c r="B1198" s="259"/>
      <c r="C1198" s="259"/>
      <c r="D1198" s="259"/>
      <c r="E1198" s="259"/>
      <c r="F1198" s="259"/>
      <c r="G1198" s="259"/>
      <c r="H1198" s="259"/>
      <c r="I1198" s="259"/>
      <c r="J1198" s="259"/>
      <c r="K1198" s="259"/>
      <c r="L1198" s="259"/>
      <c r="M1198" s="236"/>
    </row>
    <row r="1199" spans="1:13" x14ac:dyDescent="0.2">
      <c r="A1199" s="237"/>
      <c r="B1199" s="302"/>
      <c r="C1199" s="302"/>
      <c r="D1199" s="302"/>
      <c r="E1199" s="303"/>
      <c r="F1199" s="302"/>
      <c r="G1199" s="302"/>
      <c r="H1199" s="302"/>
      <c r="I1199" s="303"/>
      <c r="J1199" s="302"/>
      <c r="K1199" s="302"/>
      <c r="L1199" s="302"/>
      <c r="M1199" s="236"/>
    </row>
    <row r="1200" spans="1:13" x14ac:dyDescent="0.2">
      <c r="A1200" s="237"/>
      <c r="B1200" s="302"/>
      <c r="C1200" s="302"/>
      <c r="D1200" s="302"/>
      <c r="E1200" s="303"/>
      <c r="F1200" s="302"/>
      <c r="G1200" s="302"/>
      <c r="H1200" s="302"/>
      <c r="I1200" s="303"/>
      <c r="J1200" s="302"/>
      <c r="K1200" s="302"/>
      <c r="L1200" s="302"/>
      <c r="M1200" s="236"/>
    </row>
    <row r="1201" spans="1:13" x14ac:dyDescent="0.2">
      <c r="A1201" s="237"/>
      <c r="B1201" s="302"/>
      <c r="C1201" s="302"/>
      <c r="D1201" s="302"/>
      <c r="E1201" s="303"/>
      <c r="F1201" s="302"/>
      <c r="G1201" s="302"/>
      <c r="H1201" s="302"/>
      <c r="I1201" s="303"/>
      <c r="J1201" s="302"/>
      <c r="K1201" s="302"/>
      <c r="L1201" s="302"/>
      <c r="M1201" s="236"/>
    </row>
    <row r="1202" spans="1:13" x14ac:dyDescent="0.2">
      <c r="A1202" s="237"/>
      <c r="B1202" s="302"/>
      <c r="C1202" s="302"/>
      <c r="D1202" s="302"/>
      <c r="E1202" s="303"/>
      <c r="F1202" s="302"/>
      <c r="G1202" s="302"/>
      <c r="H1202" s="302"/>
      <c r="I1202" s="303"/>
      <c r="J1202" s="302"/>
      <c r="K1202" s="302"/>
      <c r="L1202" s="302"/>
      <c r="M1202" s="236"/>
    </row>
    <row r="1203" spans="1:13" x14ac:dyDescent="0.2">
      <c r="A1203" s="237"/>
      <c r="B1203" s="302"/>
      <c r="C1203" s="302"/>
      <c r="D1203" s="302"/>
      <c r="E1203" s="303"/>
      <c r="F1203" s="302"/>
      <c r="G1203" s="302"/>
      <c r="H1203" s="302"/>
      <c r="I1203" s="303"/>
      <c r="J1203" s="302"/>
      <c r="K1203" s="302"/>
      <c r="L1203" s="302"/>
      <c r="M1203" s="236"/>
    </row>
    <row r="1204" spans="1:13" x14ac:dyDescent="0.2">
      <c r="A1204" s="237"/>
      <c r="B1204" s="302"/>
      <c r="C1204" s="302"/>
      <c r="D1204" s="302"/>
      <c r="E1204" s="303"/>
      <c r="F1204" s="302"/>
      <c r="G1204" s="302"/>
      <c r="H1204" s="302"/>
      <c r="I1204" s="303"/>
      <c r="J1204" s="302"/>
      <c r="K1204" s="302"/>
      <c r="L1204" s="302"/>
      <c r="M1204" s="236"/>
    </row>
    <row r="1205" spans="1:13" x14ac:dyDescent="0.2">
      <c r="A1205" s="237"/>
      <c r="B1205" s="302"/>
      <c r="C1205" s="302"/>
      <c r="D1205" s="302"/>
      <c r="E1205" s="303"/>
      <c r="F1205" s="302"/>
      <c r="G1205" s="302"/>
      <c r="H1205" s="302"/>
      <c r="I1205" s="303"/>
      <c r="J1205" s="302"/>
      <c r="K1205" s="302"/>
      <c r="L1205" s="302"/>
      <c r="M1205" s="236"/>
    </row>
    <row r="1206" spans="1:13" x14ac:dyDescent="0.2">
      <c r="A1206" s="237"/>
      <c r="B1206" s="302"/>
      <c r="C1206" s="302"/>
      <c r="D1206" s="302"/>
      <c r="E1206" s="303"/>
      <c r="F1206" s="302"/>
      <c r="G1206" s="302"/>
      <c r="H1206" s="302"/>
      <c r="I1206" s="303"/>
      <c r="J1206" s="302"/>
      <c r="K1206" s="302"/>
      <c r="L1206" s="302"/>
      <c r="M1206" s="236"/>
    </row>
    <row r="1207" spans="1:13" x14ac:dyDescent="0.2">
      <c r="A1207" s="237"/>
      <c r="B1207" s="302"/>
      <c r="C1207" s="302"/>
      <c r="D1207" s="302"/>
      <c r="E1207" s="303"/>
      <c r="F1207" s="302"/>
      <c r="G1207" s="302"/>
      <c r="H1207" s="302"/>
      <c r="I1207" s="303"/>
      <c r="J1207" s="302"/>
      <c r="K1207" s="302"/>
      <c r="L1207" s="302"/>
      <c r="M1207" s="236"/>
    </row>
    <row r="1208" spans="1:13" x14ac:dyDescent="0.2">
      <c r="A1208" s="237"/>
      <c r="B1208" s="302"/>
      <c r="C1208" s="302"/>
      <c r="D1208" s="302"/>
      <c r="E1208" s="303"/>
      <c r="F1208" s="302"/>
      <c r="G1208" s="302"/>
      <c r="H1208" s="302"/>
      <c r="I1208" s="303"/>
      <c r="J1208" s="302"/>
      <c r="K1208" s="302"/>
      <c r="L1208" s="302"/>
      <c r="M1208" s="236"/>
    </row>
    <row r="1209" spans="1:13" x14ac:dyDescent="0.2">
      <c r="A1209" s="237"/>
      <c r="B1209" s="303"/>
      <c r="C1209" s="303"/>
      <c r="D1209" s="303"/>
      <c r="E1209" s="303"/>
      <c r="F1209" s="303"/>
      <c r="G1209" s="303"/>
      <c r="H1209" s="303"/>
      <c r="I1209" s="303"/>
      <c r="J1209" s="303"/>
      <c r="K1209" s="303"/>
      <c r="L1209" s="303"/>
      <c r="M1209" s="236"/>
    </row>
    <row r="1210" spans="1:13" x14ac:dyDescent="0.2">
      <c r="A1210" s="237"/>
      <c r="B1210" s="237"/>
      <c r="C1210" s="237"/>
      <c r="D1210" s="237"/>
      <c r="E1210" s="237"/>
      <c r="F1210" s="237"/>
      <c r="G1210" s="237"/>
      <c r="H1210" s="237"/>
      <c r="I1210" s="237"/>
      <c r="J1210" s="237"/>
      <c r="K1210" s="237"/>
      <c r="L1210" s="240"/>
      <c r="M1210" s="236"/>
    </row>
    <row r="1211" spans="1:13" x14ac:dyDescent="0.2">
      <c r="A1211" s="237"/>
      <c r="B1211" s="237"/>
      <c r="C1211" s="237"/>
      <c r="D1211" s="237"/>
      <c r="E1211" s="237"/>
      <c r="F1211" s="237"/>
      <c r="G1211" s="237"/>
      <c r="H1211" s="237"/>
      <c r="I1211" s="237"/>
      <c r="J1211" s="237"/>
      <c r="K1211" s="237"/>
      <c r="L1211" s="284"/>
      <c r="M1211" s="236"/>
    </row>
    <row r="1212" spans="1:13" x14ac:dyDescent="0.2">
      <c r="A1212" s="258"/>
      <c r="B1212" s="241"/>
      <c r="C1212" s="241"/>
      <c r="D1212" s="241"/>
      <c r="E1212" s="241"/>
      <c r="F1212" s="241"/>
      <c r="G1212" s="241"/>
      <c r="H1212" s="241"/>
      <c r="I1212" s="241"/>
      <c r="J1212" s="241"/>
      <c r="K1212" s="241"/>
      <c r="L1212" s="236"/>
      <c r="M1212" s="236"/>
    </row>
    <row r="1213" spans="1:13" x14ac:dyDescent="0.2">
      <c r="A1213" s="241"/>
      <c r="B1213" s="375"/>
      <c r="C1213" s="375"/>
      <c r="D1213" s="375"/>
      <c r="E1213" s="253"/>
      <c r="F1213" s="375"/>
      <c r="G1213" s="375"/>
      <c r="H1213" s="375"/>
      <c r="I1213" s="253"/>
      <c r="J1213" s="375"/>
      <c r="K1213" s="375"/>
      <c r="L1213" s="375"/>
      <c r="M1213" s="236"/>
    </row>
    <row r="1214" spans="1:13" x14ac:dyDescent="0.2">
      <c r="A1214" s="258"/>
      <c r="B1214" s="259"/>
      <c r="C1214" s="259"/>
      <c r="D1214" s="259"/>
      <c r="E1214" s="259"/>
      <c r="F1214" s="259"/>
      <c r="G1214" s="259"/>
      <c r="H1214" s="259"/>
      <c r="I1214" s="259"/>
      <c r="J1214" s="259"/>
      <c r="K1214" s="259"/>
      <c r="L1214" s="259"/>
      <c r="M1214" s="236"/>
    </row>
    <row r="1215" spans="1:13" x14ac:dyDescent="0.2">
      <c r="A1215" s="258"/>
      <c r="B1215" s="259"/>
      <c r="C1215" s="259"/>
      <c r="D1215" s="259"/>
      <c r="E1215" s="259"/>
      <c r="F1215" s="259"/>
      <c r="G1215" s="259"/>
      <c r="H1215" s="259"/>
      <c r="I1215" s="259"/>
      <c r="J1215" s="259"/>
      <c r="K1215" s="259"/>
      <c r="L1215" s="259"/>
      <c r="M1215" s="236"/>
    </row>
    <row r="1216" spans="1:13" x14ac:dyDescent="0.2">
      <c r="A1216" s="237"/>
      <c r="B1216" s="302"/>
      <c r="C1216" s="302"/>
      <c r="D1216" s="302"/>
      <c r="E1216" s="303"/>
      <c r="F1216" s="302"/>
      <c r="G1216" s="302"/>
      <c r="H1216" s="302"/>
      <c r="I1216" s="303"/>
      <c r="J1216" s="302"/>
      <c r="K1216" s="302"/>
      <c r="L1216" s="302"/>
      <c r="M1216" s="236"/>
    </row>
    <row r="1217" spans="1:13" x14ac:dyDescent="0.2">
      <c r="A1217" s="237"/>
      <c r="B1217" s="302"/>
      <c r="C1217" s="302"/>
      <c r="D1217" s="302"/>
      <c r="E1217" s="303"/>
      <c r="F1217" s="302"/>
      <c r="G1217" s="302"/>
      <c r="H1217" s="302"/>
      <c r="I1217" s="303"/>
      <c r="J1217" s="302"/>
      <c r="K1217" s="302"/>
      <c r="L1217" s="302"/>
      <c r="M1217" s="236"/>
    </row>
    <row r="1218" spans="1:13" x14ac:dyDescent="0.2">
      <c r="A1218" s="237"/>
      <c r="B1218" s="302"/>
      <c r="C1218" s="302"/>
      <c r="D1218" s="302"/>
      <c r="E1218" s="303"/>
      <c r="F1218" s="302"/>
      <c r="G1218" s="302"/>
      <c r="H1218" s="302"/>
      <c r="I1218" s="303"/>
      <c r="J1218" s="302"/>
      <c r="K1218" s="302"/>
      <c r="L1218" s="302"/>
      <c r="M1218" s="236"/>
    </row>
    <row r="1219" spans="1:13" x14ac:dyDescent="0.2">
      <c r="A1219" s="237"/>
      <c r="B1219" s="302"/>
      <c r="C1219" s="302"/>
      <c r="D1219" s="302"/>
      <c r="E1219" s="303"/>
      <c r="F1219" s="302"/>
      <c r="G1219" s="302"/>
      <c r="H1219" s="302"/>
      <c r="I1219" s="303"/>
      <c r="J1219" s="302"/>
      <c r="K1219" s="302"/>
      <c r="L1219" s="302"/>
      <c r="M1219" s="236"/>
    </row>
    <row r="1220" spans="1:13" x14ac:dyDescent="0.2">
      <c r="A1220" s="237"/>
      <c r="B1220" s="302"/>
      <c r="C1220" s="302"/>
      <c r="D1220" s="302"/>
      <c r="E1220" s="303"/>
      <c r="F1220" s="302"/>
      <c r="G1220" s="302"/>
      <c r="H1220" s="302"/>
      <c r="I1220" s="303"/>
      <c r="J1220" s="302"/>
      <c r="K1220" s="302"/>
      <c r="L1220" s="302"/>
      <c r="M1220" s="236"/>
    </row>
    <row r="1221" spans="1:13" x14ac:dyDescent="0.2">
      <c r="A1221" s="237"/>
      <c r="B1221" s="302"/>
      <c r="C1221" s="302"/>
      <c r="D1221" s="302"/>
      <c r="E1221" s="303"/>
      <c r="F1221" s="302"/>
      <c r="G1221" s="302"/>
      <c r="H1221" s="302"/>
      <c r="I1221" s="303"/>
      <c r="J1221" s="302"/>
      <c r="K1221" s="302"/>
      <c r="L1221" s="302"/>
      <c r="M1221" s="236"/>
    </row>
    <row r="1222" spans="1:13" x14ac:dyDescent="0.2">
      <c r="A1222" s="237"/>
      <c r="B1222" s="302"/>
      <c r="C1222" s="302"/>
      <c r="D1222" s="302"/>
      <c r="E1222" s="303"/>
      <c r="F1222" s="302"/>
      <c r="G1222" s="302"/>
      <c r="H1222" s="302"/>
      <c r="I1222" s="303"/>
      <c r="J1222" s="302"/>
      <c r="K1222" s="302"/>
      <c r="L1222" s="302"/>
      <c r="M1222" s="236"/>
    </row>
    <row r="1223" spans="1:13" x14ac:dyDescent="0.2">
      <c r="A1223" s="237"/>
      <c r="B1223" s="302"/>
      <c r="C1223" s="302"/>
      <c r="D1223" s="302"/>
      <c r="E1223" s="303"/>
      <c r="F1223" s="302"/>
      <c r="G1223" s="302"/>
      <c r="H1223" s="302"/>
      <c r="I1223" s="303"/>
      <c r="J1223" s="302"/>
      <c r="K1223" s="302"/>
      <c r="L1223" s="302"/>
      <c r="M1223" s="236"/>
    </row>
    <row r="1224" spans="1:13" ht="13.5" customHeight="1" x14ac:dyDescent="0.2">
      <c r="A1224" s="237"/>
      <c r="B1224" s="302"/>
      <c r="C1224" s="302"/>
      <c r="D1224" s="302"/>
      <c r="E1224" s="303"/>
      <c r="F1224" s="302"/>
      <c r="G1224" s="302"/>
      <c r="H1224" s="302"/>
      <c r="I1224" s="303"/>
      <c r="J1224" s="302"/>
      <c r="K1224" s="302"/>
      <c r="L1224" s="302"/>
      <c r="M1224" s="236"/>
    </row>
    <row r="1225" spans="1:13" ht="13.5" customHeight="1" x14ac:dyDescent="0.2">
      <c r="A1225" s="237"/>
      <c r="B1225" s="302"/>
      <c r="C1225" s="302"/>
      <c r="D1225" s="302"/>
      <c r="E1225" s="303"/>
      <c r="F1225" s="302"/>
      <c r="G1225" s="302"/>
      <c r="H1225" s="302"/>
      <c r="I1225" s="303"/>
      <c r="J1225" s="302"/>
      <c r="K1225" s="302"/>
      <c r="L1225" s="302"/>
      <c r="M1225" s="236"/>
    </row>
    <row r="1226" spans="1:13" x14ac:dyDescent="0.2">
      <c r="A1226" s="237"/>
      <c r="B1226" s="303"/>
      <c r="C1226" s="303"/>
      <c r="D1226" s="303"/>
      <c r="E1226" s="303"/>
      <c r="F1226" s="303"/>
      <c r="G1226" s="303"/>
      <c r="H1226" s="303"/>
      <c r="I1226" s="303"/>
      <c r="J1226" s="303"/>
      <c r="K1226" s="303"/>
      <c r="L1226" s="303"/>
      <c r="M1226" s="236"/>
    </row>
    <row r="1227" spans="1:13" x14ac:dyDescent="0.2">
      <c r="A1227" s="237"/>
      <c r="B1227" s="237"/>
      <c r="C1227" s="237"/>
      <c r="D1227" s="237"/>
      <c r="E1227" s="237"/>
      <c r="F1227" s="237"/>
      <c r="G1227" s="237"/>
      <c r="H1227" s="237"/>
      <c r="I1227" s="237"/>
      <c r="J1227" s="237"/>
      <c r="K1227" s="237"/>
      <c r="L1227" s="240"/>
      <c r="M1227" s="236"/>
    </row>
    <row r="1228" spans="1:13" x14ac:dyDescent="0.2">
      <c r="A1228" s="237"/>
      <c r="B1228" s="237"/>
      <c r="C1228" s="237"/>
      <c r="D1228" s="237"/>
      <c r="E1228" s="237"/>
      <c r="F1228" s="237"/>
      <c r="G1228" s="237"/>
      <c r="H1228" s="237"/>
      <c r="I1228" s="237"/>
      <c r="J1228" s="237"/>
      <c r="K1228" s="237"/>
      <c r="L1228" s="284"/>
      <c r="M1228" s="236"/>
    </row>
    <row r="1229" spans="1:13" x14ac:dyDescent="0.2">
      <c r="A1229" s="258"/>
      <c r="B1229" s="241"/>
      <c r="C1229" s="241"/>
      <c r="D1229" s="241"/>
      <c r="E1229" s="241"/>
      <c r="F1229" s="241"/>
      <c r="G1229" s="241"/>
      <c r="H1229" s="241"/>
      <c r="I1229" s="241"/>
      <c r="J1229" s="241"/>
      <c r="K1229" s="241"/>
      <c r="L1229" s="236"/>
      <c r="M1229" s="236"/>
    </row>
    <row r="1230" spans="1:13" x14ac:dyDescent="0.2">
      <c r="A1230" s="241"/>
      <c r="B1230" s="375"/>
      <c r="C1230" s="375"/>
      <c r="D1230" s="375"/>
      <c r="E1230" s="253"/>
      <c r="F1230" s="375"/>
      <c r="G1230" s="375"/>
      <c r="H1230" s="375"/>
      <c r="I1230" s="253"/>
      <c r="J1230" s="375"/>
      <c r="K1230" s="375"/>
      <c r="L1230" s="375"/>
      <c r="M1230" s="236"/>
    </row>
    <row r="1231" spans="1:13" x14ac:dyDescent="0.2">
      <c r="A1231" s="258"/>
      <c r="B1231" s="259"/>
      <c r="C1231" s="259"/>
      <c r="D1231" s="259"/>
      <c r="E1231" s="259"/>
      <c r="F1231" s="259"/>
      <c r="G1231" s="259"/>
      <c r="H1231" s="259"/>
      <c r="I1231" s="259"/>
      <c r="J1231" s="259"/>
      <c r="K1231" s="259"/>
      <c r="L1231" s="259"/>
      <c r="M1231" s="236"/>
    </row>
    <row r="1232" spans="1:13" x14ac:dyDescent="0.2">
      <c r="A1232" s="258"/>
      <c r="B1232" s="259"/>
      <c r="C1232" s="259"/>
      <c r="D1232" s="259"/>
      <c r="E1232" s="259"/>
      <c r="F1232" s="259"/>
      <c r="G1232" s="259"/>
      <c r="H1232" s="259"/>
      <c r="I1232" s="259"/>
      <c r="J1232" s="259"/>
      <c r="K1232" s="259"/>
      <c r="L1232" s="259"/>
      <c r="M1232" s="236"/>
    </row>
    <row r="1233" spans="1:13" x14ac:dyDescent="0.2">
      <c r="A1233" s="237"/>
      <c r="B1233" s="302"/>
      <c r="C1233" s="302"/>
      <c r="D1233" s="302"/>
      <c r="E1233" s="303"/>
      <c r="F1233" s="302"/>
      <c r="G1233" s="302"/>
      <c r="H1233" s="302"/>
      <c r="I1233" s="303"/>
      <c r="J1233" s="302"/>
      <c r="K1233" s="302"/>
      <c r="L1233" s="302"/>
      <c r="M1233" s="236"/>
    </row>
    <row r="1234" spans="1:13" x14ac:dyDescent="0.2">
      <c r="A1234" s="237"/>
      <c r="B1234" s="302"/>
      <c r="C1234" s="302"/>
      <c r="D1234" s="302"/>
      <c r="E1234" s="303"/>
      <c r="F1234" s="302"/>
      <c r="G1234" s="302"/>
      <c r="H1234" s="302"/>
      <c r="I1234" s="303"/>
      <c r="J1234" s="302"/>
      <c r="K1234" s="302"/>
      <c r="L1234" s="302"/>
      <c r="M1234" s="236"/>
    </row>
    <row r="1235" spans="1:13" x14ac:dyDescent="0.2">
      <c r="A1235" s="237"/>
      <c r="B1235" s="302"/>
      <c r="C1235" s="302"/>
      <c r="D1235" s="302"/>
      <c r="E1235" s="303"/>
      <c r="F1235" s="302"/>
      <c r="G1235" s="302"/>
      <c r="H1235" s="302"/>
      <c r="I1235" s="303"/>
      <c r="J1235" s="302"/>
      <c r="K1235" s="302"/>
      <c r="L1235" s="302"/>
      <c r="M1235" s="236"/>
    </row>
    <row r="1236" spans="1:13" x14ac:dyDescent="0.2">
      <c r="A1236" s="237"/>
      <c r="B1236" s="302"/>
      <c r="C1236" s="302"/>
      <c r="D1236" s="302"/>
      <c r="E1236" s="303"/>
      <c r="F1236" s="302"/>
      <c r="G1236" s="302"/>
      <c r="H1236" s="302"/>
      <c r="I1236" s="303"/>
      <c r="J1236" s="302"/>
      <c r="K1236" s="302"/>
      <c r="L1236" s="302"/>
      <c r="M1236" s="236"/>
    </row>
    <row r="1237" spans="1:13" x14ac:dyDescent="0.2">
      <c r="A1237" s="237"/>
      <c r="B1237" s="302"/>
      <c r="C1237" s="302"/>
      <c r="D1237" s="302"/>
      <c r="E1237" s="303"/>
      <c r="F1237" s="302"/>
      <c r="G1237" s="302"/>
      <c r="H1237" s="302"/>
      <c r="I1237" s="303"/>
      <c r="J1237" s="302"/>
      <c r="K1237" s="302"/>
      <c r="L1237" s="302"/>
      <c r="M1237" s="236"/>
    </row>
    <row r="1238" spans="1:13" x14ac:dyDescent="0.2">
      <c r="A1238" s="237"/>
      <c r="B1238" s="302"/>
      <c r="C1238" s="302"/>
      <c r="D1238" s="302"/>
      <c r="E1238" s="303"/>
      <c r="F1238" s="302"/>
      <c r="G1238" s="302"/>
      <c r="H1238" s="302"/>
      <c r="I1238" s="303"/>
      <c r="J1238" s="302"/>
      <c r="K1238" s="302"/>
      <c r="L1238" s="302"/>
      <c r="M1238" s="236"/>
    </row>
    <row r="1239" spans="1:13" x14ac:dyDescent="0.2">
      <c r="A1239" s="237"/>
      <c r="B1239" s="302"/>
      <c r="C1239" s="302"/>
      <c r="D1239" s="302"/>
      <c r="E1239" s="303"/>
      <c r="F1239" s="302"/>
      <c r="G1239" s="302"/>
      <c r="H1239" s="302"/>
      <c r="I1239" s="303"/>
      <c r="J1239" s="302"/>
      <c r="K1239" s="302"/>
      <c r="L1239" s="302"/>
      <c r="M1239" s="236"/>
    </row>
    <row r="1240" spans="1:13" x14ac:dyDescent="0.2">
      <c r="A1240" s="237"/>
      <c r="B1240" s="302"/>
      <c r="C1240" s="302"/>
      <c r="D1240" s="302"/>
      <c r="E1240" s="303"/>
      <c r="F1240" s="302"/>
      <c r="G1240" s="302"/>
      <c r="H1240" s="302"/>
      <c r="I1240" s="303"/>
      <c r="J1240" s="302"/>
      <c r="K1240" s="302"/>
      <c r="L1240" s="302"/>
      <c r="M1240" s="236"/>
    </row>
    <row r="1241" spans="1:13" x14ac:dyDescent="0.2">
      <c r="A1241" s="237"/>
      <c r="B1241" s="302"/>
      <c r="C1241" s="302"/>
      <c r="D1241" s="302"/>
      <c r="E1241" s="303"/>
      <c r="F1241" s="302"/>
      <c r="G1241" s="302"/>
      <c r="H1241" s="302"/>
      <c r="I1241" s="303"/>
      <c r="J1241" s="302"/>
      <c r="K1241" s="302"/>
      <c r="L1241" s="302"/>
      <c r="M1241" s="236"/>
    </row>
    <row r="1242" spans="1:13" x14ac:dyDescent="0.2">
      <c r="A1242" s="237"/>
      <c r="B1242" s="302"/>
      <c r="C1242" s="302"/>
      <c r="D1242" s="302"/>
      <c r="E1242" s="303"/>
      <c r="F1242" s="302"/>
      <c r="G1242" s="302"/>
      <c r="H1242" s="302"/>
      <c r="I1242" s="303"/>
      <c r="J1242" s="302"/>
      <c r="K1242" s="302"/>
      <c r="L1242" s="302"/>
      <c r="M1242" s="236"/>
    </row>
    <row r="1243" spans="1:13" x14ac:dyDescent="0.2">
      <c r="A1243" s="237"/>
      <c r="B1243" s="303"/>
      <c r="C1243" s="303"/>
      <c r="D1243" s="303"/>
      <c r="E1243" s="303"/>
      <c r="F1243" s="303"/>
      <c r="G1243" s="303"/>
      <c r="H1243" s="303"/>
      <c r="I1243" s="303"/>
      <c r="J1243" s="303"/>
      <c r="K1243" s="303"/>
      <c r="L1243" s="303"/>
      <c r="M1243" s="236"/>
    </row>
    <row r="1244" spans="1:13" x14ac:dyDescent="0.2">
      <c r="A1244" s="237"/>
      <c r="B1244" s="237"/>
      <c r="C1244" s="237"/>
      <c r="D1244" s="237"/>
      <c r="E1244" s="237"/>
      <c r="F1244" s="237"/>
      <c r="G1244" s="237"/>
      <c r="H1244" s="237"/>
      <c r="I1244" s="237"/>
      <c r="J1244" s="237"/>
      <c r="K1244" s="237"/>
      <c r="L1244" s="240"/>
      <c r="M1244" s="236"/>
    </row>
    <row r="1245" spans="1:13" x14ac:dyDescent="0.2">
      <c r="A1245" s="237"/>
      <c r="B1245" s="237"/>
      <c r="C1245" s="237"/>
      <c r="D1245" s="237"/>
      <c r="E1245" s="237"/>
      <c r="F1245" s="237"/>
      <c r="G1245" s="237"/>
      <c r="H1245" s="237"/>
      <c r="I1245" s="237"/>
      <c r="J1245" s="237"/>
      <c r="K1245" s="237"/>
      <c r="L1245" s="284"/>
      <c r="M1245" s="236"/>
    </row>
    <row r="1246" spans="1:13" x14ac:dyDescent="0.2">
      <c r="A1246" s="258"/>
      <c r="B1246" s="241"/>
      <c r="C1246" s="241"/>
      <c r="D1246" s="241"/>
      <c r="E1246" s="241"/>
      <c r="F1246" s="241"/>
      <c r="G1246" s="241"/>
      <c r="H1246" s="241"/>
      <c r="I1246" s="241"/>
      <c r="J1246" s="241"/>
      <c r="K1246" s="241"/>
      <c r="L1246" s="236"/>
      <c r="M1246" s="236"/>
    </row>
    <row r="1247" spans="1:13" x14ac:dyDescent="0.2">
      <c r="A1247" s="241"/>
      <c r="B1247" s="375"/>
      <c r="C1247" s="375"/>
      <c r="D1247" s="375"/>
      <c r="E1247" s="253"/>
      <c r="F1247" s="375"/>
      <c r="G1247" s="375"/>
      <c r="H1247" s="375"/>
      <c r="I1247" s="253"/>
      <c r="J1247" s="375"/>
      <c r="K1247" s="375"/>
      <c r="L1247" s="375"/>
      <c r="M1247" s="236"/>
    </row>
    <row r="1248" spans="1:13" x14ac:dyDescent="0.2">
      <c r="A1248" s="258"/>
      <c r="B1248" s="259"/>
      <c r="C1248" s="259"/>
      <c r="D1248" s="259"/>
      <c r="E1248" s="259"/>
      <c r="F1248" s="259"/>
      <c r="G1248" s="259"/>
      <c r="H1248" s="259"/>
      <c r="I1248" s="259"/>
      <c r="J1248" s="259"/>
      <c r="K1248" s="259"/>
      <c r="L1248" s="259"/>
      <c r="M1248" s="236"/>
    </row>
    <row r="1249" spans="1:13" x14ac:dyDescent="0.2">
      <c r="A1249" s="258"/>
      <c r="B1249" s="259"/>
      <c r="C1249" s="259"/>
      <c r="D1249" s="259"/>
      <c r="E1249" s="259"/>
      <c r="F1249" s="259"/>
      <c r="G1249" s="259"/>
      <c r="H1249" s="259"/>
      <c r="I1249" s="259"/>
      <c r="J1249" s="259"/>
      <c r="K1249" s="259"/>
      <c r="L1249" s="259"/>
      <c r="M1249" s="236"/>
    </row>
    <row r="1250" spans="1:13" x14ac:dyDescent="0.2">
      <c r="A1250" s="237"/>
      <c r="B1250" s="302"/>
      <c r="C1250" s="302"/>
      <c r="D1250" s="302"/>
      <c r="E1250" s="303"/>
      <c r="F1250" s="302"/>
      <c r="G1250" s="302"/>
      <c r="H1250" s="302"/>
      <c r="I1250" s="303"/>
      <c r="J1250" s="302"/>
      <c r="K1250" s="302"/>
      <c r="L1250" s="302"/>
      <c r="M1250" s="236"/>
    </row>
    <row r="1251" spans="1:13" x14ac:dyDescent="0.2">
      <c r="A1251" s="237"/>
      <c r="B1251" s="302"/>
      <c r="C1251" s="302"/>
      <c r="D1251" s="302"/>
      <c r="E1251" s="303"/>
      <c r="F1251" s="302"/>
      <c r="G1251" s="302"/>
      <c r="H1251" s="302"/>
      <c r="I1251" s="303"/>
      <c r="J1251" s="302"/>
      <c r="K1251" s="302"/>
      <c r="L1251" s="302"/>
      <c r="M1251" s="236"/>
    </row>
    <row r="1252" spans="1:13" x14ac:dyDescent="0.2">
      <c r="A1252" s="237"/>
      <c r="B1252" s="302"/>
      <c r="C1252" s="302"/>
      <c r="D1252" s="302"/>
      <c r="E1252" s="303"/>
      <c r="F1252" s="302"/>
      <c r="G1252" s="302"/>
      <c r="H1252" s="302"/>
      <c r="I1252" s="303"/>
      <c r="J1252" s="302"/>
      <c r="K1252" s="302"/>
      <c r="L1252" s="302"/>
      <c r="M1252" s="236"/>
    </row>
    <row r="1253" spans="1:13" x14ac:dyDescent="0.2">
      <c r="A1253" s="237"/>
      <c r="B1253" s="302"/>
      <c r="C1253" s="302"/>
      <c r="D1253" s="302"/>
      <c r="E1253" s="303"/>
      <c r="F1253" s="302"/>
      <c r="G1253" s="302"/>
      <c r="H1253" s="302"/>
      <c r="I1253" s="303"/>
      <c r="J1253" s="302"/>
      <c r="K1253" s="302"/>
      <c r="L1253" s="302"/>
      <c r="M1253" s="236"/>
    </row>
    <row r="1254" spans="1:13" x14ac:dyDescent="0.2">
      <c r="A1254" s="237"/>
      <c r="B1254" s="302"/>
      <c r="C1254" s="302"/>
      <c r="D1254" s="302"/>
      <c r="E1254" s="303"/>
      <c r="F1254" s="302"/>
      <c r="G1254" s="302"/>
      <c r="H1254" s="302"/>
      <c r="I1254" s="303"/>
      <c r="J1254" s="302"/>
      <c r="K1254" s="302"/>
      <c r="L1254" s="302"/>
      <c r="M1254" s="236"/>
    </row>
    <row r="1255" spans="1:13" x14ac:dyDescent="0.2">
      <c r="A1255" s="237"/>
      <c r="B1255" s="302"/>
      <c r="C1255" s="302"/>
      <c r="D1255" s="302"/>
      <c r="E1255" s="303"/>
      <c r="F1255" s="302"/>
      <c r="G1255" s="302"/>
      <c r="H1255" s="302"/>
      <c r="I1255" s="303"/>
      <c r="J1255" s="302"/>
      <c r="K1255" s="302"/>
      <c r="L1255" s="302"/>
      <c r="M1255" s="236"/>
    </row>
    <row r="1256" spans="1:13" x14ac:dyDescent="0.2">
      <c r="A1256" s="237"/>
      <c r="B1256" s="302"/>
      <c r="C1256" s="302"/>
      <c r="D1256" s="302"/>
      <c r="E1256" s="303"/>
      <c r="F1256" s="302"/>
      <c r="G1256" s="302"/>
      <c r="H1256" s="302"/>
      <c r="I1256" s="303"/>
      <c r="J1256" s="302"/>
      <c r="K1256" s="302"/>
      <c r="L1256" s="302"/>
      <c r="M1256" s="236"/>
    </row>
    <row r="1257" spans="1:13" x14ac:dyDescent="0.2">
      <c r="A1257" s="237"/>
      <c r="B1257" s="302"/>
      <c r="C1257" s="302"/>
      <c r="D1257" s="302"/>
      <c r="E1257" s="303"/>
      <c r="F1257" s="302"/>
      <c r="G1257" s="302"/>
      <c r="H1257" s="302"/>
      <c r="I1257" s="303"/>
      <c r="J1257" s="302"/>
      <c r="K1257" s="302"/>
      <c r="L1257" s="302"/>
      <c r="M1257" s="236"/>
    </row>
    <row r="1258" spans="1:13" x14ac:dyDescent="0.2">
      <c r="A1258" s="237"/>
      <c r="B1258" s="302"/>
      <c r="C1258" s="302"/>
      <c r="D1258" s="302"/>
      <c r="E1258" s="303"/>
      <c r="F1258" s="302"/>
      <c r="G1258" s="302"/>
      <c r="H1258" s="302"/>
      <c r="I1258" s="303"/>
      <c r="J1258" s="302"/>
      <c r="K1258" s="302"/>
      <c r="L1258" s="302"/>
      <c r="M1258" s="236"/>
    </row>
    <row r="1259" spans="1:13" x14ac:dyDescent="0.2">
      <c r="A1259" s="237"/>
      <c r="B1259" s="302"/>
      <c r="C1259" s="302"/>
      <c r="D1259" s="302"/>
      <c r="E1259" s="303"/>
      <c r="F1259" s="302"/>
      <c r="G1259" s="302"/>
      <c r="H1259" s="302"/>
      <c r="I1259" s="303"/>
      <c r="J1259" s="302"/>
      <c r="K1259" s="302"/>
      <c r="L1259" s="302"/>
      <c r="M1259" s="236"/>
    </row>
    <row r="1260" spans="1:13" x14ac:dyDescent="0.2">
      <c r="A1260" s="237"/>
      <c r="B1260" s="303"/>
      <c r="C1260" s="303"/>
      <c r="D1260" s="303"/>
      <c r="E1260" s="303"/>
      <c r="F1260" s="303"/>
      <c r="G1260" s="303"/>
      <c r="H1260" s="303"/>
      <c r="I1260" s="303"/>
      <c r="J1260" s="303"/>
      <c r="K1260" s="303"/>
      <c r="L1260" s="303"/>
      <c r="M1260" s="236"/>
    </row>
    <row r="1261" spans="1:13" x14ac:dyDescent="0.2">
      <c r="A1261" s="237"/>
      <c r="B1261" s="237"/>
      <c r="C1261" s="237"/>
      <c r="D1261" s="237"/>
      <c r="E1261" s="237"/>
      <c r="F1261" s="237"/>
      <c r="G1261" s="237"/>
      <c r="H1261" s="237"/>
      <c r="I1261" s="237"/>
      <c r="J1261" s="237"/>
      <c r="K1261" s="237"/>
      <c r="L1261" s="240"/>
      <c r="M1261" s="236"/>
    </row>
    <row r="1262" spans="1:13" x14ac:dyDescent="0.2">
      <c r="A1262" s="237"/>
      <c r="B1262" s="237"/>
      <c r="C1262" s="237"/>
      <c r="D1262" s="237"/>
      <c r="E1262" s="237"/>
      <c r="F1262" s="237"/>
      <c r="G1262" s="237"/>
      <c r="H1262" s="237"/>
      <c r="I1262" s="237"/>
      <c r="J1262" s="237"/>
      <c r="K1262" s="237"/>
      <c r="L1262" s="284"/>
      <c r="M1262" s="236"/>
    </row>
    <row r="1263" spans="1:13" x14ac:dyDescent="0.2">
      <c r="A1263" s="258"/>
      <c r="B1263" s="241"/>
      <c r="C1263" s="241"/>
      <c r="D1263" s="241"/>
      <c r="E1263" s="241"/>
      <c r="F1263" s="241"/>
      <c r="G1263" s="241"/>
      <c r="H1263" s="241"/>
      <c r="I1263" s="241"/>
      <c r="J1263" s="241"/>
      <c r="K1263" s="241"/>
      <c r="L1263" s="236"/>
      <c r="M1263" s="236"/>
    </row>
    <row r="1264" spans="1:13" x14ac:dyDescent="0.2">
      <c r="A1264" s="241"/>
      <c r="B1264" s="375"/>
      <c r="C1264" s="375"/>
      <c r="D1264" s="375"/>
      <c r="E1264" s="253"/>
      <c r="F1264" s="375"/>
      <c r="G1264" s="375"/>
      <c r="H1264" s="375"/>
      <c r="I1264" s="253"/>
      <c r="J1264" s="375"/>
      <c r="K1264" s="375"/>
      <c r="L1264" s="375"/>
      <c r="M1264" s="236"/>
    </row>
    <row r="1265" spans="1:13" x14ac:dyDescent="0.2">
      <c r="A1265" s="258"/>
      <c r="B1265" s="259"/>
      <c r="C1265" s="259"/>
      <c r="D1265" s="259"/>
      <c r="E1265" s="259"/>
      <c r="F1265" s="259"/>
      <c r="G1265" s="259"/>
      <c r="H1265" s="259"/>
      <c r="I1265" s="259"/>
      <c r="J1265" s="259"/>
      <c r="K1265" s="259"/>
      <c r="L1265" s="259"/>
      <c r="M1265" s="236"/>
    </row>
    <row r="1266" spans="1:13" x14ac:dyDescent="0.2">
      <c r="A1266" s="258"/>
      <c r="B1266" s="259"/>
      <c r="C1266" s="259"/>
      <c r="D1266" s="259"/>
      <c r="E1266" s="259"/>
      <c r="F1266" s="259"/>
      <c r="G1266" s="259"/>
      <c r="H1266" s="259"/>
      <c r="I1266" s="259"/>
      <c r="J1266" s="259"/>
      <c r="K1266" s="259"/>
      <c r="L1266" s="259"/>
      <c r="M1266" s="236"/>
    </row>
    <row r="1267" spans="1:13" x14ac:dyDescent="0.2">
      <c r="A1267" s="237"/>
      <c r="B1267" s="302"/>
      <c r="C1267" s="302"/>
      <c r="D1267" s="302"/>
      <c r="E1267" s="303"/>
      <c r="F1267" s="302"/>
      <c r="G1267" s="302"/>
      <c r="H1267" s="302"/>
      <c r="I1267" s="303"/>
      <c r="J1267" s="302"/>
      <c r="K1267" s="302"/>
      <c r="L1267" s="302"/>
      <c r="M1267" s="236"/>
    </row>
    <row r="1268" spans="1:13" x14ac:dyDescent="0.2">
      <c r="A1268" s="237"/>
      <c r="B1268" s="302"/>
      <c r="C1268" s="302"/>
      <c r="D1268" s="302"/>
      <c r="E1268" s="303"/>
      <c r="F1268" s="302"/>
      <c r="G1268" s="302"/>
      <c r="H1268" s="302"/>
      <c r="I1268" s="303"/>
      <c r="J1268" s="302"/>
      <c r="K1268" s="302"/>
      <c r="L1268" s="302"/>
      <c r="M1268" s="236"/>
    </row>
    <row r="1269" spans="1:13" x14ac:dyDescent="0.2">
      <c r="A1269" s="237"/>
      <c r="B1269" s="302"/>
      <c r="C1269" s="302"/>
      <c r="D1269" s="302"/>
      <c r="E1269" s="303"/>
      <c r="F1269" s="302"/>
      <c r="G1269" s="302"/>
      <c r="H1269" s="302"/>
      <c r="I1269" s="303"/>
      <c r="J1269" s="302"/>
      <c r="K1269" s="302"/>
      <c r="L1269" s="302"/>
      <c r="M1269" s="236"/>
    </row>
    <row r="1270" spans="1:13" x14ac:dyDescent="0.2">
      <c r="A1270" s="237"/>
      <c r="B1270" s="302"/>
      <c r="C1270" s="302"/>
      <c r="D1270" s="302"/>
      <c r="E1270" s="303"/>
      <c r="F1270" s="302"/>
      <c r="G1270" s="302"/>
      <c r="H1270" s="302"/>
      <c r="I1270" s="303"/>
      <c r="J1270" s="302"/>
      <c r="K1270" s="302"/>
      <c r="L1270" s="302"/>
      <c r="M1270" s="236"/>
    </row>
    <row r="1271" spans="1:13" x14ac:dyDescent="0.2">
      <c r="A1271" s="237"/>
      <c r="B1271" s="302"/>
      <c r="C1271" s="302"/>
      <c r="D1271" s="302"/>
      <c r="E1271" s="303"/>
      <c r="F1271" s="302"/>
      <c r="G1271" s="302"/>
      <c r="H1271" s="302"/>
      <c r="I1271" s="303"/>
      <c r="J1271" s="302"/>
      <c r="K1271" s="302"/>
      <c r="L1271" s="302"/>
      <c r="M1271" s="236"/>
    </row>
    <row r="1272" spans="1:13" x14ac:dyDescent="0.2">
      <c r="A1272" s="237"/>
      <c r="B1272" s="302"/>
      <c r="C1272" s="302"/>
      <c r="D1272" s="302"/>
      <c r="E1272" s="303"/>
      <c r="F1272" s="302"/>
      <c r="G1272" s="302"/>
      <c r="H1272" s="302"/>
      <c r="I1272" s="303"/>
      <c r="J1272" s="302"/>
      <c r="K1272" s="302"/>
      <c r="L1272" s="302"/>
      <c r="M1272" s="236"/>
    </row>
    <row r="1273" spans="1:13" x14ac:dyDescent="0.2">
      <c r="A1273" s="237"/>
      <c r="B1273" s="302"/>
      <c r="C1273" s="302"/>
      <c r="D1273" s="302"/>
      <c r="E1273" s="303"/>
      <c r="F1273" s="302"/>
      <c r="G1273" s="302"/>
      <c r="H1273" s="302"/>
      <c r="I1273" s="303"/>
      <c r="J1273" s="302"/>
      <c r="K1273" s="302"/>
      <c r="L1273" s="302"/>
      <c r="M1273" s="236"/>
    </row>
    <row r="1274" spans="1:13" x14ac:dyDescent="0.2">
      <c r="A1274" s="237"/>
      <c r="B1274" s="302"/>
      <c r="C1274" s="302"/>
      <c r="D1274" s="302"/>
      <c r="E1274" s="303"/>
      <c r="F1274" s="302"/>
      <c r="G1274" s="302"/>
      <c r="H1274" s="302"/>
      <c r="I1274" s="303"/>
      <c r="J1274" s="302"/>
      <c r="K1274" s="302"/>
      <c r="L1274" s="302"/>
      <c r="M1274" s="236"/>
    </row>
    <row r="1275" spans="1:13" x14ac:dyDescent="0.2">
      <c r="A1275" s="237"/>
      <c r="B1275" s="302"/>
      <c r="C1275" s="302"/>
      <c r="D1275" s="302"/>
      <c r="E1275" s="303"/>
      <c r="F1275" s="302"/>
      <c r="G1275" s="302"/>
      <c r="H1275" s="302"/>
      <c r="I1275" s="303"/>
      <c r="J1275" s="302"/>
      <c r="K1275" s="302"/>
      <c r="L1275" s="302"/>
      <c r="M1275" s="236"/>
    </row>
    <row r="1276" spans="1:13" x14ac:dyDescent="0.2">
      <c r="A1276" s="237"/>
      <c r="B1276" s="302"/>
      <c r="C1276" s="302"/>
      <c r="D1276" s="302"/>
      <c r="E1276" s="303"/>
      <c r="F1276" s="302"/>
      <c r="G1276" s="302"/>
      <c r="H1276" s="302"/>
      <c r="I1276" s="303"/>
      <c r="J1276" s="302"/>
      <c r="K1276" s="302"/>
      <c r="L1276" s="302"/>
      <c r="M1276" s="236"/>
    </row>
    <row r="1277" spans="1:13" x14ac:dyDescent="0.2">
      <c r="A1277" s="237"/>
      <c r="B1277" s="303"/>
      <c r="C1277" s="303"/>
      <c r="D1277" s="303"/>
      <c r="E1277" s="303"/>
      <c r="F1277" s="303"/>
      <c r="G1277" s="303"/>
      <c r="H1277" s="303"/>
      <c r="I1277" s="303"/>
      <c r="J1277" s="303"/>
      <c r="K1277" s="303"/>
      <c r="L1277" s="303"/>
      <c r="M1277" s="236"/>
    </row>
    <row r="1278" spans="1:13" x14ac:dyDescent="0.2">
      <c r="A1278" s="237"/>
      <c r="B1278" s="237"/>
      <c r="C1278" s="237"/>
      <c r="D1278" s="237"/>
      <c r="E1278" s="237"/>
      <c r="F1278" s="237"/>
      <c r="G1278" s="237"/>
      <c r="H1278" s="237"/>
      <c r="I1278" s="237"/>
      <c r="J1278" s="237"/>
      <c r="K1278" s="237"/>
      <c r="L1278" s="240"/>
      <c r="M1278" s="236"/>
    </row>
    <row r="1279" spans="1:13" x14ac:dyDescent="0.2">
      <c r="A1279" s="237"/>
      <c r="B1279" s="237"/>
      <c r="C1279" s="237"/>
      <c r="D1279" s="237"/>
      <c r="E1279" s="237"/>
      <c r="F1279" s="237"/>
      <c r="G1279" s="237"/>
      <c r="H1279" s="237"/>
      <c r="I1279" s="237"/>
      <c r="J1279" s="237"/>
      <c r="K1279" s="237"/>
      <c r="L1279" s="284"/>
      <c r="M1279" s="236"/>
    </row>
    <row r="1280" spans="1:13" x14ac:dyDescent="0.2">
      <c r="A1280" s="258"/>
      <c r="B1280" s="241"/>
      <c r="C1280" s="241"/>
      <c r="D1280" s="241"/>
      <c r="E1280" s="241"/>
      <c r="F1280" s="241"/>
      <c r="G1280" s="241"/>
      <c r="H1280" s="241"/>
      <c r="I1280" s="241"/>
      <c r="J1280" s="241"/>
      <c r="K1280" s="241"/>
      <c r="L1280" s="236"/>
      <c r="M1280" s="236"/>
    </row>
    <row r="1281" spans="1:13" x14ac:dyDescent="0.2">
      <c r="A1281" s="241"/>
      <c r="B1281" s="375"/>
      <c r="C1281" s="375"/>
      <c r="D1281" s="375"/>
      <c r="E1281" s="253"/>
      <c r="F1281" s="375"/>
      <c r="G1281" s="375"/>
      <c r="H1281" s="375"/>
      <c r="I1281" s="253"/>
      <c r="J1281" s="375"/>
      <c r="K1281" s="375"/>
      <c r="L1281" s="375"/>
      <c r="M1281" s="236"/>
    </row>
    <row r="1282" spans="1:13" x14ac:dyDescent="0.2">
      <c r="A1282" s="258"/>
      <c r="B1282" s="259"/>
      <c r="C1282" s="259"/>
      <c r="D1282" s="259"/>
      <c r="E1282" s="259"/>
      <c r="F1282" s="259"/>
      <c r="G1282" s="259"/>
      <c r="H1282" s="259"/>
      <c r="I1282" s="259"/>
      <c r="J1282" s="259"/>
      <c r="K1282" s="259"/>
      <c r="L1282" s="259"/>
      <c r="M1282" s="236"/>
    </row>
    <row r="1283" spans="1:13" x14ac:dyDescent="0.2">
      <c r="A1283" s="258"/>
      <c r="B1283" s="259"/>
      <c r="C1283" s="259"/>
      <c r="D1283" s="259"/>
      <c r="E1283" s="259"/>
      <c r="F1283" s="259"/>
      <c r="G1283" s="259"/>
      <c r="H1283" s="259"/>
      <c r="I1283" s="259"/>
      <c r="J1283" s="259"/>
      <c r="K1283" s="259"/>
      <c r="L1283" s="259"/>
      <c r="M1283" s="236"/>
    </row>
    <row r="1284" spans="1:13" x14ac:dyDescent="0.2">
      <c r="A1284" s="237"/>
      <c r="B1284" s="302"/>
      <c r="C1284" s="302"/>
      <c r="D1284" s="302"/>
      <c r="E1284" s="303"/>
      <c r="F1284" s="302"/>
      <c r="G1284" s="302"/>
      <c r="H1284" s="302"/>
      <c r="I1284" s="303"/>
      <c r="J1284" s="302"/>
      <c r="K1284" s="302"/>
      <c r="L1284" s="302"/>
      <c r="M1284" s="236"/>
    </row>
    <row r="1285" spans="1:13" x14ac:dyDescent="0.2">
      <c r="A1285" s="237"/>
      <c r="B1285" s="302"/>
      <c r="C1285" s="302"/>
      <c r="D1285" s="302"/>
      <c r="E1285" s="303"/>
      <c r="F1285" s="302"/>
      <c r="G1285" s="302"/>
      <c r="H1285" s="302"/>
      <c r="I1285" s="303"/>
      <c r="J1285" s="302"/>
      <c r="K1285" s="302"/>
      <c r="L1285" s="302"/>
      <c r="M1285" s="236"/>
    </row>
    <row r="1286" spans="1:13" x14ac:dyDescent="0.2">
      <c r="A1286" s="237"/>
      <c r="B1286" s="302"/>
      <c r="C1286" s="302"/>
      <c r="D1286" s="302"/>
      <c r="E1286" s="303"/>
      <c r="F1286" s="302"/>
      <c r="G1286" s="302"/>
      <c r="H1286" s="302"/>
      <c r="I1286" s="303"/>
      <c r="J1286" s="302"/>
      <c r="K1286" s="302"/>
      <c r="L1286" s="302"/>
      <c r="M1286" s="236"/>
    </row>
    <row r="1287" spans="1:13" x14ac:dyDescent="0.2">
      <c r="A1287" s="237"/>
      <c r="B1287" s="302"/>
      <c r="C1287" s="302"/>
      <c r="D1287" s="302"/>
      <c r="E1287" s="303"/>
      <c r="F1287" s="302"/>
      <c r="G1287" s="302"/>
      <c r="H1287" s="302"/>
      <c r="I1287" s="303"/>
      <c r="J1287" s="302"/>
      <c r="K1287" s="302"/>
      <c r="L1287" s="302"/>
      <c r="M1287" s="236"/>
    </row>
    <row r="1288" spans="1:13" x14ac:dyDescent="0.2">
      <c r="A1288" s="237"/>
      <c r="B1288" s="302"/>
      <c r="C1288" s="302"/>
      <c r="D1288" s="302"/>
      <c r="E1288" s="303"/>
      <c r="F1288" s="302"/>
      <c r="G1288" s="302"/>
      <c r="H1288" s="302"/>
      <c r="I1288" s="303"/>
      <c r="J1288" s="302"/>
      <c r="K1288" s="302"/>
      <c r="L1288" s="302"/>
      <c r="M1288" s="236"/>
    </row>
    <row r="1289" spans="1:13" x14ac:dyDescent="0.2">
      <c r="A1289" s="237"/>
      <c r="B1289" s="302"/>
      <c r="C1289" s="302"/>
      <c r="D1289" s="302"/>
      <c r="E1289" s="303"/>
      <c r="F1289" s="302"/>
      <c r="G1289" s="302"/>
      <c r="H1289" s="302"/>
      <c r="I1289" s="303"/>
      <c r="J1289" s="302"/>
      <c r="K1289" s="302"/>
      <c r="L1289" s="302"/>
      <c r="M1289" s="236"/>
    </row>
    <row r="1290" spans="1:13" x14ac:dyDescent="0.2">
      <c r="A1290" s="237"/>
      <c r="B1290" s="302"/>
      <c r="C1290" s="302"/>
      <c r="D1290" s="302"/>
      <c r="E1290" s="303"/>
      <c r="F1290" s="302"/>
      <c r="G1290" s="302"/>
      <c r="H1290" s="302"/>
      <c r="I1290" s="303"/>
      <c r="J1290" s="302"/>
      <c r="K1290" s="302"/>
      <c r="L1290" s="302"/>
      <c r="M1290" s="236"/>
    </row>
    <row r="1291" spans="1:13" x14ac:dyDescent="0.2">
      <c r="A1291" s="237"/>
      <c r="B1291" s="302"/>
      <c r="C1291" s="302"/>
      <c r="D1291" s="302"/>
      <c r="E1291" s="303"/>
      <c r="F1291" s="302"/>
      <c r="G1291" s="302"/>
      <c r="H1291" s="302"/>
      <c r="I1291" s="303"/>
      <c r="J1291" s="302"/>
      <c r="K1291" s="302"/>
      <c r="L1291" s="302"/>
      <c r="M1291" s="236"/>
    </row>
    <row r="1292" spans="1:13" x14ac:dyDescent="0.2">
      <c r="A1292" s="237"/>
      <c r="B1292" s="302"/>
      <c r="C1292" s="302"/>
      <c r="D1292" s="302"/>
      <c r="E1292" s="303"/>
      <c r="F1292" s="302"/>
      <c r="G1292" s="302"/>
      <c r="H1292" s="302"/>
      <c r="I1292" s="303"/>
      <c r="J1292" s="302"/>
      <c r="K1292" s="302"/>
      <c r="L1292" s="302"/>
      <c r="M1292" s="236"/>
    </row>
    <row r="1293" spans="1:13" x14ac:dyDescent="0.2">
      <c r="A1293" s="237"/>
      <c r="B1293" s="302"/>
      <c r="C1293" s="302"/>
      <c r="D1293" s="302"/>
      <c r="E1293" s="303"/>
      <c r="F1293" s="302"/>
      <c r="G1293" s="302"/>
      <c r="H1293" s="302"/>
      <c r="I1293" s="303"/>
      <c r="J1293" s="302"/>
      <c r="K1293" s="302"/>
      <c r="L1293" s="302"/>
      <c r="M1293" s="236"/>
    </row>
    <row r="1294" spans="1:13" x14ac:dyDescent="0.2">
      <c r="A1294" s="237"/>
      <c r="B1294" s="303"/>
      <c r="C1294" s="303"/>
      <c r="D1294" s="303"/>
      <c r="E1294" s="303"/>
      <c r="F1294" s="303"/>
      <c r="G1294" s="303"/>
      <c r="H1294" s="303"/>
      <c r="I1294" s="303"/>
      <c r="J1294" s="303"/>
      <c r="K1294" s="303"/>
      <c r="L1294" s="303"/>
      <c r="M1294" s="236"/>
    </row>
    <row r="1295" spans="1:13" x14ac:dyDescent="0.2">
      <c r="A1295" s="237"/>
      <c r="B1295" s="237"/>
      <c r="C1295" s="237"/>
      <c r="D1295" s="237"/>
      <c r="E1295" s="237"/>
      <c r="F1295" s="237"/>
      <c r="G1295" s="237"/>
      <c r="H1295" s="237"/>
      <c r="I1295" s="237"/>
      <c r="J1295" s="237"/>
      <c r="K1295" s="237"/>
      <c r="L1295" s="240"/>
      <c r="M1295" s="236"/>
    </row>
    <row r="1296" spans="1:13" x14ac:dyDescent="0.2">
      <c r="A1296" s="237"/>
      <c r="B1296" s="237"/>
      <c r="C1296" s="237"/>
      <c r="D1296" s="237"/>
      <c r="E1296" s="237"/>
      <c r="F1296" s="237"/>
      <c r="G1296" s="237"/>
      <c r="H1296" s="237"/>
      <c r="I1296" s="237"/>
      <c r="J1296" s="237"/>
      <c r="K1296" s="237"/>
      <c r="L1296" s="284"/>
      <c r="M1296" s="236"/>
    </row>
    <row r="1297" spans="1:13" x14ac:dyDescent="0.2">
      <c r="A1297" s="258"/>
      <c r="B1297" s="241"/>
      <c r="C1297" s="241"/>
      <c r="D1297" s="241"/>
      <c r="E1297" s="241"/>
      <c r="F1297" s="241"/>
      <c r="G1297" s="241"/>
      <c r="H1297" s="241"/>
      <c r="I1297" s="241"/>
      <c r="J1297" s="241"/>
      <c r="K1297" s="241"/>
      <c r="L1297" s="236"/>
      <c r="M1297" s="236"/>
    </row>
    <row r="1298" spans="1:13" x14ac:dyDescent="0.2">
      <c r="A1298" s="241"/>
      <c r="B1298" s="375"/>
      <c r="C1298" s="375"/>
      <c r="D1298" s="375"/>
      <c r="E1298" s="253"/>
      <c r="F1298" s="375"/>
      <c r="G1298" s="375"/>
      <c r="H1298" s="375"/>
      <c r="I1298" s="253"/>
      <c r="J1298" s="375"/>
      <c r="K1298" s="375"/>
      <c r="L1298" s="375"/>
      <c r="M1298" s="236"/>
    </row>
    <row r="1299" spans="1:13" x14ac:dyDescent="0.2">
      <c r="A1299" s="258"/>
      <c r="B1299" s="259"/>
      <c r="C1299" s="259"/>
      <c r="D1299" s="259"/>
      <c r="E1299" s="259"/>
      <c r="F1299" s="259"/>
      <c r="G1299" s="259"/>
      <c r="H1299" s="259"/>
      <c r="I1299" s="259"/>
      <c r="J1299" s="259"/>
      <c r="K1299" s="259"/>
      <c r="L1299" s="259"/>
      <c r="M1299" s="236"/>
    </row>
    <row r="1300" spans="1:13" x14ac:dyDescent="0.2">
      <c r="A1300" s="258"/>
      <c r="B1300" s="259"/>
      <c r="C1300" s="259"/>
      <c r="D1300" s="259"/>
      <c r="E1300" s="259"/>
      <c r="F1300" s="259"/>
      <c r="G1300" s="259"/>
      <c r="H1300" s="259"/>
      <c r="I1300" s="259"/>
      <c r="J1300" s="259"/>
      <c r="K1300" s="259"/>
      <c r="L1300" s="259"/>
      <c r="M1300" s="236"/>
    </row>
    <row r="1301" spans="1:13" x14ac:dyDescent="0.2">
      <c r="A1301" s="237"/>
      <c r="B1301" s="302"/>
      <c r="C1301" s="302"/>
      <c r="D1301" s="302"/>
      <c r="E1301" s="303"/>
      <c r="F1301" s="302"/>
      <c r="G1301" s="302"/>
      <c r="H1301" s="302"/>
      <c r="I1301" s="303"/>
      <c r="J1301" s="302"/>
      <c r="K1301" s="302"/>
      <c r="L1301" s="302"/>
      <c r="M1301" s="236"/>
    </row>
    <row r="1302" spans="1:13" x14ac:dyDescent="0.2">
      <c r="A1302" s="237"/>
      <c r="B1302" s="302"/>
      <c r="C1302" s="302"/>
      <c r="D1302" s="302"/>
      <c r="E1302" s="303"/>
      <c r="F1302" s="302"/>
      <c r="G1302" s="302"/>
      <c r="H1302" s="302"/>
      <c r="I1302" s="303"/>
      <c r="J1302" s="302"/>
      <c r="K1302" s="302"/>
      <c r="L1302" s="302"/>
      <c r="M1302" s="236"/>
    </row>
    <row r="1303" spans="1:13" x14ac:dyDescent="0.2">
      <c r="A1303" s="237"/>
      <c r="B1303" s="302"/>
      <c r="C1303" s="302"/>
      <c r="D1303" s="302"/>
      <c r="E1303" s="303"/>
      <c r="F1303" s="302"/>
      <c r="G1303" s="302"/>
      <c r="H1303" s="302"/>
      <c r="I1303" s="303"/>
      <c r="J1303" s="302"/>
      <c r="K1303" s="302"/>
      <c r="L1303" s="302"/>
      <c r="M1303" s="236"/>
    </row>
    <row r="1304" spans="1:13" x14ac:dyDescent="0.2">
      <c r="A1304" s="237"/>
      <c r="B1304" s="302"/>
      <c r="C1304" s="302"/>
      <c r="D1304" s="302"/>
      <c r="E1304" s="303"/>
      <c r="F1304" s="302"/>
      <c r="G1304" s="302"/>
      <c r="H1304" s="302"/>
      <c r="I1304" s="303"/>
      <c r="J1304" s="302"/>
      <c r="K1304" s="302"/>
      <c r="L1304" s="302"/>
      <c r="M1304" s="236"/>
    </row>
    <row r="1305" spans="1:13" x14ac:dyDescent="0.2">
      <c r="A1305" s="237"/>
      <c r="B1305" s="302"/>
      <c r="C1305" s="302"/>
      <c r="D1305" s="302"/>
      <c r="E1305" s="303"/>
      <c r="F1305" s="302"/>
      <c r="G1305" s="302"/>
      <c r="H1305" s="302"/>
      <c r="I1305" s="303"/>
      <c r="J1305" s="302"/>
      <c r="K1305" s="302"/>
      <c r="L1305" s="302"/>
      <c r="M1305" s="236"/>
    </row>
    <row r="1306" spans="1:13" x14ac:dyDescent="0.2">
      <c r="A1306" s="237"/>
      <c r="B1306" s="302"/>
      <c r="C1306" s="302"/>
      <c r="D1306" s="302"/>
      <c r="E1306" s="303"/>
      <c r="F1306" s="302"/>
      <c r="G1306" s="302"/>
      <c r="H1306" s="302"/>
      <c r="I1306" s="303"/>
      <c r="J1306" s="302"/>
      <c r="K1306" s="302"/>
      <c r="L1306" s="302"/>
      <c r="M1306" s="236"/>
    </row>
    <row r="1307" spans="1:13" x14ac:dyDescent="0.2">
      <c r="A1307" s="237"/>
      <c r="B1307" s="302"/>
      <c r="C1307" s="302"/>
      <c r="D1307" s="302"/>
      <c r="E1307" s="303"/>
      <c r="F1307" s="302"/>
      <c r="G1307" s="302"/>
      <c r="H1307" s="302"/>
      <c r="I1307" s="303"/>
      <c r="J1307" s="302"/>
      <c r="K1307" s="302"/>
      <c r="L1307" s="302"/>
      <c r="M1307" s="236"/>
    </row>
    <row r="1308" spans="1:13" x14ac:dyDescent="0.2">
      <c r="A1308" s="237"/>
      <c r="B1308" s="302"/>
      <c r="C1308" s="302"/>
      <c r="D1308" s="302"/>
      <c r="E1308" s="303"/>
      <c r="F1308" s="302"/>
      <c r="G1308" s="302"/>
      <c r="H1308" s="302"/>
      <c r="I1308" s="303"/>
      <c r="J1308" s="302"/>
      <c r="K1308" s="302"/>
      <c r="L1308" s="302"/>
      <c r="M1308" s="236"/>
    </row>
    <row r="1309" spans="1:13" x14ac:dyDescent="0.2">
      <c r="A1309" s="237"/>
      <c r="B1309" s="302"/>
      <c r="C1309" s="302"/>
      <c r="D1309" s="302"/>
      <c r="E1309" s="303"/>
      <c r="F1309" s="302"/>
      <c r="G1309" s="302"/>
      <c r="H1309" s="302"/>
      <c r="I1309" s="303"/>
      <c r="J1309" s="302"/>
      <c r="K1309" s="302"/>
      <c r="L1309" s="302"/>
      <c r="M1309" s="236"/>
    </row>
    <row r="1310" spans="1:13" x14ac:dyDescent="0.2">
      <c r="A1310" s="237"/>
      <c r="B1310" s="302"/>
      <c r="C1310" s="302"/>
      <c r="D1310" s="302"/>
      <c r="E1310" s="303"/>
      <c r="F1310" s="302"/>
      <c r="G1310" s="302"/>
      <c r="H1310" s="302"/>
      <c r="I1310" s="303"/>
      <c r="J1310" s="302"/>
      <c r="K1310" s="302"/>
      <c r="L1310" s="302"/>
      <c r="M1310" s="236"/>
    </row>
    <row r="1311" spans="1:13" x14ac:dyDescent="0.2">
      <c r="A1311" s="237"/>
      <c r="B1311" s="303"/>
      <c r="C1311" s="303"/>
      <c r="D1311" s="303"/>
      <c r="E1311" s="303"/>
      <c r="F1311" s="303"/>
      <c r="G1311" s="303"/>
      <c r="H1311" s="303"/>
      <c r="I1311" s="303"/>
      <c r="J1311" s="303"/>
      <c r="K1311" s="303"/>
      <c r="L1311" s="303"/>
      <c r="M1311" s="236"/>
    </row>
    <row r="1312" spans="1:13" x14ac:dyDescent="0.2">
      <c r="A1312" s="237"/>
      <c r="B1312" s="237"/>
      <c r="C1312" s="237"/>
      <c r="D1312" s="237"/>
      <c r="E1312" s="237"/>
      <c r="F1312" s="237"/>
      <c r="G1312" s="237"/>
      <c r="H1312" s="237"/>
      <c r="I1312" s="237"/>
      <c r="J1312" s="237"/>
      <c r="K1312" s="237"/>
      <c r="L1312" s="240"/>
      <c r="M1312" s="236"/>
    </row>
  </sheetData>
  <mergeCells count="231">
    <mergeCell ref="B1298:D1298"/>
    <mergeCell ref="F1298:H1298"/>
    <mergeCell ref="J1298:L1298"/>
    <mergeCell ref="B1264:D1264"/>
    <mergeCell ref="F1264:H1264"/>
    <mergeCell ref="J1264:L1264"/>
    <mergeCell ref="B1281:D1281"/>
    <mergeCell ref="F1281:H1281"/>
    <mergeCell ref="J1281:L1281"/>
    <mergeCell ref="B1230:D1230"/>
    <mergeCell ref="F1230:H1230"/>
    <mergeCell ref="J1230:L1230"/>
    <mergeCell ref="B1247:D1247"/>
    <mergeCell ref="F1247:H1247"/>
    <mergeCell ref="J1247:L1247"/>
    <mergeCell ref="B1196:D1196"/>
    <mergeCell ref="F1196:H1196"/>
    <mergeCell ref="J1196:L1196"/>
    <mergeCell ref="B1213:D1213"/>
    <mergeCell ref="F1213:H1213"/>
    <mergeCell ref="J1213:L1213"/>
    <mergeCell ref="B1162:D1162"/>
    <mergeCell ref="F1162:H1162"/>
    <mergeCell ref="J1162:L1162"/>
    <mergeCell ref="B1179:D1179"/>
    <mergeCell ref="F1179:H1179"/>
    <mergeCell ref="J1179:L1179"/>
    <mergeCell ref="B1128:D1128"/>
    <mergeCell ref="F1128:H1128"/>
    <mergeCell ref="J1128:L1128"/>
    <mergeCell ref="B1145:D1145"/>
    <mergeCell ref="F1145:H1145"/>
    <mergeCell ref="J1145:L1145"/>
    <mergeCell ref="B1094:D1094"/>
    <mergeCell ref="F1094:H1094"/>
    <mergeCell ref="J1094:L1094"/>
    <mergeCell ref="B1111:D1111"/>
    <mergeCell ref="F1111:H1111"/>
    <mergeCell ref="J1111:L1111"/>
    <mergeCell ref="B1060:D1060"/>
    <mergeCell ref="F1060:H1060"/>
    <mergeCell ref="J1060:L1060"/>
    <mergeCell ref="B1077:D1077"/>
    <mergeCell ref="F1077:H1077"/>
    <mergeCell ref="J1077:L1077"/>
    <mergeCell ref="B1026:D1026"/>
    <mergeCell ref="F1026:H1026"/>
    <mergeCell ref="J1026:L1026"/>
    <mergeCell ref="B1043:D1043"/>
    <mergeCell ref="F1043:H1043"/>
    <mergeCell ref="J1043:L1043"/>
    <mergeCell ref="B992:D992"/>
    <mergeCell ref="F992:H992"/>
    <mergeCell ref="J992:L992"/>
    <mergeCell ref="B1009:D1009"/>
    <mergeCell ref="F1009:H1009"/>
    <mergeCell ref="J1009:L1009"/>
    <mergeCell ref="B958:D958"/>
    <mergeCell ref="F958:H958"/>
    <mergeCell ref="J958:L958"/>
    <mergeCell ref="B975:D975"/>
    <mergeCell ref="F975:H975"/>
    <mergeCell ref="J975:L975"/>
    <mergeCell ref="B924:D924"/>
    <mergeCell ref="F924:H924"/>
    <mergeCell ref="J924:L924"/>
    <mergeCell ref="B941:D941"/>
    <mergeCell ref="F941:H941"/>
    <mergeCell ref="J941:L941"/>
    <mergeCell ref="B890:D890"/>
    <mergeCell ref="F890:H890"/>
    <mergeCell ref="J890:L890"/>
    <mergeCell ref="B907:D907"/>
    <mergeCell ref="F907:H907"/>
    <mergeCell ref="J907:L907"/>
    <mergeCell ref="B856:D856"/>
    <mergeCell ref="F856:H856"/>
    <mergeCell ref="J856:L856"/>
    <mergeCell ref="B873:D873"/>
    <mergeCell ref="F873:H873"/>
    <mergeCell ref="J873:L873"/>
    <mergeCell ref="B822:D822"/>
    <mergeCell ref="F822:H822"/>
    <mergeCell ref="J822:L822"/>
    <mergeCell ref="B839:D839"/>
    <mergeCell ref="F839:H839"/>
    <mergeCell ref="J839:L839"/>
    <mergeCell ref="B788:D788"/>
    <mergeCell ref="F788:H788"/>
    <mergeCell ref="J788:L788"/>
    <mergeCell ref="B805:D805"/>
    <mergeCell ref="F805:H805"/>
    <mergeCell ref="J805:L805"/>
    <mergeCell ref="B754:D754"/>
    <mergeCell ref="F754:H754"/>
    <mergeCell ref="J754:L754"/>
    <mergeCell ref="B771:D771"/>
    <mergeCell ref="F771:H771"/>
    <mergeCell ref="J771:L771"/>
    <mergeCell ref="B720:D720"/>
    <mergeCell ref="F720:H720"/>
    <mergeCell ref="J720:L720"/>
    <mergeCell ref="B737:D737"/>
    <mergeCell ref="F737:H737"/>
    <mergeCell ref="J737:L737"/>
    <mergeCell ref="B686:D686"/>
    <mergeCell ref="F686:H686"/>
    <mergeCell ref="J686:L686"/>
    <mergeCell ref="B703:D703"/>
    <mergeCell ref="F703:H703"/>
    <mergeCell ref="J703:L703"/>
    <mergeCell ref="B652:D652"/>
    <mergeCell ref="F652:H652"/>
    <mergeCell ref="J652:L652"/>
    <mergeCell ref="B669:D669"/>
    <mergeCell ref="F669:H669"/>
    <mergeCell ref="J669:L669"/>
    <mergeCell ref="B618:D618"/>
    <mergeCell ref="F618:H618"/>
    <mergeCell ref="J618:L618"/>
    <mergeCell ref="B635:D635"/>
    <mergeCell ref="F635:H635"/>
    <mergeCell ref="J635:L635"/>
    <mergeCell ref="B584:D584"/>
    <mergeCell ref="F584:H584"/>
    <mergeCell ref="J584:L584"/>
    <mergeCell ref="B601:D601"/>
    <mergeCell ref="F601:H601"/>
    <mergeCell ref="J601:L601"/>
    <mergeCell ref="B550:D550"/>
    <mergeCell ref="F550:H550"/>
    <mergeCell ref="J550:L550"/>
    <mergeCell ref="B567:D567"/>
    <mergeCell ref="F567:H567"/>
    <mergeCell ref="J567:L567"/>
    <mergeCell ref="B516:D516"/>
    <mergeCell ref="F516:H516"/>
    <mergeCell ref="J516:L516"/>
    <mergeCell ref="B533:D533"/>
    <mergeCell ref="F533:H533"/>
    <mergeCell ref="J533:L533"/>
    <mergeCell ref="B482:D482"/>
    <mergeCell ref="F482:H482"/>
    <mergeCell ref="J482:L482"/>
    <mergeCell ref="B499:D499"/>
    <mergeCell ref="F499:H499"/>
    <mergeCell ref="J499:L499"/>
    <mergeCell ref="B448:D448"/>
    <mergeCell ref="F448:H448"/>
    <mergeCell ref="J448:L448"/>
    <mergeCell ref="B465:D465"/>
    <mergeCell ref="F465:H465"/>
    <mergeCell ref="J465:L465"/>
    <mergeCell ref="B414:D414"/>
    <mergeCell ref="F414:H414"/>
    <mergeCell ref="J414:L414"/>
    <mergeCell ref="B431:D431"/>
    <mergeCell ref="F431:H431"/>
    <mergeCell ref="J431:L431"/>
    <mergeCell ref="B380:D380"/>
    <mergeCell ref="F380:H380"/>
    <mergeCell ref="J380:L380"/>
    <mergeCell ref="B397:D397"/>
    <mergeCell ref="F397:H397"/>
    <mergeCell ref="J397:L397"/>
    <mergeCell ref="B346:D346"/>
    <mergeCell ref="F346:H346"/>
    <mergeCell ref="J346:L346"/>
    <mergeCell ref="B363:D363"/>
    <mergeCell ref="F363:H363"/>
    <mergeCell ref="J363:L363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108:D108"/>
    <mergeCell ref="F108:H108"/>
    <mergeCell ref="J108:L108"/>
    <mergeCell ref="B125:D125"/>
    <mergeCell ref="F125:H125"/>
    <mergeCell ref="J125:L125"/>
    <mergeCell ref="B91:D91"/>
    <mergeCell ref="F91:H91"/>
    <mergeCell ref="J91:L91"/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N6:O6"/>
    <mergeCell ref="Q6:R6"/>
    <mergeCell ref="T6:U6"/>
    <mergeCell ref="B74:D74"/>
    <mergeCell ref="F74:H74"/>
    <mergeCell ref="J74:L74"/>
  </mergeCells>
  <pageMargins left="0.7" right="0.7" top="0.75" bottom="0.75" header="0.3" footer="0.3"/>
  <pageSetup paperSize="9" scale="78" orientation="landscape" r:id="rId1"/>
  <rowBreaks count="1" manualBreakCount="1">
    <brk id="37" max="20" man="1"/>
  </rowBreaks>
  <colBreaks count="1" manualBreakCount="1">
    <brk id="21" max="1048575" man="1"/>
  </colBreak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63"/>
  <dimension ref="A1:AU54"/>
  <sheetViews>
    <sheetView showGridLines="0" zoomScale="85" zoomScaleNormal="85" workbookViewId="0"/>
  </sheetViews>
  <sheetFormatPr defaultColWidth="9.140625" defaultRowHeight="12.75" x14ac:dyDescent="0.2"/>
  <cols>
    <col min="1" max="1" width="39.28515625" customWidth="1"/>
    <col min="2" max="16" width="6.7109375" customWidth="1"/>
    <col min="17" max="17" width="39.28515625" customWidth="1"/>
    <col min="18" max="18" width="6.7109375" customWidth="1"/>
    <col min="19" max="20" width="5.7109375" customWidth="1"/>
    <col min="21" max="21" width="6.7109375" customWidth="1"/>
    <col min="22" max="22" width="2.85546875" customWidth="1"/>
    <col min="23" max="23" width="6.7109375" customWidth="1"/>
    <col min="24" max="25" width="5.7109375" customWidth="1"/>
    <col min="26" max="26" width="6.7109375" customWidth="1"/>
    <col min="27" max="27" width="2.85546875" customWidth="1"/>
    <col min="28" max="29" width="6.7109375" customWidth="1"/>
    <col min="30" max="30" width="5.7109375" customWidth="1"/>
    <col min="31" max="31" width="6.7109375" customWidth="1"/>
    <col min="32" max="32" width="6.85546875" customWidth="1"/>
    <col min="33" max="33" width="39.28515625" customWidth="1"/>
    <col min="34" max="34" width="6.7109375" customWidth="1"/>
    <col min="35" max="36" width="5.7109375" customWidth="1"/>
    <col min="37" max="37" width="6.7109375" customWidth="1"/>
    <col min="38" max="38" width="2.85546875" customWidth="1"/>
    <col min="39" max="39" width="6.7109375" customWidth="1"/>
    <col min="40" max="41" width="5.7109375" customWidth="1"/>
    <col min="42" max="42" width="6.7109375" customWidth="1"/>
    <col min="43" max="43" width="2.85546875" customWidth="1"/>
    <col min="44" max="45" width="6.7109375" customWidth="1"/>
    <col min="46" max="46" width="5.7109375" customWidth="1"/>
    <col min="47" max="47" width="6.7109375" customWidth="1"/>
  </cols>
  <sheetData>
    <row r="1" spans="1:47" ht="15.75" x14ac:dyDescent="0.25">
      <c r="A1" s="19" t="str">
        <f>CONCATENATE("Occupation Table 5  Employment Change by Status (SOC 2020), ",B$5,"-",L$5,", ",Info!B5)</f>
        <v>Occupation Table 5  Employment Change by Status (SOC 2020), 2015-2035, Enterprise M3</v>
      </c>
      <c r="Q1" s="19" t="str">
        <f>CONCATENATE("Occupation Table 5.1  Males: Employment Change by Status (SOC 2020), ",B$5,"-",L$5,", ",Info!B5)</f>
        <v>Occupation Table 5.1  Males: Employment Change by Status (SOC 2020), 2015-2035, Enterprise M3</v>
      </c>
      <c r="AG1" s="19" t="str">
        <f>CONCATENATE("Occupation Table 5.2  Females: Employment Change by Status (SOC 2020), ",R$5,"-",AB$5,", ",Info!B5)</f>
        <v>Occupation Table 5.2  Females: Employment Change by Status (SOC 2020), 2015-2035, Enterprise M3</v>
      </c>
    </row>
    <row r="2" spans="1:47" x14ac:dyDescent="0.2">
      <c r="A2" s="1" t="s">
        <v>519</v>
      </c>
    </row>
    <row r="3" spans="1:47" x14ac:dyDescent="0.2">
      <c r="O3" s="16" t="s">
        <v>36</v>
      </c>
      <c r="AE3" s="16" t="s">
        <v>36</v>
      </c>
      <c r="AU3" s="16" t="s">
        <v>36</v>
      </c>
    </row>
    <row r="4" spans="1:47" x14ac:dyDescent="0.2">
      <c r="A4" s="36"/>
      <c r="B4" s="36"/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  <c r="N4" s="36"/>
      <c r="O4" s="36"/>
      <c r="Q4" s="36"/>
      <c r="R4" s="36"/>
      <c r="S4" s="36"/>
      <c r="T4" s="36"/>
      <c r="U4" s="36"/>
      <c r="V4" s="36"/>
      <c r="W4" s="36"/>
      <c r="X4" s="36"/>
      <c r="Y4" s="36"/>
      <c r="Z4" s="36"/>
      <c r="AA4" s="36"/>
      <c r="AB4" s="36"/>
      <c r="AC4" s="36"/>
      <c r="AD4" s="36"/>
      <c r="AE4" s="36"/>
      <c r="AG4" s="36"/>
      <c r="AH4" s="36"/>
      <c r="AI4" s="36"/>
      <c r="AJ4" s="36"/>
      <c r="AK4" s="36"/>
      <c r="AL4" s="36"/>
      <c r="AM4" s="36"/>
      <c r="AN4" s="36"/>
      <c r="AO4" s="36"/>
      <c r="AP4" s="36"/>
      <c r="AQ4" s="36"/>
      <c r="AR4" s="36"/>
      <c r="AS4" s="36"/>
      <c r="AT4" s="36"/>
      <c r="AU4" s="36"/>
    </row>
    <row r="5" spans="1:47" x14ac:dyDescent="0.2">
      <c r="B5" s="378">
        <v>2015</v>
      </c>
      <c r="C5" s="378"/>
      <c r="D5" s="378"/>
      <c r="E5" s="378"/>
      <c r="F5" s="1"/>
      <c r="G5" s="378">
        <v>2020</v>
      </c>
      <c r="H5" s="378"/>
      <c r="I5" s="378"/>
      <c r="J5" s="378"/>
      <c r="K5" s="1"/>
      <c r="L5" s="378">
        <v>2035</v>
      </c>
      <c r="M5" s="378"/>
      <c r="N5" s="378"/>
      <c r="O5" s="378"/>
      <c r="R5" s="378">
        <f>B5</f>
        <v>2015</v>
      </c>
      <c r="S5" s="378"/>
      <c r="T5" s="378"/>
      <c r="U5" s="378"/>
      <c r="V5" s="1"/>
      <c r="W5" s="378">
        <f>G5</f>
        <v>2020</v>
      </c>
      <c r="X5" s="378"/>
      <c r="Y5" s="378"/>
      <c r="Z5" s="378"/>
      <c r="AA5" s="1"/>
      <c r="AB5" s="378">
        <f>L5</f>
        <v>2035</v>
      </c>
      <c r="AC5" s="378"/>
      <c r="AD5" s="378"/>
      <c r="AE5" s="378"/>
      <c r="AH5" s="378">
        <f>B5</f>
        <v>2015</v>
      </c>
      <c r="AI5" s="378"/>
      <c r="AJ5" s="378"/>
      <c r="AK5" s="378"/>
      <c r="AL5" s="1"/>
      <c r="AM5" s="378">
        <f>G5</f>
        <v>2020</v>
      </c>
      <c r="AN5" s="378"/>
      <c r="AO5" s="378"/>
      <c r="AP5" s="378"/>
      <c r="AQ5" s="1"/>
      <c r="AR5" s="378">
        <f>L5</f>
        <v>2035</v>
      </c>
      <c r="AS5" s="378"/>
      <c r="AT5" s="378"/>
      <c r="AU5" s="378"/>
    </row>
    <row r="6" spans="1:47" x14ac:dyDescent="0.2">
      <c r="A6" s="41" t="s">
        <v>13</v>
      </c>
      <c r="B6" s="338" t="s">
        <v>345</v>
      </c>
      <c r="C6" s="338" t="s">
        <v>347</v>
      </c>
      <c r="D6" s="338" t="s">
        <v>343</v>
      </c>
      <c r="E6" s="338" t="s">
        <v>33</v>
      </c>
      <c r="F6" s="339"/>
      <c r="G6" s="338" t="s">
        <v>345</v>
      </c>
      <c r="H6" s="338" t="s">
        <v>347</v>
      </c>
      <c r="I6" s="338" t="s">
        <v>343</v>
      </c>
      <c r="J6" s="338" t="s">
        <v>33</v>
      </c>
      <c r="K6" s="339"/>
      <c r="L6" s="338" t="s">
        <v>345</v>
      </c>
      <c r="M6" s="338" t="s">
        <v>347</v>
      </c>
      <c r="N6" s="338" t="s">
        <v>343</v>
      </c>
      <c r="O6" s="338" t="s">
        <v>33</v>
      </c>
      <c r="Q6" s="41" t="s">
        <v>13</v>
      </c>
      <c r="R6" s="338" t="s">
        <v>345</v>
      </c>
      <c r="S6" s="338" t="s">
        <v>347</v>
      </c>
      <c r="T6" s="338" t="s">
        <v>343</v>
      </c>
      <c r="U6" s="338" t="s">
        <v>33</v>
      </c>
      <c r="V6" s="339"/>
      <c r="W6" s="338" t="s">
        <v>345</v>
      </c>
      <c r="X6" s="338" t="s">
        <v>347</v>
      </c>
      <c r="Y6" s="338" t="s">
        <v>343</v>
      </c>
      <c r="Z6" s="338" t="s">
        <v>33</v>
      </c>
      <c r="AA6" s="339"/>
      <c r="AB6" s="338" t="s">
        <v>345</v>
      </c>
      <c r="AC6" s="338" t="s">
        <v>347</v>
      </c>
      <c r="AD6" s="338" t="s">
        <v>343</v>
      </c>
      <c r="AE6" s="338" t="s">
        <v>33</v>
      </c>
      <c r="AG6" s="41" t="s">
        <v>13</v>
      </c>
      <c r="AH6" s="338" t="s">
        <v>345</v>
      </c>
      <c r="AI6" s="338" t="s">
        <v>347</v>
      </c>
      <c r="AJ6" s="338" t="s">
        <v>343</v>
      </c>
      <c r="AK6" s="338" t="s">
        <v>33</v>
      </c>
      <c r="AL6" s="339"/>
      <c r="AM6" s="338" t="s">
        <v>345</v>
      </c>
      <c r="AN6" s="338" t="s">
        <v>347</v>
      </c>
      <c r="AO6" s="338" t="s">
        <v>343</v>
      </c>
      <c r="AP6" s="338" t="s">
        <v>33</v>
      </c>
      <c r="AQ6" s="339"/>
      <c r="AR6" s="338" t="s">
        <v>345</v>
      </c>
      <c r="AS6" s="338" t="s">
        <v>347</v>
      </c>
      <c r="AT6" s="338" t="s">
        <v>343</v>
      </c>
      <c r="AU6" s="338" t="s">
        <v>33</v>
      </c>
    </row>
    <row r="7" spans="1:47" x14ac:dyDescent="0.2"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</row>
    <row r="8" spans="1:47" x14ac:dyDescent="0.2">
      <c r="A8" t="str">
        <f>name!E4</f>
        <v>Managers, directors and senior officials</v>
      </c>
      <c r="B8" s="11">
        <v>71.842509460942551</v>
      </c>
      <c r="C8" s="11">
        <v>10.596951481091921</v>
      </c>
      <c r="D8" s="11">
        <v>17.383944725245566</v>
      </c>
      <c r="E8" s="11">
        <f>SUM(B8:D8)</f>
        <v>99.823405667280042</v>
      </c>
      <c r="F8" s="11"/>
      <c r="G8" s="11">
        <v>76.589222647001861</v>
      </c>
      <c r="H8" s="11">
        <v>15.600244018309921</v>
      </c>
      <c r="I8" s="11">
        <v>17.740479117040337</v>
      </c>
      <c r="J8" s="11">
        <f>SUM(G8:I8)</f>
        <v>109.92994578235212</v>
      </c>
      <c r="K8" s="11"/>
      <c r="L8" s="11">
        <v>86.382849257887202</v>
      </c>
      <c r="M8" s="11">
        <v>19.967539340228026</v>
      </c>
      <c r="N8" s="11">
        <v>20.599060613975944</v>
      </c>
      <c r="O8" s="11">
        <f>SUM(L8:N8)</f>
        <v>126.94944921209117</v>
      </c>
      <c r="Q8" s="10" t="str">
        <f>name!E4</f>
        <v>Managers, directors and senior officials</v>
      </c>
      <c r="R8" s="11">
        <v>49.98993739980417</v>
      </c>
      <c r="S8" s="11">
        <v>3.6701952394588986</v>
      </c>
      <c r="T8" s="11">
        <v>11.303042730436337</v>
      </c>
      <c r="U8" s="11">
        <f>SUM(R8:T8)</f>
        <v>64.9631753696994</v>
      </c>
      <c r="V8" s="11"/>
      <c r="W8" s="11">
        <v>51.761252606744996</v>
      </c>
      <c r="X8" s="11">
        <v>5.5377455422897208</v>
      </c>
      <c r="Y8" s="11">
        <v>10.955855291841264</v>
      </c>
      <c r="Z8" s="11">
        <f>SUM(W8:Y8)</f>
        <v>68.254853440875976</v>
      </c>
      <c r="AA8" s="11"/>
      <c r="AB8" s="11">
        <v>54.207607371621776</v>
      </c>
      <c r="AC8" s="11">
        <v>7.1314133714599652</v>
      </c>
      <c r="AD8" s="11">
        <v>13.019950340551091</v>
      </c>
      <c r="AE8" s="11">
        <f>SUM(AB8:AD8)</f>
        <v>74.358971083632838</v>
      </c>
      <c r="AG8" s="10" t="str">
        <f>name!E4</f>
        <v>Managers, directors and senior officials</v>
      </c>
      <c r="AH8" s="11">
        <v>21.85257206113841</v>
      </c>
      <c r="AI8" s="11">
        <v>6.9267562416330257</v>
      </c>
      <c r="AJ8" s="11">
        <v>6.0809019948092358</v>
      </c>
      <c r="AK8" s="11">
        <f>SUM(AH8:AJ8)</f>
        <v>34.860230297580671</v>
      </c>
      <c r="AL8" s="11"/>
      <c r="AM8" s="11">
        <v>24.827970040256815</v>
      </c>
      <c r="AN8" s="11">
        <v>10.062498476020197</v>
      </c>
      <c r="AO8" s="11">
        <v>6.7846238251990751</v>
      </c>
      <c r="AP8" s="11">
        <f>SUM(AM8:AO8)</f>
        <v>41.675092341476088</v>
      </c>
      <c r="AQ8" s="11"/>
      <c r="AR8" s="11">
        <v>32.17524188626539</v>
      </c>
      <c r="AS8" s="11">
        <v>12.836125968768062</v>
      </c>
      <c r="AT8" s="11">
        <v>7.5791102734248446</v>
      </c>
      <c r="AU8" s="11">
        <f>SUM(AR8:AT8)</f>
        <v>52.590478128458301</v>
      </c>
    </row>
    <row r="9" spans="1:47" x14ac:dyDescent="0.2">
      <c r="A9" t="str">
        <f>name!E5</f>
        <v>Professional occupations</v>
      </c>
      <c r="B9" s="11">
        <v>128.63343579034074</v>
      </c>
      <c r="C9" s="11">
        <v>31.230184701561392</v>
      </c>
      <c r="D9" s="11">
        <v>27.541100569563344</v>
      </c>
      <c r="E9" s="11">
        <f t="shared" ref="E9:E18" si="0">SUM(B9:D9)</f>
        <v>187.40472106146549</v>
      </c>
      <c r="F9" s="11"/>
      <c r="G9" s="11">
        <v>145.90484229080204</v>
      </c>
      <c r="H9" s="11">
        <v>38.706576722827144</v>
      </c>
      <c r="I9" s="11">
        <v>25.56954065137467</v>
      </c>
      <c r="J9" s="11">
        <f t="shared" ref="J9:J16" si="1">SUM(G9:I9)</f>
        <v>210.18095966500385</v>
      </c>
      <c r="K9" s="11"/>
      <c r="L9" s="11">
        <v>174.49017572654296</v>
      </c>
      <c r="M9" s="11">
        <v>46.442757694463189</v>
      </c>
      <c r="N9" s="11">
        <v>25.597062138459005</v>
      </c>
      <c r="O9" s="11">
        <f t="shared" ref="O9:O16" si="2">SUM(L9:N9)</f>
        <v>246.52999555946514</v>
      </c>
      <c r="Q9" s="10" t="str">
        <f>name!E5</f>
        <v>Professional occupations</v>
      </c>
      <c r="R9" s="11">
        <v>79.551591272908155</v>
      </c>
      <c r="S9" s="11">
        <v>6.5564191548924358</v>
      </c>
      <c r="T9" s="11">
        <v>16.782280465014775</v>
      </c>
      <c r="U9" s="11">
        <f t="shared" ref="U9:U16" si="3">SUM(R9:T9)</f>
        <v>102.89029089281537</v>
      </c>
      <c r="V9" s="11"/>
      <c r="W9" s="11">
        <v>87.394223436906415</v>
      </c>
      <c r="X9" s="11">
        <v>9.8766695270407272</v>
      </c>
      <c r="Y9" s="11">
        <v>13.969265300467065</v>
      </c>
      <c r="Z9" s="11">
        <f t="shared" ref="Z9:Z16" si="4">SUM(W9:Y9)</f>
        <v>111.24015826441422</v>
      </c>
      <c r="AA9" s="11"/>
      <c r="AB9" s="11">
        <v>101.78109641524429</v>
      </c>
      <c r="AC9" s="11">
        <v>13.431413722160933</v>
      </c>
      <c r="AD9" s="11">
        <v>13.337708873472947</v>
      </c>
      <c r="AE9" s="11">
        <f t="shared" ref="AE9:AE16" si="5">SUM(AB9:AD9)</f>
        <v>128.55021901087815</v>
      </c>
      <c r="AG9" s="10" t="str">
        <f>name!E5</f>
        <v>Professional occupations</v>
      </c>
      <c r="AH9" s="11">
        <v>49.081844517432557</v>
      </c>
      <c r="AI9" s="11">
        <v>24.673765546668957</v>
      </c>
      <c r="AJ9" s="11">
        <v>10.758820104548576</v>
      </c>
      <c r="AK9" s="11">
        <f t="shared" ref="AK9:AK18" si="6">SUM(AH9:AJ9)</f>
        <v>84.514430168650094</v>
      </c>
      <c r="AL9" s="11"/>
      <c r="AM9" s="11">
        <v>58.510618853895664</v>
      </c>
      <c r="AN9" s="11">
        <v>28.829907195786415</v>
      </c>
      <c r="AO9" s="11">
        <v>11.600275350907605</v>
      </c>
      <c r="AP9" s="11">
        <f t="shared" ref="AP9:AP18" si="7">SUM(AM9:AO9)</f>
        <v>98.940801400589692</v>
      </c>
      <c r="AQ9" s="11"/>
      <c r="AR9" s="11">
        <v>72.709079311298638</v>
      </c>
      <c r="AS9" s="11">
        <v>33.011343972302264</v>
      </c>
      <c r="AT9" s="11">
        <v>12.259353264986052</v>
      </c>
      <c r="AU9" s="11">
        <f t="shared" ref="AU9:AU18" si="8">SUM(AR9:AT9)</f>
        <v>117.97977654858694</v>
      </c>
    </row>
    <row r="10" spans="1:47" x14ac:dyDescent="0.2">
      <c r="A10" t="str">
        <f>name!E6</f>
        <v>Associate professional occupations</v>
      </c>
      <c r="B10" s="11">
        <v>75.212622479081347</v>
      </c>
      <c r="C10" s="11">
        <v>19.844681615404895</v>
      </c>
      <c r="D10" s="11">
        <v>23.00504857590035</v>
      </c>
      <c r="E10" s="11">
        <f t="shared" si="0"/>
        <v>118.06235267038659</v>
      </c>
      <c r="F10" s="11"/>
      <c r="G10" s="11">
        <v>81.126842520237119</v>
      </c>
      <c r="H10" s="11">
        <v>22.989356160316042</v>
      </c>
      <c r="I10" s="11">
        <v>19.969471035410606</v>
      </c>
      <c r="J10" s="11">
        <f t="shared" si="1"/>
        <v>124.08566971596377</v>
      </c>
      <c r="K10" s="11"/>
      <c r="L10" s="11">
        <v>85.316901484212693</v>
      </c>
      <c r="M10" s="11">
        <v>23.757808263230888</v>
      </c>
      <c r="N10" s="11">
        <v>21.451957355635489</v>
      </c>
      <c r="O10" s="11">
        <f t="shared" si="2"/>
        <v>130.52666710307906</v>
      </c>
      <c r="Q10" s="10" t="str">
        <f>name!E6</f>
        <v>Associate professional occupations</v>
      </c>
      <c r="R10" s="11">
        <v>47.388808764408104</v>
      </c>
      <c r="S10" s="11">
        <v>5.4829433228788931</v>
      </c>
      <c r="T10" s="11">
        <v>10.944134395207755</v>
      </c>
      <c r="U10" s="11">
        <f t="shared" si="3"/>
        <v>63.815886482494754</v>
      </c>
      <c r="V10" s="11"/>
      <c r="W10" s="11">
        <v>48.923279867305986</v>
      </c>
      <c r="X10" s="11">
        <v>7.0904205588486713</v>
      </c>
      <c r="Y10" s="11">
        <v>8.4963902421914135</v>
      </c>
      <c r="Z10" s="11">
        <f t="shared" si="4"/>
        <v>64.510090668346066</v>
      </c>
      <c r="AA10" s="11"/>
      <c r="AB10" s="11">
        <v>48.463772517738178</v>
      </c>
      <c r="AC10" s="11">
        <v>6.5654256429785836</v>
      </c>
      <c r="AD10" s="11">
        <v>8.9144421184543461</v>
      </c>
      <c r="AE10" s="11">
        <f t="shared" si="5"/>
        <v>63.943640279171106</v>
      </c>
      <c r="AG10" s="10" t="str">
        <f>name!E6</f>
        <v>Associate professional occupations</v>
      </c>
      <c r="AH10" s="11">
        <v>27.823813714673257</v>
      </c>
      <c r="AI10" s="11">
        <v>14.361738292525999</v>
      </c>
      <c r="AJ10" s="11">
        <v>12.060914180692599</v>
      </c>
      <c r="AK10" s="11">
        <f t="shared" si="6"/>
        <v>54.246466187891855</v>
      </c>
      <c r="AL10" s="11"/>
      <c r="AM10" s="11">
        <v>32.203562652931126</v>
      </c>
      <c r="AN10" s="11">
        <v>15.898935601467368</v>
      </c>
      <c r="AO10" s="11">
        <v>11.473080793219189</v>
      </c>
      <c r="AP10" s="11">
        <f t="shared" si="7"/>
        <v>59.575579047617687</v>
      </c>
      <c r="AQ10" s="11"/>
      <c r="AR10" s="11">
        <v>36.853128966474529</v>
      </c>
      <c r="AS10" s="11">
        <v>17.192382620252296</v>
      </c>
      <c r="AT10" s="11">
        <v>12.537515237181148</v>
      </c>
      <c r="AU10" s="11">
        <f t="shared" si="8"/>
        <v>66.583026823907971</v>
      </c>
    </row>
    <row r="11" spans="1:47" x14ac:dyDescent="0.2">
      <c r="A11" t="str">
        <f>name!E7</f>
        <v>Administrative and secretarial occupations</v>
      </c>
      <c r="B11" s="11">
        <v>50.484932106912886</v>
      </c>
      <c r="C11" s="11">
        <v>37.845049588444276</v>
      </c>
      <c r="D11" s="11">
        <v>5.6382637715454349</v>
      </c>
      <c r="E11" s="11">
        <f t="shared" si="0"/>
        <v>93.968245466902601</v>
      </c>
      <c r="F11" s="11"/>
      <c r="G11" s="11">
        <v>47.727324828355961</v>
      </c>
      <c r="H11" s="11">
        <v>36.047175708248673</v>
      </c>
      <c r="I11" s="11">
        <v>4.6048294859114316</v>
      </c>
      <c r="J11" s="11">
        <f t="shared" si="1"/>
        <v>88.379330022516072</v>
      </c>
      <c r="K11" s="11"/>
      <c r="L11" s="11">
        <v>38.897786729485873</v>
      </c>
      <c r="M11" s="11">
        <v>29.400216677031661</v>
      </c>
      <c r="N11" s="11">
        <v>5.0265531616837542</v>
      </c>
      <c r="O11" s="11">
        <f t="shared" si="2"/>
        <v>73.324556568201288</v>
      </c>
      <c r="Q11" s="10" t="str">
        <f>name!E7</f>
        <v>Administrative and secretarial occupations</v>
      </c>
      <c r="R11" s="11">
        <v>14.233436749554061</v>
      </c>
      <c r="S11" s="11">
        <v>3.6103605695010743</v>
      </c>
      <c r="T11" s="11">
        <v>1.4719786678899696</v>
      </c>
      <c r="U11" s="11">
        <f t="shared" si="3"/>
        <v>19.315775986945106</v>
      </c>
      <c r="V11" s="11"/>
      <c r="W11" s="11">
        <v>14.53627836058228</v>
      </c>
      <c r="X11" s="11">
        <v>4.3200727605053837</v>
      </c>
      <c r="Y11" s="11">
        <v>1.0616510877171574</v>
      </c>
      <c r="Z11" s="11">
        <f t="shared" si="4"/>
        <v>19.918002208804822</v>
      </c>
      <c r="AA11" s="11"/>
      <c r="AB11" s="11">
        <v>14.929187699166588</v>
      </c>
      <c r="AC11" s="11">
        <v>3.6461716947988383</v>
      </c>
      <c r="AD11" s="11">
        <v>1.5431996548108546</v>
      </c>
      <c r="AE11" s="11">
        <f t="shared" si="5"/>
        <v>20.118559048776284</v>
      </c>
      <c r="AG11" s="10" t="str">
        <f>name!E7</f>
        <v>Administrative and secretarial occupations</v>
      </c>
      <c r="AH11" s="11">
        <v>36.251495357358827</v>
      </c>
      <c r="AI11" s="11">
        <v>34.234689018943207</v>
      </c>
      <c r="AJ11" s="11">
        <v>4.166285103655464</v>
      </c>
      <c r="AK11" s="11">
        <f t="shared" si="6"/>
        <v>74.652469479957503</v>
      </c>
      <c r="AL11" s="11"/>
      <c r="AM11" s="11">
        <v>33.191046467773688</v>
      </c>
      <c r="AN11" s="11">
        <v>31.727102947743305</v>
      </c>
      <c r="AO11" s="11">
        <v>3.5431783981942746</v>
      </c>
      <c r="AP11" s="11">
        <f t="shared" si="7"/>
        <v>68.461327813711264</v>
      </c>
      <c r="AQ11" s="11"/>
      <c r="AR11" s="11">
        <v>23.968599030319275</v>
      </c>
      <c r="AS11" s="11">
        <v>25.754044982232834</v>
      </c>
      <c r="AT11" s="11">
        <v>3.4833535068728998</v>
      </c>
      <c r="AU11" s="11">
        <f t="shared" si="8"/>
        <v>53.205997519425011</v>
      </c>
    </row>
    <row r="12" spans="1:47" x14ac:dyDescent="0.2">
      <c r="A12" t="str">
        <f>name!E8</f>
        <v>Skilled trades occupations</v>
      </c>
      <c r="B12" s="11">
        <v>46.409612544033763</v>
      </c>
      <c r="C12" s="11">
        <v>8.06907344273516</v>
      </c>
      <c r="D12" s="11">
        <v>26.933830796972551</v>
      </c>
      <c r="E12" s="11">
        <f t="shared" si="0"/>
        <v>81.412516783741466</v>
      </c>
      <c r="F12" s="11"/>
      <c r="G12" s="11">
        <v>37.493534886909181</v>
      </c>
      <c r="H12" s="11">
        <v>6.9760129513074869</v>
      </c>
      <c r="I12" s="11">
        <v>24.05401652384819</v>
      </c>
      <c r="J12" s="11">
        <f t="shared" si="1"/>
        <v>68.52356436206486</v>
      </c>
      <c r="K12" s="11"/>
      <c r="L12" s="11">
        <v>34.410354539155421</v>
      </c>
      <c r="M12" s="11">
        <v>8.7820386423657659</v>
      </c>
      <c r="N12" s="11">
        <v>28.591021704399839</v>
      </c>
      <c r="O12" s="11">
        <f t="shared" si="2"/>
        <v>71.783414885921019</v>
      </c>
      <c r="Q12" s="10" t="str">
        <f>name!E8</f>
        <v>Skilled trades occupations</v>
      </c>
      <c r="R12" s="11">
        <v>42.229058907823649</v>
      </c>
      <c r="S12" s="11">
        <v>4.9631290192240352</v>
      </c>
      <c r="T12" s="11">
        <v>23.921123878204327</v>
      </c>
      <c r="U12" s="11">
        <f t="shared" si="3"/>
        <v>71.11331180525201</v>
      </c>
      <c r="V12" s="11"/>
      <c r="W12" s="11">
        <v>33.487847514525789</v>
      </c>
      <c r="X12" s="11">
        <v>4.0454306236054141</v>
      </c>
      <c r="Y12" s="11">
        <v>21.124952194762869</v>
      </c>
      <c r="Z12" s="11">
        <f t="shared" si="4"/>
        <v>58.658230332894071</v>
      </c>
      <c r="AA12" s="11"/>
      <c r="AB12" s="11">
        <v>28.947015693049252</v>
      </c>
      <c r="AC12" s="11">
        <v>5.0921271572018583</v>
      </c>
      <c r="AD12" s="11">
        <v>24.4509808859308</v>
      </c>
      <c r="AE12" s="11">
        <f t="shared" si="5"/>
        <v>58.490123736181914</v>
      </c>
      <c r="AG12" s="10" t="str">
        <f>name!E8</f>
        <v>Skilled trades occupations</v>
      </c>
      <c r="AH12" s="11">
        <v>4.1805536362101341</v>
      </c>
      <c r="AI12" s="11">
        <v>3.1059444235111271</v>
      </c>
      <c r="AJ12" s="11">
        <v>3.0127069187682127</v>
      </c>
      <c r="AK12" s="11">
        <f t="shared" si="6"/>
        <v>10.299204978489474</v>
      </c>
      <c r="AL12" s="11"/>
      <c r="AM12" s="11">
        <v>4.0056873723833917</v>
      </c>
      <c r="AN12" s="11">
        <v>2.9305823277020724</v>
      </c>
      <c r="AO12" s="11">
        <v>2.9290643290853096</v>
      </c>
      <c r="AP12" s="11">
        <f t="shared" si="7"/>
        <v>9.865334029170775</v>
      </c>
      <c r="AQ12" s="11"/>
      <c r="AR12" s="11">
        <v>5.4633388461061774</v>
      </c>
      <c r="AS12" s="11">
        <v>3.6899114851639077</v>
      </c>
      <c r="AT12" s="11">
        <v>4.1400408184690258</v>
      </c>
      <c r="AU12" s="11">
        <f t="shared" si="8"/>
        <v>13.293291149739112</v>
      </c>
    </row>
    <row r="13" spans="1:47" x14ac:dyDescent="0.2">
      <c r="A13" t="str">
        <f>name!E9</f>
        <v>Caring, leisure and other service occupations</v>
      </c>
      <c r="B13" s="11">
        <v>37.61728092278679</v>
      </c>
      <c r="C13" s="11">
        <v>32.787409384854399</v>
      </c>
      <c r="D13" s="11">
        <v>11.13762298871699</v>
      </c>
      <c r="E13" s="11">
        <f t="shared" si="0"/>
        <v>81.542313296358174</v>
      </c>
      <c r="F13" s="11"/>
      <c r="G13" s="11">
        <v>34.963710619798427</v>
      </c>
      <c r="H13" s="11">
        <v>32.733282472535308</v>
      </c>
      <c r="I13" s="11">
        <v>11.23123676439813</v>
      </c>
      <c r="J13" s="11">
        <f t="shared" si="1"/>
        <v>78.928229856731875</v>
      </c>
      <c r="K13" s="11"/>
      <c r="L13" s="11">
        <v>41.493498829664354</v>
      </c>
      <c r="M13" s="11">
        <v>34.275460746324811</v>
      </c>
      <c r="N13" s="11">
        <v>12.782002909990863</v>
      </c>
      <c r="O13" s="11">
        <f t="shared" si="2"/>
        <v>88.550962485980023</v>
      </c>
      <c r="Q13" s="10" t="str">
        <f>name!E9</f>
        <v>Caring, leisure and other service occupations</v>
      </c>
      <c r="R13" s="11">
        <v>11.95228914772593</v>
      </c>
      <c r="S13" s="11">
        <v>5.0648570196836165</v>
      </c>
      <c r="T13" s="11">
        <v>1.3896726691895434</v>
      </c>
      <c r="U13" s="11">
        <f t="shared" si="3"/>
        <v>18.40681883659909</v>
      </c>
      <c r="V13" s="11"/>
      <c r="W13" s="11">
        <v>10.850987711392918</v>
      </c>
      <c r="X13" s="11">
        <v>5.5984624409935417</v>
      </c>
      <c r="Y13" s="11">
        <v>1.2062809523168436</v>
      </c>
      <c r="Z13" s="11">
        <f t="shared" si="4"/>
        <v>17.655731104703307</v>
      </c>
      <c r="AA13" s="11"/>
      <c r="AB13" s="11">
        <v>14.424691243629685</v>
      </c>
      <c r="AC13" s="11">
        <v>7.0337579861088431</v>
      </c>
      <c r="AD13" s="11">
        <v>1.8207832268515021</v>
      </c>
      <c r="AE13" s="11">
        <f t="shared" si="5"/>
        <v>23.27923245659003</v>
      </c>
      <c r="AG13" s="10" t="str">
        <f>name!E9</f>
        <v>Caring, leisure and other service occupations</v>
      </c>
      <c r="AH13" s="11">
        <v>25.664991775060866</v>
      </c>
      <c r="AI13" s="11">
        <v>27.722552365170785</v>
      </c>
      <c r="AJ13" s="11">
        <v>9.7479503195274475</v>
      </c>
      <c r="AK13" s="11">
        <f t="shared" si="6"/>
        <v>63.135494459759101</v>
      </c>
      <c r="AL13" s="11"/>
      <c r="AM13" s="11">
        <v>24.112722908405502</v>
      </c>
      <c r="AN13" s="11">
        <v>27.134820031541768</v>
      </c>
      <c r="AO13" s="11">
        <v>10.024955812081284</v>
      </c>
      <c r="AP13" s="11">
        <f t="shared" si="7"/>
        <v>61.272498752028554</v>
      </c>
      <c r="AQ13" s="11"/>
      <c r="AR13" s="11">
        <v>27.068807586034687</v>
      </c>
      <c r="AS13" s="11">
        <v>27.241702760215961</v>
      </c>
      <c r="AT13" s="11">
        <v>10.96121968313936</v>
      </c>
      <c r="AU13" s="11">
        <f t="shared" si="8"/>
        <v>65.271730029390014</v>
      </c>
    </row>
    <row r="14" spans="1:47" x14ac:dyDescent="0.2">
      <c r="A14" t="str">
        <f>name!E10</f>
        <v>Sales and customer service occupations</v>
      </c>
      <c r="B14" s="11">
        <v>24.281985724988239</v>
      </c>
      <c r="C14" s="11">
        <v>38.448054635615605</v>
      </c>
      <c r="D14" s="11">
        <v>4.920072192978818</v>
      </c>
      <c r="E14" s="11">
        <f t="shared" si="0"/>
        <v>67.650112553582659</v>
      </c>
      <c r="F14" s="11"/>
      <c r="G14" s="11">
        <v>22.160907968599087</v>
      </c>
      <c r="H14" s="11">
        <v>40.852954284140758</v>
      </c>
      <c r="I14" s="11">
        <v>3.1407830407677411</v>
      </c>
      <c r="J14" s="11">
        <f t="shared" si="1"/>
        <v>66.154645293507585</v>
      </c>
      <c r="K14" s="11"/>
      <c r="L14" s="11">
        <v>22.696362069540449</v>
      </c>
      <c r="M14" s="11">
        <v>40.747943703211959</v>
      </c>
      <c r="N14" s="11">
        <v>2.8717198193421667</v>
      </c>
      <c r="O14" s="11">
        <f t="shared" si="2"/>
        <v>66.316025592094576</v>
      </c>
      <c r="Q14" s="10" t="str">
        <f>name!E10</f>
        <v>Sales and customer service occupations</v>
      </c>
      <c r="R14" s="11">
        <v>12.724557095190859</v>
      </c>
      <c r="S14" s="11">
        <v>12.754178706642367</v>
      </c>
      <c r="T14" s="11">
        <v>2.7122528047557912</v>
      </c>
      <c r="U14" s="11">
        <f t="shared" si="3"/>
        <v>28.190988606589016</v>
      </c>
      <c r="V14" s="11"/>
      <c r="W14" s="11">
        <v>11.951050458006293</v>
      </c>
      <c r="X14" s="11">
        <v>14.502980566932449</v>
      </c>
      <c r="Y14" s="11">
        <v>1.8005020610276001</v>
      </c>
      <c r="Z14" s="11">
        <f t="shared" si="4"/>
        <v>28.254533085966344</v>
      </c>
      <c r="AA14" s="11"/>
      <c r="AB14" s="11">
        <v>13.09780622266951</v>
      </c>
      <c r="AC14" s="11">
        <v>15.412341684301676</v>
      </c>
      <c r="AD14" s="11">
        <v>1.6562683882129901</v>
      </c>
      <c r="AE14" s="11">
        <f t="shared" si="5"/>
        <v>30.166416295184174</v>
      </c>
      <c r="AG14" s="10" t="str">
        <f>name!E10</f>
        <v>Sales and customer service occupations</v>
      </c>
      <c r="AH14" s="11">
        <v>11.557428629797379</v>
      </c>
      <c r="AI14" s="11">
        <v>25.693875928973235</v>
      </c>
      <c r="AJ14" s="11">
        <v>2.2078193882230264</v>
      </c>
      <c r="AK14" s="11">
        <f t="shared" si="6"/>
        <v>39.459123946993643</v>
      </c>
      <c r="AL14" s="11"/>
      <c r="AM14" s="11">
        <v>10.2098575105928</v>
      </c>
      <c r="AN14" s="11">
        <v>26.349973717208275</v>
      </c>
      <c r="AO14" s="11">
        <v>1.3402809797401445</v>
      </c>
      <c r="AP14" s="11">
        <f t="shared" si="7"/>
        <v>37.90011220754122</v>
      </c>
      <c r="AQ14" s="11"/>
      <c r="AR14" s="11">
        <v>9.5985558468709371</v>
      </c>
      <c r="AS14" s="11">
        <v>25.335602018910286</v>
      </c>
      <c r="AT14" s="11">
        <v>1.2154514311291771</v>
      </c>
      <c r="AU14" s="11">
        <f t="shared" si="8"/>
        <v>36.149609296910398</v>
      </c>
    </row>
    <row r="15" spans="1:47" x14ac:dyDescent="0.2">
      <c r="A15" t="str">
        <f>name!E11</f>
        <v>Process, plant and machine operatives</v>
      </c>
      <c r="B15" s="11">
        <v>25.246743331031979</v>
      </c>
      <c r="C15" s="11">
        <v>5.882752161282621</v>
      </c>
      <c r="D15" s="11">
        <v>6.7341881370618895</v>
      </c>
      <c r="E15" s="11">
        <f t="shared" si="0"/>
        <v>37.863683629376489</v>
      </c>
      <c r="F15" s="11"/>
      <c r="G15" s="11">
        <v>20.745646460221149</v>
      </c>
      <c r="H15" s="11">
        <v>6.6718380530542669</v>
      </c>
      <c r="I15" s="11">
        <v>6.2258506512604637</v>
      </c>
      <c r="J15" s="11">
        <f t="shared" si="1"/>
        <v>33.643335164535877</v>
      </c>
      <c r="K15" s="11"/>
      <c r="L15" s="11">
        <v>20.982365136481643</v>
      </c>
      <c r="M15" s="11">
        <v>9.2114001885989154</v>
      </c>
      <c r="N15" s="11">
        <v>7.8549789319569499</v>
      </c>
      <c r="O15" s="11">
        <f t="shared" si="2"/>
        <v>38.048744257037512</v>
      </c>
      <c r="Q15" s="10" t="str">
        <f>name!E11</f>
        <v>Process, plant and machine operatives</v>
      </c>
      <c r="R15" s="11">
        <v>23.071772389491247</v>
      </c>
      <c r="S15" s="11">
        <v>4.4919226207252105</v>
      </c>
      <c r="T15" s="11">
        <v>5.680548662711109</v>
      </c>
      <c r="U15" s="11">
        <f t="shared" si="3"/>
        <v>33.244243672927567</v>
      </c>
      <c r="V15" s="11"/>
      <c r="W15" s="11">
        <v>19.050522667362195</v>
      </c>
      <c r="X15" s="11">
        <v>5.508368466007366</v>
      </c>
      <c r="Y15" s="11">
        <v>5.1867443052941109</v>
      </c>
      <c r="Z15" s="11">
        <f t="shared" si="4"/>
        <v>29.745635438663669</v>
      </c>
      <c r="AA15" s="11"/>
      <c r="AB15" s="11">
        <v>19.050897581779928</v>
      </c>
      <c r="AC15" s="11">
        <v>6.7361827739421534</v>
      </c>
      <c r="AD15" s="11">
        <v>6.5668904110253878</v>
      </c>
      <c r="AE15" s="11">
        <f t="shared" si="5"/>
        <v>32.353970766747473</v>
      </c>
      <c r="AG15" s="10" t="str">
        <f>name!E11</f>
        <v>Process, plant and machine operatives</v>
      </c>
      <c r="AH15" s="11">
        <v>2.1749709415407317</v>
      </c>
      <c r="AI15" s="11">
        <v>1.390829540557408</v>
      </c>
      <c r="AJ15" s="11">
        <v>1.0536394743507802</v>
      </c>
      <c r="AK15" s="11">
        <f t="shared" si="6"/>
        <v>4.6194399564489199</v>
      </c>
      <c r="AL15" s="11"/>
      <c r="AM15" s="11">
        <v>1.6951237928589435</v>
      </c>
      <c r="AN15" s="11">
        <v>1.1634695870469018</v>
      </c>
      <c r="AO15" s="11">
        <v>1.0391063459663539</v>
      </c>
      <c r="AP15" s="11">
        <f t="shared" si="7"/>
        <v>3.897699725872199</v>
      </c>
      <c r="AQ15" s="11"/>
      <c r="AR15" s="11">
        <v>1.9314675547017166</v>
      </c>
      <c r="AS15" s="11">
        <v>2.4752174146567691</v>
      </c>
      <c r="AT15" s="11">
        <v>1.2880885209315669</v>
      </c>
      <c r="AU15" s="11">
        <f t="shared" si="8"/>
        <v>5.6947734902900518</v>
      </c>
    </row>
    <row r="16" spans="1:47" x14ac:dyDescent="0.2">
      <c r="A16" t="str">
        <f>name!E12</f>
        <v>Elementary occupations</v>
      </c>
      <c r="B16" s="11">
        <v>36.191421319200039</v>
      </c>
      <c r="C16" s="11">
        <v>55.724839193900969</v>
      </c>
      <c r="D16" s="11">
        <v>5.3613883578053052</v>
      </c>
      <c r="E16" s="11">
        <f t="shared" si="0"/>
        <v>97.277648870906319</v>
      </c>
      <c r="F16" s="11"/>
      <c r="G16" s="11">
        <v>29.156659269570017</v>
      </c>
      <c r="H16" s="11">
        <v>51.397035437552823</v>
      </c>
      <c r="I16" s="11">
        <v>4.260625430201106</v>
      </c>
      <c r="J16" s="11">
        <f t="shared" si="1"/>
        <v>84.814320137323946</v>
      </c>
      <c r="K16" s="11"/>
      <c r="L16" s="11">
        <v>28.219364467104811</v>
      </c>
      <c r="M16" s="11">
        <v>49.570934076256179</v>
      </c>
      <c r="N16" s="11">
        <v>5.6578857927693811</v>
      </c>
      <c r="O16" s="11">
        <f t="shared" si="2"/>
        <v>83.448184336130367</v>
      </c>
      <c r="Q16" s="10" t="str">
        <f>name!E12</f>
        <v>Elementary occupations</v>
      </c>
      <c r="R16" s="11">
        <v>26.00922902585782</v>
      </c>
      <c r="S16" s="11">
        <v>20.112192674953338</v>
      </c>
      <c r="T16" s="11">
        <v>3.4270471514233658</v>
      </c>
      <c r="U16" s="11">
        <f t="shared" si="3"/>
        <v>49.548468852234521</v>
      </c>
      <c r="V16" s="11"/>
      <c r="W16" s="11">
        <v>20.682403713150769</v>
      </c>
      <c r="X16" s="11">
        <v>19.171303998726092</v>
      </c>
      <c r="Y16" s="11">
        <v>3.0062756017836327</v>
      </c>
      <c r="Z16" s="11">
        <f t="shared" si="4"/>
        <v>42.8599833136605</v>
      </c>
      <c r="AA16" s="11"/>
      <c r="AB16" s="11">
        <v>18.743175091609398</v>
      </c>
      <c r="AC16" s="11">
        <v>19.325875421921499</v>
      </c>
      <c r="AD16" s="11">
        <v>4.1684883112663309</v>
      </c>
      <c r="AE16" s="11">
        <f t="shared" si="5"/>
        <v>42.237538824797227</v>
      </c>
      <c r="AG16" s="10" t="str">
        <f>name!E12</f>
        <v>Elementary occupations</v>
      </c>
      <c r="AH16" s="11">
        <v>10.182192293342226</v>
      </c>
      <c r="AI16" s="11">
        <v>35.612646518947656</v>
      </c>
      <c r="AJ16" s="11">
        <v>1.9343412063819378</v>
      </c>
      <c r="AK16" s="11">
        <f t="shared" si="6"/>
        <v>47.729180018671819</v>
      </c>
      <c r="AL16" s="11"/>
      <c r="AM16" s="11">
        <v>8.4742555564192372</v>
      </c>
      <c r="AN16" s="11">
        <v>32.22573143882672</v>
      </c>
      <c r="AO16" s="11">
        <v>1.2543498284174723</v>
      </c>
      <c r="AP16" s="11">
        <f t="shared" si="7"/>
        <v>41.954336823663432</v>
      </c>
      <c r="AQ16" s="11"/>
      <c r="AR16" s="11">
        <v>9.4761893754954176</v>
      </c>
      <c r="AS16" s="11">
        <v>30.245058654334699</v>
      </c>
      <c r="AT16" s="11">
        <v>1.4893974815030495</v>
      </c>
      <c r="AU16" s="11">
        <f t="shared" si="8"/>
        <v>41.210645511333162</v>
      </c>
    </row>
    <row r="17" spans="1:47" x14ac:dyDescent="0.2"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Q17" s="10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</row>
    <row r="18" spans="1:47" x14ac:dyDescent="0.2">
      <c r="A18" s="24" t="str">
        <f>name!E3</f>
        <v>All occupations</v>
      </c>
      <c r="B18" s="34">
        <f>SUM(B8:B16)</f>
        <v>495.92054367931831</v>
      </c>
      <c r="C18" s="34">
        <f t="shared" ref="C18:D18" si="9">SUM(C8:C16)</f>
        <v>240.42899620489126</v>
      </c>
      <c r="D18" s="34">
        <f t="shared" si="9"/>
        <v>128.65546011579025</v>
      </c>
      <c r="E18" s="34">
        <f t="shared" si="0"/>
        <v>865.00499999999977</v>
      </c>
      <c r="F18" s="34"/>
      <c r="G18" s="34">
        <f>SUM(G8:G16)</f>
        <v>495.86869149149481</v>
      </c>
      <c r="H18" s="34">
        <f t="shared" ref="H18:I18" si="10">SUM(H8:H16)</f>
        <v>251.97447580829245</v>
      </c>
      <c r="I18" s="34">
        <f t="shared" si="10"/>
        <v>116.79683270021268</v>
      </c>
      <c r="J18" s="34">
        <f t="shared" ref="J18" si="11">SUM(G18:I18)</f>
        <v>864.64</v>
      </c>
      <c r="K18" s="34"/>
      <c r="L18" s="34">
        <f>SUM(L8:L16)</f>
        <v>532.88965824007539</v>
      </c>
      <c r="M18" s="34">
        <f t="shared" ref="M18:N18" si="12">SUM(M8:M16)</f>
        <v>262.1560993317114</v>
      </c>
      <c r="N18" s="34">
        <f t="shared" si="12"/>
        <v>130.43224242821339</v>
      </c>
      <c r="O18" s="34">
        <f>SUM(L18:N18)</f>
        <v>925.47800000000018</v>
      </c>
      <c r="Q18" s="231" t="str">
        <f>name!E3</f>
        <v>All occupations</v>
      </c>
      <c r="R18" s="34">
        <f>SUM(R8:R16)</f>
        <v>307.15068075276406</v>
      </c>
      <c r="S18" s="34">
        <f t="shared" ref="S18:T18" si="13">SUM(S8:S16)</f>
        <v>66.706198327959868</v>
      </c>
      <c r="T18" s="34">
        <f t="shared" si="13"/>
        <v>77.632081424832961</v>
      </c>
      <c r="U18" s="34">
        <f t="shared" ref="U18" si="14">SUM(R18:T18)</f>
        <v>451.48896050555692</v>
      </c>
      <c r="V18" s="34"/>
      <c r="W18" s="34">
        <f>SUM(W8:W16)</f>
        <v>298.63784633597766</v>
      </c>
      <c r="X18" s="34">
        <f t="shared" ref="X18:Y18" si="15">SUM(X8:X16)</f>
        <v>75.651454484949369</v>
      </c>
      <c r="Y18" s="34">
        <f t="shared" si="15"/>
        <v>66.807917037401964</v>
      </c>
      <c r="Z18" s="34">
        <f t="shared" ref="Z18" si="16">SUM(W18:Y18)</f>
        <v>441.09721785832897</v>
      </c>
      <c r="AA18" s="34"/>
      <c r="AB18" s="34">
        <f>SUM(AB8:AB16)</f>
        <v>313.64524983650858</v>
      </c>
      <c r="AC18" s="34">
        <f t="shared" ref="AC18:AD18" si="17">SUM(AC8:AC16)</f>
        <v>84.374709454874335</v>
      </c>
      <c r="AD18" s="34">
        <f t="shared" si="17"/>
        <v>75.478712210576248</v>
      </c>
      <c r="AE18" s="34">
        <f t="shared" ref="AE18" si="18">SUM(AB18:AD18)</f>
        <v>473.49867150195917</v>
      </c>
      <c r="AG18" s="231" t="str">
        <f>name!E3</f>
        <v>All occupations</v>
      </c>
      <c r="AH18" s="34">
        <f>SUM(AH8:AH16)</f>
        <v>188.76986292655437</v>
      </c>
      <c r="AI18" s="34">
        <f t="shared" ref="AI18:AJ18" si="19">SUM(AI8:AI16)</f>
        <v>173.72279787693139</v>
      </c>
      <c r="AJ18" s="34">
        <f t="shared" si="19"/>
        <v>51.02337869095728</v>
      </c>
      <c r="AK18" s="34">
        <f t="shared" si="6"/>
        <v>413.51603949444302</v>
      </c>
      <c r="AL18" s="34"/>
      <c r="AM18" s="34">
        <f>SUM(AM8:AM16)</f>
        <v>197.23084515551716</v>
      </c>
      <c r="AN18" s="34">
        <f t="shared" ref="AN18:AO18" si="20">SUM(AN8:AN16)</f>
        <v>176.32302132334303</v>
      </c>
      <c r="AO18" s="34">
        <f t="shared" si="20"/>
        <v>49.988915662810705</v>
      </c>
      <c r="AP18" s="34">
        <f t="shared" si="7"/>
        <v>423.5427821416709</v>
      </c>
      <c r="AQ18" s="34"/>
      <c r="AR18" s="34">
        <f>SUM(AR8:AR16)</f>
        <v>219.24440840356675</v>
      </c>
      <c r="AS18" s="34">
        <f t="shared" ref="AS18:AT18" si="21">SUM(AS8:AS16)</f>
        <v>177.78138987683707</v>
      </c>
      <c r="AT18" s="34">
        <f t="shared" si="21"/>
        <v>54.953530217637123</v>
      </c>
      <c r="AU18" s="34">
        <f t="shared" si="8"/>
        <v>451.97932849804096</v>
      </c>
    </row>
    <row r="19" spans="1:47" x14ac:dyDescent="0.2"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</row>
    <row r="20" spans="1:47" x14ac:dyDescent="0.2"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</row>
    <row r="21" spans="1:47" x14ac:dyDescent="0.2"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6" t="s">
        <v>35</v>
      </c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6" t="s">
        <v>35</v>
      </c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6" t="s">
        <v>35</v>
      </c>
    </row>
    <row r="22" spans="1:47" x14ac:dyDescent="0.2">
      <c r="A22" s="36"/>
      <c r="B22" s="65"/>
      <c r="C22" s="65"/>
      <c r="D22" s="65"/>
      <c r="E22" s="65"/>
      <c r="F22" s="65"/>
      <c r="G22" s="65"/>
      <c r="H22" s="65"/>
      <c r="I22" s="65"/>
      <c r="J22" s="65"/>
      <c r="K22" s="65"/>
      <c r="L22" s="65"/>
      <c r="M22" s="65"/>
      <c r="N22" s="65"/>
      <c r="O22" s="65"/>
      <c r="Q22" s="36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5"/>
      <c r="AC22" s="65"/>
      <c r="AD22" s="65"/>
      <c r="AE22" s="65"/>
      <c r="AG22" s="36"/>
      <c r="AH22" s="65"/>
      <c r="AI22" s="65"/>
      <c r="AJ22" s="65"/>
      <c r="AK22" s="65"/>
      <c r="AL22" s="65"/>
      <c r="AM22" s="65"/>
      <c r="AN22" s="65"/>
      <c r="AO22" s="65"/>
      <c r="AP22" s="65"/>
      <c r="AQ22" s="65"/>
      <c r="AR22" s="65"/>
      <c r="AS22" s="65"/>
      <c r="AT22" s="65"/>
      <c r="AU22" s="65"/>
    </row>
    <row r="23" spans="1:47" x14ac:dyDescent="0.2">
      <c r="B23" s="378">
        <f>B5</f>
        <v>2015</v>
      </c>
      <c r="C23" s="378"/>
      <c r="D23" s="378"/>
      <c r="E23" s="378"/>
      <c r="F23" s="1"/>
      <c r="G23" s="378">
        <f>G5</f>
        <v>2020</v>
      </c>
      <c r="H23" s="378"/>
      <c r="I23" s="378"/>
      <c r="J23" s="378"/>
      <c r="K23" s="1"/>
      <c r="L23" s="378">
        <f>L5</f>
        <v>2035</v>
      </c>
      <c r="M23" s="378"/>
      <c r="N23" s="378"/>
      <c r="O23" s="378"/>
      <c r="R23" s="378">
        <f>R5</f>
        <v>2015</v>
      </c>
      <c r="S23" s="378"/>
      <c r="T23" s="378"/>
      <c r="U23" s="378"/>
      <c r="V23" s="1"/>
      <c r="W23" s="378">
        <f>W5</f>
        <v>2020</v>
      </c>
      <c r="X23" s="378"/>
      <c r="Y23" s="378"/>
      <c r="Z23" s="378"/>
      <c r="AA23" s="1"/>
      <c r="AB23" s="378">
        <f>AB5</f>
        <v>2035</v>
      </c>
      <c r="AC23" s="378"/>
      <c r="AD23" s="378"/>
      <c r="AE23" s="378"/>
      <c r="AH23" s="378">
        <f>AH5</f>
        <v>2015</v>
      </c>
      <c r="AI23" s="378"/>
      <c r="AJ23" s="378"/>
      <c r="AK23" s="378"/>
      <c r="AL23" s="1"/>
      <c r="AM23" s="378">
        <f>AM5</f>
        <v>2020</v>
      </c>
      <c r="AN23" s="378"/>
      <c r="AO23" s="378"/>
      <c r="AP23" s="378"/>
      <c r="AQ23" s="1"/>
      <c r="AR23" s="378">
        <f>AR5</f>
        <v>2035</v>
      </c>
      <c r="AS23" s="378"/>
      <c r="AT23" s="378"/>
      <c r="AU23" s="378"/>
    </row>
    <row r="24" spans="1:47" x14ac:dyDescent="0.2">
      <c r="A24" s="41" t="s">
        <v>14</v>
      </c>
      <c r="B24" s="338" t="s">
        <v>345</v>
      </c>
      <c r="C24" s="338" t="s">
        <v>347</v>
      </c>
      <c r="D24" s="338" t="s">
        <v>343</v>
      </c>
      <c r="E24" s="338" t="s">
        <v>33</v>
      </c>
      <c r="F24" s="339"/>
      <c r="G24" s="338" t="s">
        <v>345</v>
      </c>
      <c r="H24" s="338" t="s">
        <v>347</v>
      </c>
      <c r="I24" s="338" t="s">
        <v>343</v>
      </c>
      <c r="J24" s="338" t="s">
        <v>33</v>
      </c>
      <c r="K24" s="339"/>
      <c r="L24" s="338" t="s">
        <v>345</v>
      </c>
      <c r="M24" s="338" t="s">
        <v>347</v>
      </c>
      <c r="N24" s="338" t="s">
        <v>343</v>
      </c>
      <c r="O24" s="338" t="s">
        <v>33</v>
      </c>
      <c r="Q24" s="41" t="s">
        <v>14</v>
      </c>
      <c r="R24" s="338" t="s">
        <v>345</v>
      </c>
      <c r="S24" s="338" t="s">
        <v>347</v>
      </c>
      <c r="T24" s="338" t="s">
        <v>343</v>
      </c>
      <c r="U24" s="338" t="s">
        <v>33</v>
      </c>
      <c r="V24" s="339"/>
      <c r="W24" s="338" t="s">
        <v>345</v>
      </c>
      <c r="X24" s="338" t="s">
        <v>347</v>
      </c>
      <c r="Y24" s="338" t="s">
        <v>343</v>
      </c>
      <c r="Z24" s="338" t="s">
        <v>33</v>
      </c>
      <c r="AA24" s="339"/>
      <c r="AB24" s="338" t="s">
        <v>345</v>
      </c>
      <c r="AC24" s="338" t="s">
        <v>347</v>
      </c>
      <c r="AD24" s="338" t="s">
        <v>343</v>
      </c>
      <c r="AE24" s="338" t="s">
        <v>33</v>
      </c>
      <c r="AG24" s="41" t="s">
        <v>14</v>
      </c>
      <c r="AH24" s="338" t="s">
        <v>345</v>
      </c>
      <c r="AI24" s="338" t="s">
        <v>347</v>
      </c>
      <c r="AJ24" s="338" t="s">
        <v>343</v>
      </c>
      <c r="AK24" s="338" t="s">
        <v>33</v>
      </c>
      <c r="AL24" s="339"/>
      <c r="AM24" s="338" t="s">
        <v>345</v>
      </c>
      <c r="AN24" s="338" t="s">
        <v>347</v>
      </c>
      <c r="AO24" s="338" t="s">
        <v>343</v>
      </c>
      <c r="AP24" s="338" t="s">
        <v>33</v>
      </c>
      <c r="AQ24" s="339"/>
      <c r="AR24" s="338" t="s">
        <v>345</v>
      </c>
      <c r="AS24" s="338" t="s">
        <v>347</v>
      </c>
      <c r="AT24" s="338" t="s">
        <v>343</v>
      </c>
      <c r="AU24" s="338" t="s">
        <v>33</v>
      </c>
    </row>
    <row r="25" spans="1:47" x14ac:dyDescent="0.2">
      <c r="A25" s="1"/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Q25" s="1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G25" s="1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</row>
    <row r="26" spans="1:47" x14ac:dyDescent="0.2">
      <c r="A26" t="str">
        <f>$A$8</f>
        <v>Managers, directors and senior officials</v>
      </c>
      <c r="B26" s="18">
        <f>B8/B$18*100</f>
        <v>14.486697592305983</v>
      </c>
      <c r="C26" s="18">
        <f t="shared" ref="C26:O26" si="22">C8/C$18*100</f>
        <v>4.4075180815800188</v>
      </c>
      <c r="D26" s="18">
        <f t="shared" si="22"/>
        <v>13.512014732682134</v>
      </c>
      <c r="E26" s="18">
        <f t="shared" si="22"/>
        <v>11.540211405399976</v>
      </c>
      <c r="F26" s="18"/>
      <c r="G26" s="18">
        <f t="shared" si="22"/>
        <v>15.445464487107174</v>
      </c>
      <c r="H26" s="18">
        <f t="shared" si="22"/>
        <v>6.1912001079739998</v>
      </c>
      <c r="I26" s="18">
        <f t="shared" si="22"/>
        <v>15.189178256721711</v>
      </c>
      <c r="J26" s="18">
        <f t="shared" si="22"/>
        <v>12.713955609542946</v>
      </c>
      <c r="K26" s="18"/>
      <c r="L26" s="18">
        <f t="shared" si="22"/>
        <v>16.210269409839125</v>
      </c>
      <c r="M26" s="18">
        <f t="shared" si="22"/>
        <v>7.6166602230996334</v>
      </c>
      <c r="N26" s="18">
        <f t="shared" si="22"/>
        <v>15.792920700043279</v>
      </c>
      <c r="O26" s="18">
        <f t="shared" si="22"/>
        <v>13.71717633613021</v>
      </c>
      <c r="Q26" t="str">
        <f>$A$8</f>
        <v>Managers, directors and senior officials</v>
      </c>
      <c r="R26" s="18">
        <f>R8/R$18*100</f>
        <v>16.275379002022383</v>
      </c>
      <c r="S26" s="18">
        <f t="shared" ref="S26:U26" si="23">S8/S$18*100</f>
        <v>5.5020302932187004</v>
      </c>
      <c r="T26" s="18">
        <f t="shared" si="23"/>
        <v>14.559757413409654</v>
      </c>
      <c r="U26" s="18">
        <f t="shared" si="23"/>
        <v>14.388652005346172</v>
      </c>
      <c r="V26" s="18"/>
      <c r="W26" s="18">
        <f t="shared" ref="W26:Z26" si="24">W8/W$18*100</f>
        <v>17.332449065585561</v>
      </c>
      <c r="X26" s="18">
        <f t="shared" si="24"/>
        <v>7.3200780870530906</v>
      </c>
      <c r="Y26" s="18">
        <f t="shared" si="24"/>
        <v>16.399037386104556</v>
      </c>
      <c r="Z26" s="18">
        <f t="shared" si="24"/>
        <v>15.473879833628418</v>
      </c>
      <c r="AA26" s="18"/>
      <c r="AB26" s="18">
        <f t="shared" ref="AB26:AE26" si="25">AB8/AB$18*100</f>
        <v>17.283095280377481</v>
      </c>
      <c r="AC26" s="18">
        <f t="shared" si="25"/>
        <v>8.4520745819859933</v>
      </c>
      <c r="AD26" s="18">
        <f t="shared" si="25"/>
        <v>17.249831057301353</v>
      </c>
      <c r="AE26" s="18">
        <f t="shared" si="25"/>
        <v>15.704156222395055</v>
      </c>
      <c r="AG26" t="str">
        <f>$A$8</f>
        <v>Managers, directors and senior officials</v>
      </c>
      <c r="AH26" s="18">
        <f>AH8/AH$18*100</f>
        <v>11.576303400527815</v>
      </c>
      <c r="AI26" s="18">
        <f t="shared" ref="AI26:AK26" si="26">AI8/AI$18*100</f>
        <v>3.987246536600265</v>
      </c>
      <c r="AJ26" s="18">
        <f t="shared" si="26"/>
        <v>11.917874023279715</v>
      </c>
      <c r="AK26" s="18">
        <f t="shared" si="26"/>
        <v>8.430200274746328</v>
      </c>
      <c r="AL26" s="18"/>
      <c r="AM26" s="18">
        <f t="shared" ref="AM26:AP26" si="27">AM8/AM$18*100</f>
        <v>12.588279495876966</v>
      </c>
      <c r="AN26" s="18">
        <f t="shared" si="27"/>
        <v>5.7068546129138076</v>
      </c>
      <c r="AO26" s="18">
        <f t="shared" si="27"/>
        <v>13.572256439734101</v>
      </c>
      <c r="AP26" s="18">
        <f t="shared" si="27"/>
        <v>9.8396417312894204</v>
      </c>
      <c r="AQ26" s="18"/>
      <c r="AR26" s="18">
        <f t="shared" ref="AR26:AU26" si="28">AR8/AR$18*100</f>
        <v>14.675513104553115</v>
      </c>
      <c r="AS26" s="18">
        <f t="shared" si="28"/>
        <v>7.2201741575204466</v>
      </c>
      <c r="AT26" s="18">
        <f t="shared" si="28"/>
        <v>13.791853304798895</v>
      </c>
      <c r="AU26" s="18">
        <f t="shared" si="28"/>
        <v>11.63559366823703</v>
      </c>
    </row>
    <row r="27" spans="1:47" x14ac:dyDescent="0.2">
      <c r="A27" t="str">
        <f>$A$9</f>
        <v>Professional occupations</v>
      </c>
      <c r="B27" s="18">
        <f t="shared" ref="B27:B34" si="29">B9/B$18*100</f>
        <v>25.938315609187622</v>
      </c>
      <c r="C27" s="18">
        <f t="shared" ref="C27:O27" si="30">C9/C$18*100</f>
        <v>12.989358685733285</v>
      </c>
      <c r="D27" s="18">
        <f t="shared" si="30"/>
        <v>21.406864928061569</v>
      </c>
      <c r="E27" s="18">
        <f t="shared" si="30"/>
        <v>21.665160439704458</v>
      </c>
      <c r="F27" s="18"/>
      <c r="G27" s="18">
        <f t="shared" si="30"/>
        <v>29.424088431948242</v>
      </c>
      <c r="H27" s="18">
        <f t="shared" si="30"/>
        <v>15.361308560584497</v>
      </c>
      <c r="I27" s="18">
        <f t="shared" si="30"/>
        <v>21.892323670287432</v>
      </c>
      <c r="J27" s="18">
        <f t="shared" si="30"/>
        <v>24.308493669620173</v>
      </c>
      <c r="K27" s="18"/>
      <c r="L27" s="18">
        <f t="shared" si="30"/>
        <v>32.744147503784419</v>
      </c>
      <c r="M27" s="18">
        <f t="shared" si="30"/>
        <v>17.715688405821993</v>
      </c>
      <c r="N27" s="18">
        <f t="shared" si="30"/>
        <v>19.624796493510402</v>
      </c>
      <c r="O27" s="18">
        <f t="shared" si="30"/>
        <v>26.638125980246436</v>
      </c>
      <c r="Q27" t="str">
        <f>$A$9</f>
        <v>Professional occupations</v>
      </c>
      <c r="R27" s="18">
        <f t="shared" ref="R27:U27" si="31">R9/R$18*100</f>
        <v>25.899858362007638</v>
      </c>
      <c r="S27" s="18">
        <f t="shared" si="31"/>
        <v>9.828800500154296</v>
      </c>
      <c r="T27" s="18">
        <f t="shared" si="31"/>
        <v>21.617712879776604</v>
      </c>
      <c r="U27" s="18">
        <f t="shared" si="31"/>
        <v>22.789104472810028</v>
      </c>
      <c r="V27" s="18"/>
      <c r="W27" s="18">
        <f t="shared" ref="W27:Z27" si="32">W9/W$18*100</f>
        <v>29.26428264506869</v>
      </c>
      <c r="X27" s="18">
        <f t="shared" si="32"/>
        <v>13.055491919201184</v>
      </c>
      <c r="Y27" s="18">
        <f t="shared" si="32"/>
        <v>20.909595628683448</v>
      </c>
      <c r="Z27" s="18">
        <f t="shared" si="32"/>
        <v>25.218966196277886</v>
      </c>
      <c r="AA27" s="18"/>
      <c r="AB27" s="18">
        <f t="shared" ref="AB27:AE27" si="33">AB9/AB$18*100</f>
        <v>32.451024355796534</v>
      </c>
      <c r="AC27" s="18">
        <f t="shared" si="33"/>
        <v>15.918767375838353</v>
      </c>
      <c r="AD27" s="18">
        <f t="shared" si="33"/>
        <v>17.670821987877051</v>
      </c>
      <c r="AE27" s="18">
        <f t="shared" si="33"/>
        <v>27.149013661033315</v>
      </c>
      <c r="AG27" t="str">
        <f>$A$9</f>
        <v>Professional occupations</v>
      </c>
      <c r="AH27" s="18">
        <f t="shared" ref="AH27:AK27" si="34">AH9/AH$18*100</f>
        <v>26.00089005548999</v>
      </c>
      <c r="AI27" s="18">
        <f>AI9/AI$18*100</f>
        <v>14.202951971881278</v>
      </c>
      <c r="AJ27" s="18">
        <f t="shared" si="34"/>
        <v>21.086059725118378</v>
      </c>
      <c r="AK27" s="18">
        <f t="shared" si="34"/>
        <v>20.438005324285811</v>
      </c>
      <c r="AL27" s="18"/>
      <c r="AM27" s="18">
        <f t="shared" ref="AM27:AP27" si="35">AM9/AM$18*100</f>
        <v>29.666058981676958</v>
      </c>
      <c r="AN27" s="18">
        <f t="shared" si="35"/>
        <v>16.350620003792827</v>
      </c>
      <c r="AO27" s="18">
        <f t="shared" si="35"/>
        <v>23.205695096798511</v>
      </c>
      <c r="AP27" s="18">
        <f t="shared" si="35"/>
        <v>23.360285093347422</v>
      </c>
      <c r="AQ27" s="18"/>
      <c r="AR27" s="18">
        <f t="shared" ref="AR27:AU27" si="36">AR9/AR$18*100</f>
        <v>33.163481723767319</v>
      </c>
      <c r="AS27" s="18">
        <f t="shared" si="36"/>
        <v>18.568503708499399</v>
      </c>
      <c r="AT27" s="18">
        <f t="shared" si="36"/>
        <v>22.308581844395249</v>
      </c>
      <c r="AU27" s="18">
        <f t="shared" si="36"/>
        <v>26.10291425066762</v>
      </c>
    </row>
    <row r="28" spans="1:47" x14ac:dyDescent="0.2">
      <c r="A28" t="str">
        <f>$A$10</f>
        <v>Associate professional occupations</v>
      </c>
      <c r="B28" s="18">
        <f t="shared" si="29"/>
        <v>15.166264724801717</v>
      </c>
      <c r="C28" s="18">
        <f t="shared" ref="C28:O28" si="37">C10/C$18*100</f>
        <v>8.2538636889260424</v>
      </c>
      <c r="D28" s="18">
        <f t="shared" si="37"/>
        <v>17.881128834482226</v>
      </c>
      <c r="E28" s="18">
        <f t="shared" si="37"/>
        <v>13.648748003813459</v>
      </c>
      <c r="F28" s="18"/>
      <c r="G28" s="18">
        <f t="shared" si="37"/>
        <v>16.360549458410123</v>
      </c>
      <c r="H28" s="18">
        <f t="shared" si="37"/>
        <v>9.1236844869187586</v>
      </c>
      <c r="I28" s="18">
        <f t="shared" si="37"/>
        <v>17.097613500074171</v>
      </c>
      <c r="J28" s="18">
        <f t="shared" si="37"/>
        <v>14.351136856490998</v>
      </c>
      <c r="K28" s="18"/>
      <c r="L28" s="18">
        <f t="shared" si="37"/>
        <v>16.010237797817435</v>
      </c>
      <c r="M28" s="18">
        <f t="shared" si="37"/>
        <v>9.0624663411586894</v>
      </c>
      <c r="N28" s="18">
        <f t="shared" si="37"/>
        <v>16.446820936504338</v>
      </c>
      <c r="O28" s="18">
        <f t="shared" si="37"/>
        <v>14.103702854425393</v>
      </c>
      <c r="Q28" t="str">
        <f>$A$10</f>
        <v>Associate professional occupations</v>
      </c>
      <c r="R28" s="18">
        <f t="shared" ref="R28:U28" si="38">R10/R$18*100</f>
        <v>15.428521482767918</v>
      </c>
      <c r="S28" s="18">
        <f t="shared" si="38"/>
        <v>8.2195410026548004</v>
      </c>
      <c r="T28" s="18">
        <f t="shared" si="38"/>
        <v>14.097437804504032</v>
      </c>
      <c r="U28" s="18">
        <f t="shared" si="38"/>
        <v>14.134539726295102</v>
      </c>
      <c r="V28" s="18"/>
      <c r="W28" s="18">
        <f t="shared" ref="W28:Z28" si="39">W10/W$18*100</f>
        <v>16.3821432774015</v>
      </c>
      <c r="X28" s="18">
        <f t="shared" si="39"/>
        <v>9.3724841209223406</v>
      </c>
      <c r="Y28" s="18">
        <f t="shared" si="39"/>
        <v>12.717639793251998</v>
      </c>
      <c r="Z28" s="18">
        <f t="shared" si="39"/>
        <v>14.624914430783223</v>
      </c>
      <c r="AA28" s="18"/>
      <c r="AB28" s="18">
        <f t="shared" ref="AB28:AE28" si="40">AB10/AB$18*100</f>
        <v>15.451779532130811</v>
      </c>
      <c r="AC28" s="18">
        <f t="shared" si="40"/>
        <v>7.7812720012860419</v>
      </c>
      <c r="AD28" s="18">
        <f t="shared" si="40"/>
        <v>11.810538173444399</v>
      </c>
      <c r="AE28" s="18">
        <f t="shared" si="40"/>
        <v>13.504502573647988</v>
      </c>
      <c r="AG28" t="str">
        <f>$A$10</f>
        <v>Associate professional occupations</v>
      </c>
      <c r="AH28" s="18">
        <f t="shared" ref="AH28:AK28" si="41">AH10/AH$18*100</f>
        <v>14.739542257070351</v>
      </c>
      <c r="AI28" s="18">
        <f t="shared" si="41"/>
        <v>8.2670429373927856</v>
      </c>
      <c r="AJ28" s="18">
        <f t="shared" si="41"/>
        <v>23.638015533514871</v>
      </c>
      <c r="AK28" s="18">
        <f t="shared" si="41"/>
        <v>13.11834632925305</v>
      </c>
      <c r="AL28" s="18"/>
      <c r="AM28" s="18">
        <f t="shared" ref="AM28:AP28" si="42">AM10/AM$18*100</f>
        <v>16.327853093941016</v>
      </c>
      <c r="AN28" s="18">
        <f t="shared" si="42"/>
        <v>9.0169369162020718</v>
      </c>
      <c r="AO28" s="18">
        <f t="shared" si="42"/>
        <v>22.951249574222306</v>
      </c>
      <c r="AP28" s="18">
        <f t="shared" si="42"/>
        <v>14.066012114849414</v>
      </c>
      <c r="AQ28" s="18"/>
      <c r="AR28" s="18">
        <f t="shared" ref="AR28:AU28" si="43">AR10/AR$18*100</f>
        <v>16.809153416874548</v>
      </c>
      <c r="AS28" s="18">
        <f t="shared" si="43"/>
        <v>9.6705187377389681</v>
      </c>
      <c r="AT28" s="18">
        <f t="shared" si="43"/>
        <v>22.814758556052293</v>
      </c>
      <c r="AU28" s="18">
        <f t="shared" si="43"/>
        <v>14.731431865516514</v>
      </c>
    </row>
    <row r="29" spans="1:47" x14ac:dyDescent="0.2">
      <c r="A29" t="str">
        <f>$A$11</f>
        <v>Administrative and secretarial occupations</v>
      </c>
      <c r="B29" s="18">
        <f t="shared" si="29"/>
        <v>10.180044515267838</v>
      </c>
      <c r="C29" s="18">
        <f t="shared" ref="C29:O29" si="44">C11/C$18*100</f>
        <v>15.740634526541502</v>
      </c>
      <c r="D29" s="18">
        <f t="shared" si="44"/>
        <v>4.3824519895781986</v>
      </c>
      <c r="E29" s="18">
        <f t="shared" si="44"/>
        <v>10.863318185085939</v>
      </c>
      <c r="F29" s="18"/>
      <c r="G29" s="18">
        <f t="shared" si="44"/>
        <v>9.6249925932608686</v>
      </c>
      <c r="H29" s="18">
        <f t="shared" si="44"/>
        <v>14.305883797402611</v>
      </c>
      <c r="I29" s="18">
        <f t="shared" si="44"/>
        <v>3.9425979107933862</v>
      </c>
      <c r="J29" s="18">
        <f t="shared" si="44"/>
        <v>10.221517628436814</v>
      </c>
      <c r="K29" s="18"/>
      <c r="L29" s="18">
        <f t="shared" si="44"/>
        <v>7.2994073215738391</v>
      </c>
      <c r="M29" s="18">
        <f t="shared" si="44"/>
        <v>11.214774995500285</v>
      </c>
      <c r="N29" s="18">
        <f t="shared" si="44"/>
        <v>3.8537658082894972</v>
      </c>
      <c r="O29" s="18">
        <f t="shared" si="44"/>
        <v>7.9228848841572965</v>
      </c>
      <c r="Q29" t="str">
        <f>$A$11</f>
        <v>Administrative and secretarial occupations</v>
      </c>
      <c r="R29" s="18">
        <f t="shared" ref="R29:U29" si="45">R11/R$18*100</f>
        <v>4.6340241586542454</v>
      </c>
      <c r="S29" s="18">
        <f t="shared" si="45"/>
        <v>5.4123314774300271</v>
      </c>
      <c r="T29" s="18">
        <f t="shared" si="45"/>
        <v>1.8960958419171188</v>
      </c>
      <c r="U29" s="18">
        <f t="shared" si="45"/>
        <v>4.2782388223437788</v>
      </c>
      <c r="V29" s="18"/>
      <c r="W29" s="18">
        <f t="shared" ref="W29:Z29" si="46">W11/W$18*100</f>
        <v>4.8675271868350123</v>
      </c>
      <c r="X29" s="18">
        <f t="shared" si="46"/>
        <v>5.7104953102585085</v>
      </c>
      <c r="Y29" s="18">
        <f t="shared" si="46"/>
        <v>1.5891096965690448</v>
      </c>
      <c r="Z29" s="18">
        <f t="shared" si="46"/>
        <v>4.5155583400668959</v>
      </c>
      <c r="AA29" s="18"/>
      <c r="AB29" s="18">
        <f t="shared" ref="AB29:AE29" si="47">AB11/AB$18*100</f>
        <v>4.7598959993650816</v>
      </c>
      <c r="AC29" s="18">
        <f t="shared" si="47"/>
        <v>4.3214035560607176</v>
      </c>
      <c r="AD29" s="18">
        <f t="shared" si="47"/>
        <v>2.0445495287539073</v>
      </c>
      <c r="AE29" s="18">
        <f t="shared" si="47"/>
        <v>4.2489156273573707</v>
      </c>
      <c r="AG29" t="str">
        <f>$A$11</f>
        <v>Administrative and secretarial occupations</v>
      </c>
      <c r="AH29" s="18">
        <f t="shared" ref="AH29:AK29" si="48">AH11/AH$18*100</f>
        <v>19.20406933360087</v>
      </c>
      <c r="AI29" s="18">
        <f t="shared" si="48"/>
        <v>19.70650337049932</v>
      </c>
      <c r="AJ29" s="18">
        <f t="shared" si="48"/>
        <v>8.1654433919207356</v>
      </c>
      <c r="AK29" s="18">
        <f t="shared" si="48"/>
        <v>18.053101294746927</v>
      </c>
      <c r="AL29" s="18"/>
      <c r="AM29" s="18">
        <f t="shared" ref="AM29:AP29" si="49">AM11/AM$18*100</f>
        <v>16.828527222302597</v>
      </c>
      <c r="AN29" s="18">
        <f t="shared" si="49"/>
        <v>17.993738259261001</v>
      </c>
      <c r="AO29" s="18">
        <f t="shared" si="49"/>
        <v>7.0879280960883602</v>
      </c>
      <c r="AP29" s="18">
        <f t="shared" si="49"/>
        <v>16.163969898750778</v>
      </c>
      <c r="AQ29" s="18"/>
      <c r="AR29" s="18">
        <f t="shared" ref="AR29:AU29" si="50">AR11/AR$18*100</f>
        <v>10.932365028074004</v>
      </c>
      <c r="AS29" s="18">
        <f t="shared" si="50"/>
        <v>14.486355967896673</v>
      </c>
      <c r="AT29" s="18">
        <f t="shared" si="50"/>
        <v>6.3387256343268206</v>
      </c>
      <c r="AU29" s="18">
        <f t="shared" si="50"/>
        <v>11.771776752762626</v>
      </c>
    </row>
    <row r="30" spans="1:47" x14ac:dyDescent="0.2">
      <c r="A30" t="str">
        <f>$A$12</f>
        <v>Skilled trades occupations</v>
      </c>
      <c r="B30" s="18">
        <f t="shared" si="29"/>
        <v>9.3582758640553596</v>
      </c>
      <c r="C30" s="18">
        <f t="shared" ref="C30:O30" si="51">C12/C$18*100</f>
        <v>3.356114932101939</v>
      </c>
      <c r="D30" s="18">
        <f t="shared" si="51"/>
        <v>20.934852491089014</v>
      </c>
      <c r="E30" s="18">
        <f t="shared" si="51"/>
        <v>9.4117972478472947</v>
      </c>
      <c r="F30" s="18"/>
      <c r="G30" s="18">
        <f t="shared" si="51"/>
        <v>7.561182129513873</v>
      </c>
      <c r="H30" s="18">
        <f t="shared" si="51"/>
        <v>2.7685395232709942</v>
      </c>
      <c r="I30" s="18">
        <f t="shared" si="51"/>
        <v>20.59475070320498</v>
      </c>
      <c r="J30" s="18">
        <f t="shared" si="51"/>
        <v>7.9250976547539862</v>
      </c>
      <c r="K30" s="18"/>
      <c r="L30" s="18">
        <f t="shared" si="51"/>
        <v>6.4573132555807637</v>
      </c>
      <c r="M30" s="18">
        <f t="shared" si="51"/>
        <v>3.3499272627083436</v>
      </c>
      <c r="N30" s="18">
        <f t="shared" si="51"/>
        <v>21.920210196597374</v>
      </c>
      <c r="O30" s="18">
        <f t="shared" si="51"/>
        <v>7.7563610248888697</v>
      </c>
      <c r="Q30" t="str">
        <f>$A$12</f>
        <v>Skilled trades occupations</v>
      </c>
      <c r="R30" s="18">
        <f t="shared" ref="R30:U30" si="52">R12/R$18*100</f>
        <v>13.748645714972465</v>
      </c>
      <c r="S30" s="18">
        <f t="shared" si="52"/>
        <v>7.4402816284371314</v>
      </c>
      <c r="T30" s="18">
        <f t="shared" si="52"/>
        <v>30.813451654475969</v>
      </c>
      <c r="U30" s="18">
        <f t="shared" si="52"/>
        <v>15.750841775981087</v>
      </c>
      <c r="V30" s="18"/>
      <c r="W30" s="18">
        <f t="shared" ref="W30:Z30" si="53">W12/W$18*100</f>
        <v>11.213531012693826</v>
      </c>
      <c r="X30" s="18">
        <f t="shared" si="53"/>
        <v>5.3474591482047984</v>
      </c>
      <c r="Y30" s="18">
        <f t="shared" si="53"/>
        <v>31.62043232531289</v>
      </c>
      <c r="Z30" s="18">
        <f t="shared" si="53"/>
        <v>13.298254434180956</v>
      </c>
      <c r="AA30" s="18"/>
      <c r="AB30" s="18">
        <f t="shared" ref="AB30:AE30" si="54">AB12/AB$18*100</f>
        <v>9.22922177464452</v>
      </c>
      <c r="AC30" s="18">
        <f t="shared" si="54"/>
        <v>6.0351344497669084</v>
      </c>
      <c r="AD30" s="18">
        <f t="shared" si="54"/>
        <v>32.394539029383004</v>
      </c>
      <c r="AE30" s="18">
        <f t="shared" si="54"/>
        <v>12.352753504175334</v>
      </c>
      <c r="AG30" t="str">
        <f>$A$12</f>
        <v>Skilled trades occupations</v>
      </c>
      <c r="AH30" s="18">
        <f t="shared" ref="AH30:AK30" si="55">AH12/AH$18*100</f>
        <v>2.2146297991627417</v>
      </c>
      <c r="AI30" s="18">
        <f t="shared" si="55"/>
        <v>1.7878738205168894</v>
      </c>
      <c r="AJ30" s="18">
        <f t="shared" si="55"/>
        <v>5.9045617833656827</v>
      </c>
      <c r="AK30" s="18">
        <f t="shared" si="55"/>
        <v>2.4906421988083194</v>
      </c>
      <c r="AL30" s="18"/>
      <c r="AM30" s="18">
        <f t="shared" ref="AM30:AP30" si="56">AM12/AM$18*100</f>
        <v>2.0309639545604008</v>
      </c>
      <c r="AN30" s="18">
        <f t="shared" si="56"/>
        <v>1.6620531486514964</v>
      </c>
      <c r="AO30" s="18">
        <f t="shared" si="56"/>
        <v>5.8594276155991709</v>
      </c>
      <c r="AP30" s="18">
        <f t="shared" si="56"/>
        <v>2.3292414474131959</v>
      </c>
      <c r="AQ30" s="18"/>
      <c r="AR30" s="18">
        <f t="shared" ref="AR30:AU30" si="57">AR12/AR$18*100</f>
        <v>2.4918942680853782</v>
      </c>
      <c r="AS30" s="18">
        <f t="shared" si="57"/>
        <v>2.0755330396056615</v>
      </c>
      <c r="AT30" s="18">
        <f t="shared" si="57"/>
        <v>7.5337122147983422</v>
      </c>
      <c r="AU30" s="18">
        <f t="shared" si="57"/>
        <v>2.9411281250214807</v>
      </c>
    </row>
    <row r="31" spans="1:47" x14ac:dyDescent="0.2">
      <c r="A31" t="str">
        <f>$A$13</f>
        <v>Caring, leisure and other service occupations</v>
      </c>
      <c r="B31" s="18">
        <f t="shared" si="29"/>
        <v>7.585344346434578</v>
      </c>
      <c r="C31" s="18">
        <f t="shared" ref="C31:O31" si="58">C13/C$18*100</f>
        <v>13.637044575485932</v>
      </c>
      <c r="D31" s="18">
        <f t="shared" si="58"/>
        <v>8.6569376680112136</v>
      </c>
      <c r="E31" s="18">
        <f t="shared" si="58"/>
        <v>9.4268025382926339</v>
      </c>
      <c r="F31" s="18"/>
      <c r="G31" s="18">
        <f t="shared" si="58"/>
        <v>7.051001851847734</v>
      </c>
      <c r="H31" s="18">
        <f t="shared" si="58"/>
        <v>12.9907135901493</v>
      </c>
      <c r="I31" s="18">
        <f t="shared" si="58"/>
        <v>9.6160456621506292</v>
      </c>
      <c r="J31" s="18">
        <f t="shared" si="58"/>
        <v>9.1284499741779079</v>
      </c>
      <c r="K31" s="18"/>
      <c r="L31" s="18">
        <f t="shared" si="58"/>
        <v>7.7865085553923175</v>
      </c>
      <c r="M31" s="18">
        <f t="shared" si="58"/>
        <v>13.074447183834307</v>
      </c>
      <c r="N31" s="18">
        <f t="shared" si="58"/>
        <v>9.7997264112251656</v>
      </c>
      <c r="O31" s="18">
        <f t="shared" si="58"/>
        <v>9.5681326283261203</v>
      </c>
      <c r="Q31" t="str">
        <f>$A$13</f>
        <v>Caring, leisure and other service occupations</v>
      </c>
      <c r="R31" s="18">
        <f t="shared" ref="R31:U31" si="59">R13/R$18*100</f>
        <v>3.8913438571691565</v>
      </c>
      <c r="S31" s="18">
        <f t="shared" si="59"/>
        <v>7.5927831995196833</v>
      </c>
      <c r="T31" s="18">
        <f t="shared" si="59"/>
        <v>1.7900752416835426</v>
      </c>
      <c r="U31" s="18">
        <f t="shared" si="59"/>
        <v>4.0769144866771416</v>
      </c>
      <c r="V31" s="18"/>
      <c r="W31" s="18">
        <f t="shared" ref="W31:Z31" si="60">W13/W$18*100</f>
        <v>3.6334938268960024</v>
      </c>
      <c r="X31" s="18">
        <f t="shared" si="60"/>
        <v>7.4003368198391204</v>
      </c>
      <c r="Y31" s="18">
        <f t="shared" si="60"/>
        <v>1.8055958123069686</v>
      </c>
      <c r="Z31" s="18">
        <f t="shared" si="60"/>
        <v>4.0026847574391073</v>
      </c>
      <c r="AA31" s="18"/>
      <c r="AB31" s="18">
        <f t="shared" ref="AB31:AE31" si="61">AB13/AB$18*100</f>
        <v>4.5990466143353776</v>
      </c>
      <c r="AC31" s="18">
        <f t="shared" si="61"/>
        <v>8.3363344674634625</v>
      </c>
      <c r="AD31" s="18">
        <f t="shared" si="61"/>
        <v>2.4123135828970463</v>
      </c>
      <c r="AE31" s="18">
        <f t="shared" si="61"/>
        <v>4.9164303635208215</v>
      </c>
      <c r="AG31" t="str">
        <f>$A$13</f>
        <v>Caring, leisure and other service occupations</v>
      </c>
      <c r="AH31" s="18">
        <f t="shared" ref="AH31:AK31" si="62">AH13/AH$18*100</f>
        <v>13.595915882529654</v>
      </c>
      <c r="AI31" s="18">
        <f t="shared" si="62"/>
        <v>15.957924178040225</v>
      </c>
      <c r="AJ31" s="18">
        <f t="shared" si="62"/>
        <v>19.10487029596699</v>
      </c>
      <c r="AK31" s="18">
        <f t="shared" si="62"/>
        <v>15.267967486085274</v>
      </c>
      <c r="AL31" s="18"/>
      <c r="AM31" s="18">
        <f t="shared" ref="AM31:AP31" si="63">AM13/AM$18*100</f>
        <v>12.22563483383775</v>
      </c>
      <c r="AN31" s="18">
        <f t="shared" si="63"/>
        <v>15.389266715082908</v>
      </c>
      <c r="AO31" s="18">
        <f t="shared" si="63"/>
        <v>20.054357409355365</v>
      </c>
      <c r="AP31" s="18">
        <f t="shared" si="63"/>
        <v>14.466661063659329</v>
      </c>
      <c r="AQ31" s="18"/>
      <c r="AR31" s="18">
        <f t="shared" ref="AR31:AU31" si="64">AR13/AR$18*100</f>
        <v>12.34640727357055</v>
      </c>
      <c r="AS31" s="18">
        <f t="shared" si="64"/>
        <v>15.323146466054965</v>
      </c>
      <c r="AT31" s="18">
        <f t="shared" si="64"/>
        <v>19.946343100668351</v>
      </c>
      <c r="AU31" s="18">
        <f t="shared" si="64"/>
        <v>14.441308686902243</v>
      </c>
    </row>
    <row r="32" spans="1:47" x14ac:dyDescent="0.2">
      <c r="A32" t="str">
        <f>$A$14</f>
        <v>Sales and customer service occupations</v>
      </c>
      <c r="B32" s="18">
        <f t="shared" si="29"/>
        <v>4.8963460043086906</v>
      </c>
      <c r="C32" s="18">
        <f t="shared" ref="C32:O32" si="65">C14/C$18*100</f>
        <v>15.991438321711641</v>
      </c>
      <c r="D32" s="18">
        <f t="shared" si="65"/>
        <v>3.8242233858949635</v>
      </c>
      <c r="E32" s="18">
        <f t="shared" si="65"/>
        <v>7.8207770537260108</v>
      </c>
      <c r="F32" s="18"/>
      <c r="G32" s="18">
        <f t="shared" si="65"/>
        <v>4.469108122544009</v>
      </c>
      <c r="H32" s="18">
        <f t="shared" si="65"/>
        <v>16.213131966280013</v>
      </c>
      <c r="I32" s="18">
        <f t="shared" si="65"/>
        <v>2.6890994970979394</v>
      </c>
      <c r="J32" s="18">
        <f t="shared" si="65"/>
        <v>7.6511201533016733</v>
      </c>
      <c r="K32" s="18"/>
      <c r="L32" s="18">
        <f t="shared" si="65"/>
        <v>4.2591110032980541</v>
      </c>
      <c r="M32" s="18">
        <f t="shared" si="65"/>
        <v>15.543389532834315</v>
      </c>
      <c r="N32" s="18">
        <f t="shared" si="65"/>
        <v>2.2016947388776886</v>
      </c>
      <c r="O32" s="18">
        <f t="shared" si="65"/>
        <v>7.165597193244416</v>
      </c>
      <c r="Q32" t="str">
        <f>$A$14</f>
        <v>Sales and customer service occupations</v>
      </c>
      <c r="R32" s="18">
        <f t="shared" ref="R32:U32" si="66">R14/R$18*100</f>
        <v>4.142773528616492</v>
      </c>
      <c r="S32" s="18">
        <f t="shared" si="66"/>
        <v>19.119930420763403</v>
      </c>
      <c r="T32" s="18">
        <f t="shared" si="66"/>
        <v>3.4937267621529924</v>
      </c>
      <c r="U32" s="18">
        <f t="shared" si="66"/>
        <v>6.2440039674551562</v>
      </c>
      <c r="V32" s="18"/>
      <c r="W32" s="18">
        <f t="shared" ref="W32:Z32" si="67">W14/W$18*100</f>
        <v>4.001853952750837</v>
      </c>
      <c r="X32" s="18">
        <f t="shared" si="67"/>
        <v>19.170788804619445</v>
      </c>
      <c r="Y32" s="18">
        <f t="shared" si="67"/>
        <v>2.6950429542947747</v>
      </c>
      <c r="Z32" s="18">
        <f t="shared" si="67"/>
        <v>6.4055115158402787</v>
      </c>
      <c r="AA32" s="18"/>
      <c r="AB32" s="18">
        <f>AB14/AB$18*100</f>
        <v>4.1759938113192856</v>
      </c>
      <c r="AC32" s="18">
        <f t="shared" ref="AC32:AE32" si="68">AC14/AC$18*100</f>
        <v>18.266541934043133</v>
      </c>
      <c r="AD32" s="18">
        <f t="shared" si="68"/>
        <v>2.1943516783807953</v>
      </c>
      <c r="AE32" s="18">
        <f t="shared" si="68"/>
        <v>6.3709611263522534</v>
      </c>
      <c r="AG32" t="str">
        <f>$A$14</f>
        <v>Sales and customer service occupations</v>
      </c>
      <c r="AH32" s="18">
        <f t="shared" ref="AH32:AK32" si="69">AH14/AH$18*100</f>
        <v>6.1224967008076305</v>
      </c>
      <c r="AI32" s="18">
        <f t="shared" si="69"/>
        <v>14.790157793322715</v>
      </c>
      <c r="AJ32" s="18">
        <f t="shared" si="69"/>
        <v>4.3270740685275548</v>
      </c>
      <c r="AK32" s="18">
        <f t="shared" si="69"/>
        <v>9.5423442329433303</v>
      </c>
      <c r="AL32" s="18"/>
      <c r="AM32" s="18">
        <f t="shared" ref="AM32:AP32" si="70">AM14/AM$18*100</f>
        <v>5.1766028293101378</v>
      </c>
      <c r="AN32" s="18">
        <f t="shared" si="70"/>
        <v>14.944148256674557</v>
      </c>
      <c r="AO32" s="18">
        <f t="shared" si="70"/>
        <v>2.6811563362980637</v>
      </c>
      <c r="AP32" s="18">
        <f t="shared" si="70"/>
        <v>8.9483551144224212</v>
      </c>
      <c r="AQ32" s="18"/>
      <c r="AR32" s="18">
        <f t="shared" ref="AR32:AU32" si="71">AR14/AR$18*100</f>
        <v>4.3780162590065785</v>
      </c>
      <c r="AS32" s="18">
        <f t="shared" si="71"/>
        <v>14.25098658327636</v>
      </c>
      <c r="AT32" s="18">
        <f t="shared" si="71"/>
        <v>2.2117804376088701</v>
      </c>
      <c r="AU32" s="18">
        <f t="shared" si="71"/>
        <v>7.9980669507692062</v>
      </c>
    </row>
    <row r="33" spans="1:47" x14ac:dyDescent="0.2">
      <c r="A33" t="str">
        <f>$A$15</f>
        <v>Process, plant and machine operatives</v>
      </c>
      <c r="B33" s="18">
        <f t="shared" si="29"/>
        <v>5.0908847501501198</v>
      </c>
      <c r="C33" s="18">
        <f t="shared" ref="C33:O33" si="72">C15/C$18*100</f>
        <v>2.4467731655250917</v>
      </c>
      <c r="D33" s="18">
        <f t="shared" si="72"/>
        <v>5.2342808700082388</v>
      </c>
      <c r="E33" s="18">
        <f t="shared" si="72"/>
        <v>4.3772791636321751</v>
      </c>
      <c r="F33" s="18"/>
      <c r="G33" s="18">
        <f t="shared" si="72"/>
        <v>4.1836975828866141</v>
      </c>
      <c r="H33" s="18">
        <f t="shared" si="72"/>
        <v>2.6478229716133406</v>
      </c>
      <c r="I33" s="18">
        <f t="shared" si="72"/>
        <v>5.3304961336071637</v>
      </c>
      <c r="J33" s="18">
        <f t="shared" si="72"/>
        <v>3.891022294195952</v>
      </c>
      <c r="K33" s="18"/>
      <c r="L33" s="18">
        <f t="shared" si="72"/>
        <v>3.9374690073322367</v>
      </c>
      <c r="M33" s="18">
        <f t="shared" si="72"/>
        <v>3.5137081349930925</v>
      </c>
      <c r="N33" s="18">
        <f t="shared" si="72"/>
        <v>6.0222677964615476</v>
      </c>
      <c r="O33" s="18">
        <f t="shared" si="72"/>
        <v>4.1112532396272528</v>
      </c>
      <c r="Q33" t="str">
        <f>$A$15</f>
        <v>Process, plant and machine operatives</v>
      </c>
      <c r="R33" s="18">
        <f t="shared" ref="R33:U33" si="73">R15/R$18*100</f>
        <v>7.5115485119378569</v>
      </c>
      <c r="S33" s="18">
        <f t="shared" si="73"/>
        <v>6.7338909026725684</v>
      </c>
      <c r="T33" s="18">
        <f t="shared" si="73"/>
        <v>7.317269559764779</v>
      </c>
      <c r="U33" s="18">
        <f t="shared" si="73"/>
        <v>7.3632461878363902</v>
      </c>
      <c r="V33" s="18"/>
      <c r="W33" s="18">
        <f t="shared" ref="W33:Z33" si="74">W15/W$18*100</f>
        <v>6.3791387799956594</v>
      </c>
      <c r="X33" s="18">
        <f t="shared" si="74"/>
        <v>7.2812459502721651</v>
      </c>
      <c r="Y33" s="18">
        <f t="shared" si="74"/>
        <v>7.7636671450037085</v>
      </c>
      <c r="Z33" s="18">
        <f t="shared" si="74"/>
        <v>6.7435554418339887</v>
      </c>
      <c r="AA33" s="18"/>
      <c r="AB33" s="18">
        <f t="shared" ref="AB33:AE33" si="75">AB15/AB$18*100</f>
        <v>6.0740271347040773</v>
      </c>
      <c r="AC33" s="18">
        <f t="shared" si="75"/>
        <v>7.9836515200622165</v>
      </c>
      <c r="AD33" s="18">
        <f t="shared" si="75"/>
        <v>8.7003212146818001</v>
      </c>
      <c r="AE33" s="18">
        <f t="shared" si="75"/>
        <v>6.8329591430783143</v>
      </c>
      <c r="AG33" t="str">
        <f>$A$15</f>
        <v>Process, plant and machine operatives</v>
      </c>
      <c r="AH33" s="18">
        <f t="shared" ref="AH33:AK33" si="76">AH15/AH$18*100</f>
        <v>1.1521812368889404</v>
      </c>
      <c r="AI33" s="18">
        <f t="shared" si="76"/>
        <v>0.80060277496952281</v>
      </c>
      <c r="AJ33" s="18">
        <f t="shared" si="76"/>
        <v>2.0650131398246927</v>
      </c>
      <c r="AK33" s="18">
        <f t="shared" si="76"/>
        <v>1.1171126426187872</v>
      </c>
      <c r="AL33" s="18"/>
      <c r="AM33" s="18">
        <f t="shared" ref="AM33:AP33" si="77">AM15/AM$18*100</f>
        <v>0.85946181061199267</v>
      </c>
      <c r="AN33" s="18">
        <f t="shared" si="77"/>
        <v>0.6598512084892868</v>
      </c>
      <c r="AO33" s="18">
        <f t="shared" si="77"/>
        <v>2.0786735062937121</v>
      </c>
      <c r="AP33" s="18">
        <f t="shared" si="77"/>
        <v>0.92026116137860581</v>
      </c>
      <c r="AQ33" s="18"/>
      <c r="AR33" s="18">
        <f t="shared" ref="AR33:AU33" si="78">AR15/AR$18*100</f>
        <v>0.88096547992523155</v>
      </c>
      <c r="AS33" s="18">
        <f t="shared" si="78"/>
        <v>1.3922815072891173</v>
      </c>
      <c r="AT33" s="18">
        <f t="shared" si="78"/>
        <v>2.3439595524259147</v>
      </c>
      <c r="AU33" s="18">
        <f t="shared" si="78"/>
        <v>1.2599632618629226</v>
      </c>
    </row>
    <row r="34" spans="1:47" x14ac:dyDescent="0.2">
      <c r="A34" t="str">
        <f>$A$16</f>
        <v>Elementary occupations</v>
      </c>
      <c r="B34" s="18">
        <f t="shared" si="29"/>
        <v>7.2978265934880948</v>
      </c>
      <c r="C34" s="18">
        <f t="shared" ref="C34:O34" si="79">C16/C$18*100</f>
        <v>23.177254022394536</v>
      </c>
      <c r="D34" s="18">
        <f t="shared" si="79"/>
        <v>4.1672451001924378</v>
      </c>
      <c r="E34" s="18">
        <f t="shared" si="79"/>
        <v>11.24590596249806</v>
      </c>
      <c r="F34" s="18"/>
      <c r="G34" s="18">
        <f t="shared" si="79"/>
        <v>5.8799153424813708</v>
      </c>
      <c r="H34" s="18">
        <f t="shared" si="79"/>
        <v>20.397714995806474</v>
      </c>
      <c r="I34" s="18">
        <f t="shared" si="79"/>
        <v>3.6478946660625908</v>
      </c>
      <c r="J34" s="18">
        <f t="shared" si="79"/>
        <v>9.8092061594795457</v>
      </c>
      <c r="K34" s="18"/>
      <c r="L34" s="18">
        <f t="shared" si="79"/>
        <v>5.2955361453818144</v>
      </c>
      <c r="M34" s="18">
        <f t="shared" si="79"/>
        <v>18.908937920049336</v>
      </c>
      <c r="N34" s="18">
        <f t="shared" si="79"/>
        <v>4.3377969184907164</v>
      </c>
      <c r="O34" s="18">
        <f t="shared" si="79"/>
        <v>9.0167658589540061</v>
      </c>
      <c r="Q34" t="str">
        <f>$A$16</f>
        <v>Elementary occupations</v>
      </c>
      <c r="R34" s="18">
        <f t="shared" ref="R34:U34" si="80">R16/R$18*100</f>
        <v>8.4679053818518231</v>
      </c>
      <c r="S34" s="18">
        <f t="shared" si="80"/>
        <v>30.15041057514939</v>
      </c>
      <c r="T34" s="18">
        <f t="shared" si="80"/>
        <v>4.4144728423153179</v>
      </c>
      <c r="U34" s="18">
        <f t="shared" si="80"/>
        <v>10.974458555255124</v>
      </c>
      <c r="V34" s="18"/>
      <c r="W34" s="18">
        <f t="shared" ref="W34:Z34" si="81">W16/W$18*100</f>
        <v>6.9255802527729076</v>
      </c>
      <c r="X34" s="18">
        <f t="shared" si="81"/>
        <v>25.341619839629342</v>
      </c>
      <c r="Y34" s="18">
        <f t="shared" si="81"/>
        <v>4.4998792584725988</v>
      </c>
      <c r="Z34" s="18">
        <f t="shared" si="81"/>
        <v>9.7166750499492416</v>
      </c>
      <c r="AA34" s="18"/>
      <c r="AB34" s="18">
        <f t="shared" ref="AB34:AE34" si="82">AB16/AB$18*100</f>
        <v>5.9759154973268389</v>
      </c>
      <c r="AC34" s="18">
        <f t="shared" si="82"/>
        <v>22.904820113493191</v>
      </c>
      <c r="AD34" s="18">
        <f t="shared" si="82"/>
        <v>5.5227337472806441</v>
      </c>
      <c r="AE34" s="18">
        <f t="shared" si="82"/>
        <v>8.9203077784395575</v>
      </c>
      <c r="AG34" t="str">
        <f>$A$16</f>
        <v>Elementary occupations</v>
      </c>
      <c r="AH34" s="18">
        <f t="shared" ref="AH34:AK34" si="83">AH16/AH$18*100</f>
        <v>5.3939713339220159</v>
      </c>
      <c r="AI34" s="18">
        <f t="shared" si="83"/>
        <v>20.499696616777001</v>
      </c>
      <c r="AJ34" s="18">
        <f t="shared" si="83"/>
        <v>3.7910880384813779</v>
      </c>
      <c r="AK34" s="18">
        <f t="shared" si="83"/>
        <v>11.542280216512186</v>
      </c>
      <c r="AL34" s="18"/>
      <c r="AM34" s="18">
        <f t="shared" ref="AM34:AP34" si="84">AM16/AM$18*100</f>
        <v>4.2966177778821866</v>
      </c>
      <c r="AN34" s="18">
        <f t="shared" si="84"/>
        <v>18.276530878932043</v>
      </c>
      <c r="AO34" s="18">
        <f t="shared" si="84"/>
        <v>2.5092559256104185</v>
      </c>
      <c r="AP34" s="18">
        <f t="shared" si="84"/>
        <v>9.9055723748894202</v>
      </c>
      <c r="AQ34" s="18"/>
      <c r="AR34" s="18">
        <f t="shared" ref="AR34:AU34" si="85">AR16/AR$18*100</f>
        <v>4.3222034461432832</v>
      </c>
      <c r="AS34" s="18">
        <f t="shared" si="85"/>
        <v>17.012499832118419</v>
      </c>
      <c r="AT34" s="18">
        <f t="shared" si="85"/>
        <v>2.7102853549252659</v>
      </c>
      <c r="AU34" s="18">
        <f t="shared" si="85"/>
        <v>9.1178164382603573</v>
      </c>
    </row>
    <row r="35" spans="1:47" x14ac:dyDescent="0.2">
      <c r="B35" s="18"/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H35" s="18"/>
      <c r="AI35" s="18"/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18"/>
      <c r="AU35" s="18"/>
    </row>
    <row r="36" spans="1:47" x14ac:dyDescent="0.2">
      <c r="A36" s="24" t="str">
        <f>$A$18</f>
        <v>All occupations</v>
      </c>
      <c r="B36" s="26">
        <f>B18/B$18*100</f>
        <v>100</v>
      </c>
      <c r="C36" s="26">
        <f t="shared" ref="C36:O36" si="86">C18/C$18*100</f>
        <v>100</v>
      </c>
      <c r="D36" s="26">
        <f t="shared" si="86"/>
        <v>100</v>
      </c>
      <c r="E36" s="26">
        <f t="shared" si="86"/>
        <v>100</v>
      </c>
      <c r="F36" s="26"/>
      <c r="G36" s="26">
        <f t="shared" si="86"/>
        <v>100</v>
      </c>
      <c r="H36" s="26">
        <f t="shared" si="86"/>
        <v>100</v>
      </c>
      <c r="I36" s="26">
        <f t="shared" si="86"/>
        <v>100</v>
      </c>
      <c r="J36" s="26">
        <f t="shared" si="86"/>
        <v>100</v>
      </c>
      <c r="K36" s="26"/>
      <c r="L36" s="26">
        <f t="shared" si="86"/>
        <v>100</v>
      </c>
      <c r="M36" s="26">
        <f t="shared" si="86"/>
        <v>100</v>
      </c>
      <c r="N36" s="26">
        <f t="shared" si="86"/>
        <v>100</v>
      </c>
      <c r="O36" s="26">
        <f t="shared" si="86"/>
        <v>100</v>
      </c>
      <c r="Q36" s="24" t="str">
        <f>$A$18</f>
        <v>All occupations</v>
      </c>
      <c r="R36" s="26">
        <f>R18/R$18*100</f>
        <v>100</v>
      </c>
      <c r="S36" s="26">
        <f t="shared" ref="S36:U36" si="87">S18/S$18*100</f>
        <v>100</v>
      </c>
      <c r="T36" s="26">
        <f t="shared" si="87"/>
        <v>100</v>
      </c>
      <c r="U36" s="26">
        <f t="shared" si="87"/>
        <v>100</v>
      </c>
      <c r="V36" s="26"/>
      <c r="W36" s="26">
        <f t="shared" ref="W36:Z36" si="88">W18/W$18*100</f>
        <v>100</v>
      </c>
      <c r="X36" s="26">
        <f t="shared" si="88"/>
        <v>100</v>
      </c>
      <c r="Y36" s="26">
        <f t="shared" si="88"/>
        <v>100</v>
      </c>
      <c r="Z36" s="26">
        <f t="shared" si="88"/>
        <v>100</v>
      </c>
      <c r="AA36" s="26"/>
      <c r="AB36" s="26">
        <f t="shared" ref="AB36:AE36" si="89">AB18/AB$18*100</f>
        <v>100</v>
      </c>
      <c r="AC36" s="26">
        <f t="shared" si="89"/>
        <v>100</v>
      </c>
      <c r="AD36" s="26">
        <f t="shared" si="89"/>
        <v>100</v>
      </c>
      <c r="AE36" s="26">
        <f t="shared" si="89"/>
        <v>100</v>
      </c>
      <c r="AG36" s="24" t="str">
        <f>$A$18</f>
        <v>All occupations</v>
      </c>
      <c r="AH36" s="26">
        <f>AH18/AH$18*100</f>
        <v>100</v>
      </c>
      <c r="AI36" s="26">
        <f t="shared" ref="AI36:AK36" si="90">AI18/AI$18*100</f>
        <v>100</v>
      </c>
      <c r="AJ36" s="26">
        <f t="shared" si="90"/>
        <v>100</v>
      </c>
      <c r="AK36" s="26">
        <f t="shared" si="90"/>
        <v>100</v>
      </c>
      <c r="AL36" s="26"/>
      <c r="AM36" s="26">
        <f t="shared" ref="AM36:AP36" si="91">AM18/AM$18*100</f>
        <v>100</v>
      </c>
      <c r="AN36" s="26">
        <f t="shared" si="91"/>
        <v>100</v>
      </c>
      <c r="AO36" s="26">
        <f t="shared" si="91"/>
        <v>100</v>
      </c>
      <c r="AP36" s="26">
        <f t="shared" si="91"/>
        <v>100</v>
      </c>
      <c r="AQ36" s="26"/>
      <c r="AR36" s="26">
        <f t="shared" ref="AR36:AU36" si="92">AR18/AR$18*100</f>
        <v>100</v>
      </c>
      <c r="AS36" s="26">
        <f t="shared" si="92"/>
        <v>100</v>
      </c>
      <c r="AT36" s="26">
        <f t="shared" si="92"/>
        <v>100</v>
      </c>
      <c r="AU36" s="26">
        <f t="shared" si="92"/>
        <v>100</v>
      </c>
    </row>
    <row r="37" spans="1:47" x14ac:dyDescent="0.2"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H37" s="18"/>
      <c r="AI37" s="18"/>
      <c r="AJ37" s="18"/>
      <c r="AK37" s="18"/>
      <c r="AL37" s="18"/>
      <c r="AM37" s="18"/>
      <c r="AN37" s="18"/>
      <c r="AO37" s="18"/>
      <c r="AP37" s="18"/>
      <c r="AQ37" s="18"/>
      <c r="AR37" s="18"/>
      <c r="AS37" s="18"/>
      <c r="AT37" s="18"/>
      <c r="AU37" s="18"/>
    </row>
    <row r="38" spans="1:47" x14ac:dyDescent="0.2"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H38" s="18"/>
      <c r="AI38" s="18"/>
      <c r="AJ38" s="18"/>
      <c r="AK38" s="18"/>
      <c r="AL38" s="18"/>
      <c r="AM38" s="18"/>
      <c r="AN38" s="18"/>
      <c r="AO38" s="18"/>
      <c r="AP38" s="18"/>
      <c r="AQ38" s="18"/>
      <c r="AR38" s="18"/>
      <c r="AS38" s="18"/>
      <c r="AT38" s="18"/>
      <c r="AU38" s="18"/>
    </row>
    <row r="39" spans="1:47" x14ac:dyDescent="0.2"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H39" s="18"/>
      <c r="AI39" s="18"/>
      <c r="AJ39" s="18"/>
      <c r="AK39" s="18"/>
      <c r="AL39" s="18"/>
      <c r="AM39" s="18"/>
      <c r="AN39" s="18"/>
      <c r="AO39" s="18"/>
      <c r="AP39" s="18"/>
      <c r="AQ39" s="18"/>
      <c r="AR39" s="18"/>
      <c r="AS39" s="18"/>
      <c r="AT39" s="18"/>
      <c r="AU39" s="18"/>
    </row>
    <row r="40" spans="1:47" x14ac:dyDescent="0.2">
      <c r="A40" s="36"/>
      <c r="B40" s="66"/>
      <c r="C40" s="66"/>
      <c r="D40" s="66"/>
      <c r="E40" s="66"/>
      <c r="F40" s="66"/>
      <c r="G40" s="66"/>
      <c r="H40" s="66"/>
      <c r="I40" s="66"/>
      <c r="J40" s="66"/>
      <c r="K40" s="66"/>
      <c r="L40" s="66"/>
      <c r="M40" s="66"/>
      <c r="N40" s="66"/>
      <c r="O40" s="66"/>
      <c r="Q40" s="36"/>
      <c r="R40" s="66"/>
      <c r="S40" s="66"/>
      <c r="T40" s="66"/>
      <c r="U40" s="66"/>
      <c r="V40" s="66"/>
      <c r="W40" s="66"/>
      <c r="X40" s="66"/>
      <c r="Y40" s="66"/>
      <c r="Z40" s="66"/>
      <c r="AA40" s="66"/>
      <c r="AB40" s="66"/>
      <c r="AC40" s="66"/>
      <c r="AD40" s="66"/>
      <c r="AE40" s="66"/>
      <c r="AG40" s="36"/>
      <c r="AH40" s="66"/>
      <c r="AI40" s="66"/>
      <c r="AJ40" s="66"/>
      <c r="AK40" s="66"/>
      <c r="AL40" s="66"/>
      <c r="AM40" s="66"/>
      <c r="AN40" s="66"/>
      <c r="AO40" s="66"/>
      <c r="AP40" s="66"/>
      <c r="AQ40" s="66"/>
      <c r="AR40" s="66"/>
      <c r="AS40" s="66"/>
      <c r="AT40" s="66"/>
      <c r="AU40" s="66"/>
    </row>
    <row r="41" spans="1:47" x14ac:dyDescent="0.2">
      <c r="B41" s="378" t="str">
        <f>B5&amp;"-"&amp;G5</f>
        <v>2015-2020</v>
      </c>
      <c r="C41" s="378"/>
      <c r="D41" s="378"/>
      <c r="E41" s="378"/>
      <c r="F41" s="1"/>
      <c r="G41" s="378" t="str">
        <f>G5&amp;"-"&amp;L5</f>
        <v>2020-2035</v>
      </c>
      <c r="H41" s="378"/>
      <c r="I41" s="378"/>
      <c r="J41" s="378"/>
      <c r="K41" s="1"/>
      <c r="L41" s="378" t="str">
        <f>B5&amp;"-"&amp;L5</f>
        <v>2015-2035</v>
      </c>
      <c r="M41" s="378"/>
      <c r="N41" s="378"/>
      <c r="O41" s="378"/>
      <c r="R41" s="378" t="str">
        <f>R5&amp;"-"&amp;W5</f>
        <v>2015-2020</v>
      </c>
      <c r="S41" s="378"/>
      <c r="T41" s="378"/>
      <c r="U41" s="378"/>
      <c r="V41" s="1"/>
      <c r="W41" s="378" t="str">
        <f>W5&amp;"-"&amp;AB5</f>
        <v>2020-2035</v>
      </c>
      <c r="X41" s="378"/>
      <c r="Y41" s="378"/>
      <c r="Z41" s="378"/>
      <c r="AA41" s="1"/>
      <c r="AB41" s="378" t="str">
        <f>R5&amp;"-"&amp;AB5</f>
        <v>2015-2035</v>
      </c>
      <c r="AC41" s="378"/>
      <c r="AD41" s="378"/>
      <c r="AE41" s="378"/>
      <c r="AH41" s="378" t="str">
        <f>AH5&amp;"-"&amp;AM5</f>
        <v>2015-2020</v>
      </c>
      <c r="AI41" s="378"/>
      <c r="AJ41" s="378"/>
      <c r="AK41" s="378"/>
      <c r="AL41" s="1"/>
      <c r="AM41" s="378" t="str">
        <f>AM5&amp;"-"&amp;AR5</f>
        <v>2020-2035</v>
      </c>
      <c r="AN41" s="378"/>
      <c r="AO41" s="378"/>
      <c r="AP41" s="378"/>
      <c r="AQ41" s="1"/>
      <c r="AR41" s="378" t="str">
        <f>AH5&amp;"-"&amp;AR5</f>
        <v>2015-2035</v>
      </c>
      <c r="AS41" s="378"/>
      <c r="AT41" s="378"/>
      <c r="AU41" s="378"/>
    </row>
    <row r="42" spans="1:47" x14ac:dyDescent="0.2">
      <c r="A42" s="41" t="s">
        <v>19</v>
      </c>
      <c r="B42" s="338" t="s">
        <v>345</v>
      </c>
      <c r="C42" s="338" t="s">
        <v>347</v>
      </c>
      <c r="D42" s="338" t="s">
        <v>343</v>
      </c>
      <c r="E42" s="338" t="s">
        <v>33</v>
      </c>
      <c r="F42" s="339"/>
      <c r="G42" s="338" t="s">
        <v>345</v>
      </c>
      <c r="H42" s="338" t="s">
        <v>347</v>
      </c>
      <c r="I42" s="338" t="s">
        <v>343</v>
      </c>
      <c r="J42" s="338" t="s">
        <v>33</v>
      </c>
      <c r="K42" s="339"/>
      <c r="L42" s="338" t="s">
        <v>345</v>
      </c>
      <c r="M42" s="338" t="s">
        <v>347</v>
      </c>
      <c r="N42" s="338" t="s">
        <v>343</v>
      </c>
      <c r="O42" s="338" t="s">
        <v>33</v>
      </c>
      <c r="Q42" s="41" t="s">
        <v>19</v>
      </c>
      <c r="R42" s="338" t="s">
        <v>345</v>
      </c>
      <c r="S42" s="338" t="s">
        <v>347</v>
      </c>
      <c r="T42" s="338" t="s">
        <v>343</v>
      </c>
      <c r="U42" s="338" t="s">
        <v>33</v>
      </c>
      <c r="V42" s="339"/>
      <c r="W42" s="338" t="s">
        <v>345</v>
      </c>
      <c r="X42" s="338" t="s">
        <v>347</v>
      </c>
      <c r="Y42" s="338" t="s">
        <v>343</v>
      </c>
      <c r="Z42" s="338" t="s">
        <v>33</v>
      </c>
      <c r="AA42" s="339"/>
      <c r="AB42" s="338" t="s">
        <v>345</v>
      </c>
      <c r="AC42" s="338" t="s">
        <v>347</v>
      </c>
      <c r="AD42" s="338" t="s">
        <v>343</v>
      </c>
      <c r="AE42" s="338" t="s">
        <v>33</v>
      </c>
      <c r="AG42" s="41" t="s">
        <v>19</v>
      </c>
      <c r="AH42" s="338" t="s">
        <v>345</v>
      </c>
      <c r="AI42" s="338" t="s">
        <v>347</v>
      </c>
      <c r="AJ42" s="338" t="s">
        <v>343</v>
      </c>
      <c r="AK42" s="338" t="s">
        <v>33</v>
      </c>
      <c r="AL42" s="339"/>
      <c r="AM42" s="338" t="s">
        <v>345</v>
      </c>
      <c r="AN42" s="338" t="s">
        <v>347</v>
      </c>
      <c r="AO42" s="338" t="s">
        <v>343</v>
      </c>
      <c r="AP42" s="338" t="s">
        <v>33</v>
      </c>
      <c r="AQ42" s="339"/>
      <c r="AR42" s="338" t="s">
        <v>345</v>
      </c>
      <c r="AS42" s="338" t="s">
        <v>347</v>
      </c>
      <c r="AT42" s="338" t="s">
        <v>343</v>
      </c>
      <c r="AU42" s="338" t="s">
        <v>33</v>
      </c>
    </row>
    <row r="43" spans="1:47" x14ac:dyDescent="0.2">
      <c r="A43" s="1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Q43" s="1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G43" s="1"/>
      <c r="AH43" s="20"/>
      <c r="AI43" s="20"/>
      <c r="AJ43" s="20"/>
      <c r="AK43" s="20"/>
      <c r="AL43" s="20"/>
      <c r="AM43" s="20"/>
      <c r="AN43" s="20"/>
      <c r="AO43" s="20"/>
      <c r="AP43" s="20"/>
      <c r="AQ43" s="20"/>
      <c r="AR43" s="20"/>
      <c r="AS43" s="20"/>
      <c r="AT43" s="20"/>
      <c r="AU43" s="20"/>
    </row>
    <row r="44" spans="1:47" x14ac:dyDescent="0.2">
      <c r="A44" t="str">
        <f>$A$8</f>
        <v>Managers, directors and senior officials</v>
      </c>
      <c r="B44" s="27">
        <f>G8-B8</f>
        <v>4.7467131860593099</v>
      </c>
      <c r="C44" s="27">
        <f t="shared" ref="C44:E44" si="93">H8-C8</f>
        <v>5.0032925372179999</v>
      </c>
      <c r="D44" s="27">
        <f t="shared" si="93"/>
        <v>0.35653439179477076</v>
      </c>
      <c r="E44" s="27">
        <f t="shared" si="93"/>
        <v>10.106540115072079</v>
      </c>
      <c r="F44" s="27"/>
      <c r="G44" s="27">
        <f>L8-G8</f>
        <v>9.7936266108853403</v>
      </c>
      <c r="H44" s="27">
        <f t="shared" ref="H44:J44" si="94">M8-H8</f>
        <v>4.367295321918105</v>
      </c>
      <c r="I44" s="27">
        <f t="shared" si="94"/>
        <v>2.8585814969356065</v>
      </c>
      <c r="J44" s="27">
        <f t="shared" si="94"/>
        <v>17.019503429739046</v>
      </c>
      <c r="K44" s="27"/>
      <c r="L44" s="27">
        <f>L8-B8</f>
        <v>14.54033979694465</v>
      </c>
      <c r="M44" s="27">
        <f t="shared" ref="M44:O44" si="95">M8-C8</f>
        <v>9.3705878591361049</v>
      </c>
      <c r="N44" s="27">
        <f t="shared" si="95"/>
        <v>3.2151158887303772</v>
      </c>
      <c r="O44" s="27">
        <f t="shared" si="95"/>
        <v>27.126043544811125</v>
      </c>
      <c r="Q44" t="str">
        <f>$A$8</f>
        <v>Managers, directors and senior officials</v>
      </c>
      <c r="R44" s="27">
        <f>W8-R8</f>
        <v>1.7713152069408267</v>
      </c>
      <c r="S44" s="27">
        <f t="shared" ref="S44:S52" si="96">X8-S8</f>
        <v>1.8675503028308222</v>
      </c>
      <c r="T44" s="27">
        <f t="shared" ref="T44:T52" si="97">Y8-T8</f>
        <v>-0.34718743859507306</v>
      </c>
      <c r="U44" s="27">
        <f t="shared" ref="U44:U52" si="98">Z8-U8</f>
        <v>3.2916780711765767</v>
      </c>
      <c r="V44" s="27"/>
      <c r="W44" s="27">
        <f>AB8-W8</f>
        <v>2.4463547648767801</v>
      </c>
      <c r="X44" s="27">
        <f t="shared" ref="X44:X52" si="99">AC8-X8</f>
        <v>1.5936678291702444</v>
      </c>
      <c r="Y44" s="27">
        <f t="shared" ref="Y44:Y52" si="100">AD8-Y8</f>
        <v>2.0640950487098273</v>
      </c>
      <c r="Z44" s="27">
        <f t="shared" ref="Z44:Z52" si="101">AE8-Z8</f>
        <v>6.1041176427568615</v>
      </c>
      <c r="AA44" s="27"/>
      <c r="AB44" s="27">
        <f>AB8-R8</f>
        <v>4.2176699718176067</v>
      </c>
      <c r="AC44" s="27">
        <f t="shared" ref="AC44:AC52" si="102">AC8-S8</f>
        <v>3.4612181320010666</v>
      </c>
      <c r="AD44" s="27">
        <f t="shared" ref="AD44:AD52" si="103">AD8-T8</f>
        <v>1.7169076101147542</v>
      </c>
      <c r="AE44" s="27">
        <f t="shared" ref="AE44:AE52" si="104">AE8-U8</f>
        <v>9.3957957139334383</v>
      </c>
      <c r="AG44" t="str">
        <f>$A$8</f>
        <v>Managers, directors and senior officials</v>
      </c>
      <c r="AH44" s="27">
        <f>AM8-AH8</f>
        <v>2.9753979791184051</v>
      </c>
      <c r="AI44" s="27">
        <f t="shared" ref="AI44:AI52" si="105">AN8-AI8</f>
        <v>3.1357422343871715</v>
      </c>
      <c r="AJ44" s="27">
        <f t="shared" ref="AJ44:AJ52" si="106">AO8-AJ8</f>
        <v>0.70372183038983938</v>
      </c>
      <c r="AK44" s="27">
        <f t="shared" ref="AK44:AK52" si="107">AP8-AK8</f>
        <v>6.8148620438954168</v>
      </c>
      <c r="AL44" s="27"/>
      <c r="AM44" s="27">
        <f>AR8-AM8</f>
        <v>7.3472718460085744</v>
      </c>
      <c r="AN44" s="27">
        <f t="shared" ref="AN44:AN52" si="108">AS8-AN8</f>
        <v>2.773627492747865</v>
      </c>
      <c r="AO44" s="27">
        <f t="shared" ref="AO44:AO52" si="109">AT8-AO8</f>
        <v>0.79448644822576941</v>
      </c>
      <c r="AP44" s="27">
        <f t="shared" ref="AP44:AP52" si="110">AU8-AP8</f>
        <v>10.915385786982213</v>
      </c>
      <c r="AQ44" s="27"/>
      <c r="AR44" s="27">
        <f>AR8-AH8</f>
        <v>10.32266982512698</v>
      </c>
      <c r="AS44" s="27">
        <f t="shared" ref="AS44:AS52" si="111">AS8-AI8</f>
        <v>5.9093697271350365</v>
      </c>
      <c r="AT44" s="27">
        <f t="shared" ref="AT44:AT52" si="112">AT8-AJ8</f>
        <v>1.4982082786156088</v>
      </c>
      <c r="AU44" s="27">
        <f t="shared" ref="AU44:AU52" si="113">AU8-AK8</f>
        <v>17.73024783087763</v>
      </c>
    </row>
    <row r="45" spans="1:47" x14ac:dyDescent="0.2">
      <c r="A45" t="str">
        <f>$A$9</f>
        <v>Professional occupations</v>
      </c>
      <c r="B45" s="27">
        <f t="shared" ref="B45:B54" si="114">G9-B9</f>
        <v>17.271406500461296</v>
      </c>
      <c r="C45" s="27">
        <f t="shared" ref="C45:C54" si="115">H9-C9</f>
        <v>7.4763920212657524</v>
      </c>
      <c r="D45" s="27">
        <f t="shared" ref="D45:D54" si="116">I9-D9</f>
        <v>-1.9715599181886745</v>
      </c>
      <c r="E45" s="27">
        <f t="shared" ref="E45:E54" si="117">J9-E9</f>
        <v>22.77623860353836</v>
      </c>
      <c r="F45" s="27"/>
      <c r="G45" s="27">
        <f t="shared" ref="G45:G54" si="118">L9-G9</f>
        <v>28.585333435740921</v>
      </c>
      <c r="H45" s="27">
        <f t="shared" ref="H45:H54" si="119">M9-H9</f>
        <v>7.7361809716360455</v>
      </c>
      <c r="I45" s="27">
        <f t="shared" ref="I45:I54" si="120">N9-I9</f>
        <v>2.7521487084335661E-2</v>
      </c>
      <c r="J45" s="27">
        <f t="shared" ref="J45:J54" si="121">O9-J9</f>
        <v>36.349035894461281</v>
      </c>
      <c r="K45" s="27"/>
      <c r="L45" s="27">
        <f t="shared" ref="L45:L54" si="122">L9-B9</f>
        <v>45.856739936202217</v>
      </c>
      <c r="M45" s="27">
        <f t="shared" ref="M45:M54" si="123">M9-C9</f>
        <v>15.212572992901798</v>
      </c>
      <c r="N45" s="27">
        <f t="shared" ref="N45:N54" si="124">N9-D9</f>
        <v>-1.9440384311043388</v>
      </c>
      <c r="O45" s="27">
        <f t="shared" ref="O45:O54" si="125">O9-E9</f>
        <v>59.125274497999641</v>
      </c>
      <c r="Q45" t="str">
        <f>$A$9</f>
        <v>Professional occupations</v>
      </c>
      <c r="R45" s="27">
        <f t="shared" ref="R45:R52" si="126">W9-R9</f>
        <v>7.8426321639982604</v>
      </c>
      <c r="S45" s="27">
        <f t="shared" si="96"/>
        <v>3.3202503721482914</v>
      </c>
      <c r="T45" s="27">
        <f t="shared" si="97"/>
        <v>-2.8130151645477106</v>
      </c>
      <c r="U45" s="27">
        <f t="shared" si="98"/>
        <v>8.3498673715988474</v>
      </c>
      <c r="V45" s="27"/>
      <c r="W45" s="27">
        <f t="shared" ref="W45:W52" si="127">AB9-W9</f>
        <v>14.386872978337877</v>
      </c>
      <c r="X45" s="27">
        <f t="shared" si="99"/>
        <v>3.5547441951202057</v>
      </c>
      <c r="Y45" s="27">
        <f t="shared" si="100"/>
        <v>-0.63155642699411807</v>
      </c>
      <c r="Z45" s="27">
        <f t="shared" si="101"/>
        <v>17.310060746463932</v>
      </c>
      <c r="AA45" s="27"/>
      <c r="AB45" s="27">
        <f t="shared" ref="AB45:AB52" si="128">AB9-R9</f>
        <v>22.229505142336137</v>
      </c>
      <c r="AC45" s="27">
        <f t="shared" si="102"/>
        <v>6.8749945672684971</v>
      </c>
      <c r="AD45" s="27">
        <f t="shared" si="103"/>
        <v>-3.4445715915418287</v>
      </c>
      <c r="AE45" s="27">
        <f t="shared" si="104"/>
        <v>25.65992811806278</v>
      </c>
      <c r="AG45" t="str">
        <f>$A$9</f>
        <v>Professional occupations</v>
      </c>
      <c r="AH45" s="27">
        <f t="shared" ref="AH45:AH52" si="129">AM9-AH9</f>
        <v>9.4287743364631069</v>
      </c>
      <c r="AI45" s="27">
        <f t="shared" si="105"/>
        <v>4.1561416491174583</v>
      </c>
      <c r="AJ45" s="27">
        <f t="shared" si="106"/>
        <v>0.84145524635902902</v>
      </c>
      <c r="AK45" s="27">
        <f t="shared" si="107"/>
        <v>14.426371231939598</v>
      </c>
      <c r="AL45" s="27"/>
      <c r="AM45" s="27">
        <f t="shared" ref="AM45:AM52" si="130">AR9-AM9</f>
        <v>14.198460457402973</v>
      </c>
      <c r="AN45" s="27">
        <f t="shared" si="108"/>
        <v>4.1814367765158487</v>
      </c>
      <c r="AO45" s="27">
        <f t="shared" si="109"/>
        <v>0.65907791407844663</v>
      </c>
      <c r="AP45" s="27">
        <f t="shared" si="110"/>
        <v>19.038975147997249</v>
      </c>
      <c r="AQ45" s="27"/>
      <c r="AR45" s="27">
        <f t="shared" ref="AR45:AR52" si="131">AR9-AH9</f>
        <v>23.62723479386608</v>
      </c>
      <c r="AS45" s="27">
        <f t="shared" si="111"/>
        <v>8.337578425633307</v>
      </c>
      <c r="AT45" s="27">
        <f t="shared" si="112"/>
        <v>1.5005331604374756</v>
      </c>
      <c r="AU45" s="27">
        <f t="shared" si="113"/>
        <v>33.465346379936847</v>
      </c>
    </row>
    <row r="46" spans="1:47" x14ac:dyDescent="0.2">
      <c r="A46" t="str">
        <f>$A$10</f>
        <v>Associate professional occupations</v>
      </c>
      <c r="B46" s="27">
        <f t="shared" si="114"/>
        <v>5.9142200411557724</v>
      </c>
      <c r="C46" s="27">
        <f t="shared" si="115"/>
        <v>3.1446745449111475</v>
      </c>
      <c r="D46" s="27">
        <f t="shared" si="116"/>
        <v>-3.0355775404897436</v>
      </c>
      <c r="E46" s="27">
        <f t="shared" si="117"/>
        <v>6.0233170455771869</v>
      </c>
      <c r="F46" s="27"/>
      <c r="G46" s="27">
        <f t="shared" si="118"/>
        <v>4.1900589639755736</v>
      </c>
      <c r="H46" s="27">
        <f t="shared" si="119"/>
        <v>0.76845210291484634</v>
      </c>
      <c r="I46" s="27">
        <f t="shared" si="120"/>
        <v>1.4824863202248828</v>
      </c>
      <c r="J46" s="27">
        <f t="shared" si="121"/>
        <v>6.4409973871152886</v>
      </c>
      <c r="K46" s="27"/>
      <c r="L46" s="27">
        <f t="shared" si="122"/>
        <v>10.104279005131346</v>
      </c>
      <c r="M46" s="27">
        <f t="shared" si="123"/>
        <v>3.9131266478259938</v>
      </c>
      <c r="N46" s="27">
        <f t="shared" si="124"/>
        <v>-1.5530912202648608</v>
      </c>
      <c r="O46" s="27">
        <f t="shared" si="125"/>
        <v>12.464314432692476</v>
      </c>
      <c r="Q46" t="str">
        <f>$A$10</f>
        <v>Associate professional occupations</v>
      </c>
      <c r="R46" s="27">
        <f t="shared" si="126"/>
        <v>1.5344711028978821</v>
      </c>
      <c r="S46" s="27">
        <f t="shared" si="96"/>
        <v>1.6074772359697782</v>
      </c>
      <c r="T46" s="27">
        <f t="shared" si="97"/>
        <v>-2.4477441530163411</v>
      </c>
      <c r="U46" s="27">
        <f t="shared" si="98"/>
        <v>0.69420418585131216</v>
      </c>
      <c r="V46" s="27"/>
      <c r="W46" s="27">
        <f>AB10-W10</f>
        <v>-0.45950734956780792</v>
      </c>
      <c r="X46" s="27">
        <f t="shared" si="99"/>
        <v>-0.52499491587008773</v>
      </c>
      <c r="Y46" s="27">
        <f t="shared" si="100"/>
        <v>0.41805187626293261</v>
      </c>
      <c r="Z46" s="27">
        <f t="shared" si="101"/>
        <v>-0.56645038917496038</v>
      </c>
      <c r="AA46" s="27"/>
      <c r="AB46" s="27">
        <f t="shared" si="128"/>
        <v>1.0749637533300742</v>
      </c>
      <c r="AC46" s="27">
        <f t="shared" si="102"/>
        <v>1.0824823200996905</v>
      </c>
      <c r="AD46" s="27">
        <f t="shared" si="103"/>
        <v>-2.0296922767534085</v>
      </c>
      <c r="AE46" s="27">
        <f t="shared" si="104"/>
        <v>0.12775379667635178</v>
      </c>
      <c r="AG46" t="str">
        <f>$A$10</f>
        <v>Associate professional occupations</v>
      </c>
      <c r="AH46" s="27">
        <f t="shared" si="129"/>
        <v>4.3797489382578689</v>
      </c>
      <c r="AI46" s="27">
        <f t="shared" si="105"/>
        <v>1.5371973089413693</v>
      </c>
      <c r="AJ46" s="27">
        <f t="shared" si="106"/>
        <v>-0.58783338747340963</v>
      </c>
      <c r="AK46" s="27">
        <f t="shared" si="107"/>
        <v>5.3291128597258322</v>
      </c>
      <c r="AL46" s="27"/>
      <c r="AM46" s="27">
        <f t="shared" si="130"/>
        <v>4.6495663135434029</v>
      </c>
      <c r="AN46" s="27">
        <f t="shared" si="108"/>
        <v>1.2934470187849278</v>
      </c>
      <c r="AO46" s="27">
        <f t="shared" si="109"/>
        <v>1.0644344439619591</v>
      </c>
      <c r="AP46" s="27">
        <f t="shared" si="110"/>
        <v>7.0074477762902845</v>
      </c>
      <c r="AQ46" s="27"/>
      <c r="AR46" s="27">
        <f t="shared" si="131"/>
        <v>9.0293152518012718</v>
      </c>
      <c r="AS46" s="27">
        <f t="shared" si="111"/>
        <v>2.8306443277262971</v>
      </c>
      <c r="AT46" s="27">
        <f t="shared" si="112"/>
        <v>0.47660105648854945</v>
      </c>
      <c r="AU46" s="27">
        <f t="shared" si="113"/>
        <v>12.336560636016117</v>
      </c>
    </row>
    <row r="47" spans="1:47" x14ac:dyDescent="0.2">
      <c r="A47" t="str">
        <f>$A$11</f>
        <v>Administrative and secretarial occupations</v>
      </c>
      <c r="B47" s="27">
        <f t="shared" si="114"/>
        <v>-2.7576072785569252</v>
      </c>
      <c r="C47" s="27">
        <f t="shared" si="115"/>
        <v>-1.7978738801956027</v>
      </c>
      <c r="D47" s="27">
        <f t="shared" si="116"/>
        <v>-1.0334342856340033</v>
      </c>
      <c r="E47" s="27">
        <f t="shared" si="117"/>
        <v>-5.5889154443865294</v>
      </c>
      <c r="F47" s="27"/>
      <c r="G47" s="27">
        <f t="shared" si="118"/>
        <v>-8.8295380988700884</v>
      </c>
      <c r="H47" s="27">
        <f t="shared" si="119"/>
        <v>-6.6469590312170119</v>
      </c>
      <c r="I47" s="27">
        <f t="shared" si="120"/>
        <v>0.42172367577232261</v>
      </c>
      <c r="J47" s="27">
        <f t="shared" si="121"/>
        <v>-15.054773454314784</v>
      </c>
      <c r="K47" s="27"/>
      <c r="L47" s="27">
        <f t="shared" si="122"/>
        <v>-11.587145377427014</v>
      </c>
      <c r="M47" s="27">
        <f t="shared" si="123"/>
        <v>-8.4448329114126146</v>
      </c>
      <c r="N47" s="27">
        <f t="shared" si="124"/>
        <v>-0.61171060986168069</v>
      </c>
      <c r="O47" s="27">
        <f t="shared" si="125"/>
        <v>-20.643688898701313</v>
      </c>
      <c r="Q47" t="str">
        <f>$A$11</f>
        <v>Administrative and secretarial occupations</v>
      </c>
      <c r="R47" s="27">
        <f t="shared" si="126"/>
        <v>0.30284161102821905</v>
      </c>
      <c r="S47" s="27">
        <f t="shared" si="96"/>
        <v>0.70971219100430938</v>
      </c>
      <c r="T47" s="27">
        <f t="shared" si="97"/>
        <v>-0.41032758017281212</v>
      </c>
      <c r="U47" s="27">
        <f t="shared" si="98"/>
        <v>0.6022262218597163</v>
      </c>
      <c r="V47" s="27"/>
      <c r="W47" s="27">
        <f t="shared" si="127"/>
        <v>0.39290933858430854</v>
      </c>
      <c r="X47" s="27">
        <f t="shared" si="99"/>
        <v>-0.6739010657065454</v>
      </c>
      <c r="Y47" s="27">
        <f t="shared" si="100"/>
        <v>0.4815485670936972</v>
      </c>
      <c r="Z47" s="27">
        <f t="shared" si="101"/>
        <v>0.2005568399714619</v>
      </c>
      <c r="AA47" s="27"/>
      <c r="AB47" s="27">
        <f t="shared" si="128"/>
        <v>0.69575094961252759</v>
      </c>
      <c r="AC47" s="27">
        <f t="shared" si="102"/>
        <v>3.5811125297763979E-2</v>
      </c>
      <c r="AD47" s="27">
        <f t="shared" si="103"/>
        <v>7.1220986920885077E-2</v>
      </c>
      <c r="AE47" s="27">
        <f t="shared" si="104"/>
        <v>0.8027830618311782</v>
      </c>
      <c r="AG47" t="str">
        <f>$A$11</f>
        <v>Administrative and secretarial occupations</v>
      </c>
      <c r="AH47" s="27">
        <f t="shared" si="129"/>
        <v>-3.0604488895851389</v>
      </c>
      <c r="AI47" s="27">
        <f t="shared" si="105"/>
        <v>-2.5075860711999027</v>
      </c>
      <c r="AJ47" s="27">
        <f t="shared" si="106"/>
        <v>-0.6231067054611894</v>
      </c>
      <c r="AK47" s="27">
        <f t="shared" si="107"/>
        <v>-6.1911416662462386</v>
      </c>
      <c r="AL47" s="27"/>
      <c r="AM47" s="27">
        <f t="shared" si="130"/>
        <v>-9.222447437454413</v>
      </c>
      <c r="AN47" s="27">
        <f t="shared" si="108"/>
        <v>-5.9730579655104705</v>
      </c>
      <c r="AO47" s="27">
        <f t="shared" si="109"/>
        <v>-5.9824891321374807E-2</v>
      </c>
      <c r="AP47" s="27">
        <f>AU11-AP11</f>
        <v>-15.255330294286253</v>
      </c>
      <c r="AQ47" s="27"/>
      <c r="AR47" s="27">
        <f t="shared" si="131"/>
        <v>-12.282896327039552</v>
      </c>
      <c r="AS47" s="27">
        <f t="shared" si="111"/>
        <v>-8.4806440367103733</v>
      </c>
      <c r="AT47" s="27">
        <f t="shared" si="112"/>
        <v>-0.68293159678256421</v>
      </c>
      <c r="AU47" s="27">
        <f t="shared" si="113"/>
        <v>-21.446471960532492</v>
      </c>
    </row>
    <row r="48" spans="1:47" x14ac:dyDescent="0.2">
      <c r="A48" t="str">
        <f>$A$12</f>
        <v>Skilled trades occupations</v>
      </c>
      <c r="B48" s="27">
        <f t="shared" si="114"/>
        <v>-8.9160776571245819</v>
      </c>
      <c r="C48" s="27">
        <f t="shared" si="115"/>
        <v>-1.0930604914276731</v>
      </c>
      <c r="D48" s="27">
        <f t="shared" si="116"/>
        <v>-2.8798142731243601</v>
      </c>
      <c r="E48" s="27">
        <f t="shared" si="117"/>
        <v>-12.888952421676606</v>
      </c>
      <c r="F48" s="27"/>
      <c r="G48" s="27">
        <f t="shared" si="118"/>
        <v>-3.0831803477537605</v>
      </c>
      <c r="H48" s="27">
        <f t="shared" si="119"/>
        <v>1.806025691058279</v>
      </c>
      <c r="I48" s="27">
        <f t="shared" si="120"/>
        <v>4.5370051805516489</v>
      </c>
      <c r="J48" s="27">
        <f t="shared" si="121"/>
        <v>3.2598505238561586</v>
      </c>
      <c r="K48" s="27"/>
      <c r="L48" s="27">
        <f t="shared" si="122"/>
        <v>-11.999258004878342</v>
      </c>
      <c r="M48" s="27">
        <f t="shared" si="123"/>
        <v>0.71296519963060589</v>
      </c>
      <c r="N48" s="27">
        <f t="shared" si="124"/>
        <v>1.6571909074272888</v>
      </c>
      <c r="O48" s="27">
        <f t="shared" si="125"/>
        <v>-9.6291018978204477</v>
      </c>
      <c r="Q48" t="str">
        <f>$A$12</f>
        <v>Skilled trades occupations</v>
      </c>
      <c r="R48" s="27">
        <f t="shared" si="126"/>
        <v>-8.7412113932978599</v>
      </c>
      <c r="S48" s="27">
        <f t="shared" si="96"/>
        <v>-0.9176983956186211</v>
      </c>
      <c r="T48" s="27">
        <f t="shared" si="97"/>
        <v>-2.7961716834414574</v>
      </c>
      <c r="U48" s="27">
        <f t="shared" si="98"/>
        <v>-12.455081472357939</v>
      </c>
      <c r="V48" s="27"/>
      <c r="W48" s="27">
        <f t="shared" si="127"/>
        <v>-4.5408318214765373</v>
      </c>
      <c r="X48" s="27">
        <f t="shared" si="99"/>
        <v>1.0466965335964442</v>
      </c>
      <c r="Y48" s="27">
        <f t="shared" si="100"/>
        <v>3.3260286911679309</v>
      </c>
      <c r="Z48" s="27">
        <f t="shared" si="101"/>
        <v>-0.16810659671215689</v>
      </c>
      <c r="AA48" s="27"/>
      <c r="AB48" s="27">
        <f t="shared" si="128"/>
        <v>-13.282043214774397</v>
      </c>
      <c r="AC48" s="27">
        <f t="shared" si="102"/>
        <v>0.12899813797782311</v>
      </c>
      <c r="AD48" s="27">
        <f t="shared" si="103"/>
        <v>0.52985700772647348</v>
      </c>
      <c r="AE48" s="27">
        <f t="shared" si="104"/>
        <v>-12.623188069070096</v>
      </c>
      <c r="AG48" t="str">
        <f>$A$12</f>
        <v>Skilled trades occupations</v>
      </c>
      <c r="AH48" s="27">
        <f t="shared" si="129"/>
        <v>-0.17486626382674242</v>
      </c>
      <c r="AI48" s="27">
        <f t="shared" si="105"/>
        <v>-0.17536209580905471</v>
      </c>
      <c r="AJ48" s="27">
        <f t="shared" si="106"/>
        <v>-8.3642589682903168E-2</v>
      </c>
      <c r="AK48" s="27">
        <f t="shared" si="107"/>
        <v>-0.43387094931869896</v>
      </c>
      <c r="AL48" s="27"/>
      <c r="AM48" s="27">
        <f t="shared" si="130"/>
        <v>1.4576514737227857</v>
      </c>
      <c r="AN48" s="27">
        <f t="shared" si="108"/>
        <v>0.75932915746183527</v>
      </c>
      <c r="AO48" s="27">
        <f t="shared" si="109"/>
        <v>1.2109764893837163</v>
      </c>
      <c r="AP48" s="27">
        <f t="shared" si="110"/>
        <v>3.4279571205683368</v>
      </c>
      <c r="AQ48" s="27"/>
      <c r="AR48" s="27">
        <f t="shared" si="131"/>
        <v>1.2827852098960433</v>
      </c>
      <c r="AS48" s="27">
        <f t="shared" si="111"/>
        <v>0.58396706165278056</v>
      </c>
      <c r="AT48" s="27">
        <f t="shared" si="112"/>
        <v>1.1273338997008131</v>
      </c>
      <c r="AU48" s="27">
        <f t="shared" si="113"/>
        <v>2.9940861712496378</v>
      </c>
    </row>
    <row r="49" spans="1:47" x14ac:dyDescent="0.2">
      <c r="A49" t="str">
        <f>$A$13</f>
        <v>Caring, leisure and other service occupations</v>
      </c>
      <c r="B49" s="27">
        <f t="shared" si="114"/>
        <v>-2.6535703029883635</v>
      </c>
      <c r="C49" s="27">
        <f t="shared" si="115"/>
        <v>-5.4126912319091502E-2</v>
      </c>
      <c r="D49" s="27">
        <f t="shared" si="116"/>
        <v>9.3613775681140154E-2</v>
      </c>
      <c r="E49" s="27">
        <f t="shared" si="117"/>
        <v>-2.6140834396262989</v>
      </c>
      <c r="F49" s="27"/>
      <c r="G49" s="27">
        <f t="shared" si="118"/>
        <v>6.5297882098659272</v>
      </c>
      <c r="H49" s="27">
        <f t="shared" si="119"/>
        <v>1.5421782737895029</v>
      </c>
      <c r="I49" s="27">
        <f t="shared" si="120"/>
        <v>1.5507661455927337</v>
      </c>
      <c r="J49" s="27">
        <f t="shared" si="121"/>
        <v>9.6227326292481479</v>
      </c>
      <c r="K49" s="27"/>
      <c r="L49" s="27">
        <f t="shared" si="122"/>
        <v>3.8762179068775637</v>
      </c>
      <c r="M49" s="27">
        <f t="shared" si="123"/>
        <v>1.4880513614704114</v>
      </c>
      <c r="N49" s="27">
        <f t="shared" si="124"/>
        <v>1.6443799212738739</v>
      </c>
      <c r="O49" s="27">
        <f t="shared" si="125"/>
        <v>7.008649189621849</v>
      </c>
      <c r="Q49" t="str">
        <f>$A$13</f>
        <v>Caring, leisure and other service occupations</v>
      </c>
      <c r="R49" s="27">
        <f t="shared" si="126"/>
        <v>-1.1013014363330118</v>
      </c>
      <c r="S49" s="27">
        <f t="shared" si="96"/>
        <v>0.53360542130992528</v>
      </c>
      <c r="T49" s="27">
        <f t="shared" si="97"/>
        <v>-0.18339171687269973</v>
      </c>
      <c r="U49" s="27">
        <f t="shared" si="98"/>
        <v>-0.75108773189578315</v>
      </c>
      <c r="V49" s="27"/>
      <c r="W49" s="27">
        <f t="shared" si="127"/>
        <v>3.5737035322367667</v>
      </c>
      <c r="X49" s="27">
        <f t="shared" si="99"/>
        <v>1.4352955451153013</v>
      </c>
      <c r="Y49" s="27">
        <f t="shared" si="100"/>
        <v>0.61450227453465844</v>
      </c>
      <c r="Z49" s="27">
        <f t="shared" si="101"/>
        <v>5.6235013518867234</v>
      </c>
      <c r="AA49" s="27"/>
      <c r="AB49" s="27">
        <f t="shared" si="128"/>
        <v>2.4724020959037549</v>
      </c>
      <c r="AC49" s="27">
        <f t="shared" si="102"/>
        <v>1.9689009664252266</v>
      </c>
      <c r="AD49" s="27">
        <f t="shared" si="103"/>
        <v>0.43111055766195872</v>
      </c>
      <c r="AE49" s="27">
        <f t="shared" si="104"/>
        <v>4.8724136199909402</v>
      </c>
      <c r="AG49" t="str">
        <f>$A$13</f>
        <v>Caring, leisure and other service occupations</v>
      </c>
      <c r="AH49" s="27">
        <f t="shared" si="129"/>
        <v>-1.5522688666553641</v>
      </c>
      <c r="AI49" s="27">
        <f t="shared" si="105"/>
        <v>-0.58773233362901678</v>
      </c>
      <c r="AJ49" s="27">
        <f t="shared" si="106"/>
        <v>0.27700549255383677</v>
      </c>
      <c r="AK49" s="27">
        <f t="shared" si="107"/>
        <v>-1.8629957077305477</v>
      </c>
      <c r="AL49" s="27"/>
      <c r="AM49" s="27">
        <f t="shared" si="130"/>
        <v>2.9560846776291854</v>
      </c>
      <c r="AN49" s="27">
        <f t="shared" si="108"/>
        <v>0.10688272867419357</v>
      </c>
      <c r="AO49" s="27">
        <f t="shared" si="109"/>
        <v>0.93626387105807574</v>
      </c>
      <c r="AP49" s="27">
        <f t="shared" si="110"/>
        <v>3.99923127736146</v>
      </c>
      <c r="AQ49" s="27"/>
      <c r="AR49" s="27">
        <f t="shared" si="131"/>
        <v>1.4038158109738212</v>
      </c>
      <c r="AS49" s="27">
        <f t="shared" si="111"/>
        <v>-0.48084960495482321</v>
      </c>
      <c r="AT49" s="27">
        <f t="shared" si="112"/>
        <v>1.2132693636119125</v>
      </c>
      <c r="AU49" s="27">
        <f t="shared" si="113"/>
        <v>2.1362355696309123</v>
      </c>
    </row>
    <row r="50" spans="1:47" x14ac:dyDescent="0.2">
      <c r="A50" t="str">
        <f>$A$14</f>
        <v>Sales and customer service occupations</v>
      </c>
      <c r="B50" s="27">
        <f t="shared" si="114"/>
        <v>-2.1210777563891519</v>
      </c>
      <c r="C50" s="27">
        <f t="shared" si="115"/>
        <v>2.4048996485251521</v>
      </c>
      <c r="D50" s="27">
        <f t="shared" si="116"/>
        <v>-1.779289152211077</v>
      </c>
      <c r="E50" s="27">
        <f t="shared" si="117"/>
        <v>-1.495467260075074</v>
      </c>
      <c r="F50" s="27"/>
      <c r="G50" s="27">
        <f t="shared" si="118"/>
        <v>0.53545410094136159</v>
      </c>
      <c r="H50" s="27">
        <f t="shared" si="119"/>
        <v>-0.10501058092879845</v>
      </c>
      <c r="I50" s="27">
        <f t="shared" si="120"/>
        <v>-0.26906322142557437</v>
      </c>
      <c r="J50" s="27">
        <f t="shared" si="121"/>
        <v>0.16138029858699099</v>
      </c>
      <c r="K50" s="27"/>
      <c r="L50" s="27">
        <f t="shared" si="122"/>
        <v>-1.5856236554477903</v>
      </c>
      <c r="M50" s="27">
        <f t="shared" si="123"/>
        <v>2.2998890675963537</v>
      </c>
      <c r="N50" s="27">
        <f t="shared" si="124"/>
        <v>-2.0483523736366513</v>
      </c>
      <c r="O50" s="27">
        <f t="shared" si="125"/>
        <v>-1.334086961488083</v>
      </c>
      <c r="Q50" t="str">
        <f>$A$14</f>
        <v>Sales and customer service occupations</v>
      </c>
      <c r="R50" s="27">
        <f t="shared" si="126"/>
        <v>-0.7735066371845658</v>
      </c>
      <c r="S50" s="27">
        <f t="shared" si="96"/>
        <v>1.7488018602900812</v>
      </c>
      <c r="T50" s="27">
        <f t="shared" si="97"/>
        <v>-0.91175074372819109</v>
      </c>
      <c r="U50" s="27">
        <f t="shared" si="98"/>
        <v>6.3544479377327434E-2</v>
      </c>
      <c r="V50" s="27"/>
      <c r="W50" s="27">
        <f t="shared" si="127"/>
        <v>1.1467557646632169</v>
      </c>
      <c r="X50" s="27">
        <f t="shared" si="99"/>
        <v>0.90936111736922776</v>
      </c>
      <c r="Y50" s="27">
        <f t="shared" si="100"/>
        <v>-0.14423367281461008</v>
      </c>
      <c r="Z50" s="27">
        <f t="shared" si="101"/>
        <v>1.9118832092178302</v>
      </c>
      <c r="AA50" s="27"/>
      <c r="AB50" s="27">
        <f t="shared" si="128"/>
        <v>0.37324912747865113</v>
      </c>
      <c r="AC50" s="27">
        <f t="shared" si="102"/>
        <v>2.658162977659309</v>
      </c>
      <c r="AD50" s="27">
        <f t="shared" si="103"/>
        <v>-1.0559844165428012</v>
      </c>
      <c r="AE50" s="27">
        <f t="shared" si="104"/>
        <v>1.9754276885951576</v>
      </c>
      <c r="AG50" t="str">
        <f>$A$14</f>
        <v>Sales and customer service occupations</v>
      </c>
      <c r="AH50" s="27">
        <f t="shared" si="129"/>
        <v>-1.3475711192045789</v>
      </c>
      <c r="AI50" s="27">
        <f t="shared" si="105"/>
        <v>0.65609778823504072</v>
      </c>
      <c r="AJ50" s="27">
        <f t="shared" si="106"/>
        <v>-0.86753840848288188</v>
      </c>
      <c r="AK50" s="27">
        <f t="shared" si="107"/>
        <v>-1.5590117394524228</v>
      </c>
      <c r="AL50" s="27"/>
      <c r="AM50" s="27">
        <f t="shared" si="130"/>
        <v>-0.61130166372186245</v>
      </c>
      <c r="AN50" s="27">
        <f t="shared" si="108"/>
        <v>-1.0143716982979889</v>
      </c>
      <c r="AO50" s="27">
        <f t="shared" si="109"/>
        <v>-0.1248295486109674</v>
      </c>
      <c r="AP50" s="27">
        <f t="shared" si="110"/>
        <v>-1.7505029106308214</v>
      </c>
      <c r="AQ50" s="27"/>
      <c r="AR50" s="27">
        <f t="shared" si="131"/>
        <v>-1.9588727829264414</v>
      </c>
      <c r="AS50" s="27">
        <f t="shared" si="111"/>
        <v>-0.35827391006294818</v>
      </c>
      <c r="AT50" s="27">
        <f t="shared" si="112"/>
        <v>-0.99236795709384928</v>
      </c>
      <c r="AU50" s="27">
        <f t="shared" si="113"/>
        <v>-3.3095146500832442</v>
      </c>
    </row>
    <row r="51" spans="1:47" x14ac:dyDescent="0.2">
      <c r="A51" t="str">
        <f>$A$15</f>
        <v>Process, plant and machine operatives</v>
      </c>
      <c r="B51" s="27">
        <f t="shared" si="114"/>
        <v>-4.5010968708108301</v>
      </c>
      <c r="C51" s="27">
        <f t="shared" si="115"/>
        <v>0.7890858917716459</v>
      </c>
      <c r="D51" s="27">
        <f t="shared" si="116"/>
        <v>-0.50833748580142579</v>
      </c>
      <c r="E51" s="27">
        <f t="shared" si="117"/>
        <v>-4.2203484648406118</v>
      </c>
      <c r="F51" s="27"/>
      <c r="G51" s="27">
        <f t="shared" si="118"/>
        <v>0.23671867626049448</v>
      </c>
      <c r="H51" s="27">
        <f t="shared" si="119"/>
        <v>2.5395621355446485</v>
      </c>
      <c r="I51" s="27">
        <f t="shared" si="120"/>
        <v>1.6291282806964862</v>
      </c>
      <c r="J51" s="27">
        <f t="shared" si="121"/>
        <v>4.4054090925016354</v>
      </c>
      <c r="K51" s="27"/>
      <c r="L51" s="27">
        <f t="shared" si="122"/>
        <v>-4.2643781945503356</v>
      </c>
      <c r="M51" s="27">
        <f t="shared" si="123"/>
        <v>3.3286480273162944</v>
      </c>
      <c r="N51" s="27">
        <f t="shared" si="124"/>
        <v>1.1207907948950604</v>
      </c>
      <c r="O51" s="27">
        <f t="shared" si="125"/>
        <v>0.1850606276610236</v>
      </c>
      <c r="Q51" t="str">
        <f>$A$15</f>
        <v>Process, plant and machine operatives</v>
      </c>
      <c r="R51" s="27">
        <f t="shared" si="126"/>
        <v>-4.0212497221290526</v>
      </c>
      <c r="S51" s="27">
        <f t="shared" si="96"/>
        <v>1.0164458452821554</v>
      </c>
      <c r="T51" s="27">
        <f t="shared" si="97"/>
        <v>-0.49380435741699813</v>
      </c>
      <c r="U51" s="27">
        <f t="shared" si="98"/>
        <v>-3.498608234263898</v>
      </c>
      <c r="V51" s="27"/>
      <c r="W51" s="27">
        <f t="shared" si="127"/>
        <v>3.7491441773340739E-4</v>
      </c>
      <c r="X51" s="27">
        <f t="shared" si="99"/>
        <v>1.2278143079347874</v>
      </c>
      <c r="Y51" s="27">
        <f t="shared" si="100"/>
        <v>1.3801461057312769</v>
      </c>
      <c r="Z51" s="27">
        <f t="shared" si="101"/>
        <v>2.608335328083804</v>
      </c>
      <c r="AA51" s="27"/>
      <c r="AB51" s="27">
        <f t="shared" si="128"/>
        <v>-4.0208748077113192</v>
      </c>
      <c r="AC51" s="27">
        <f t="shared" si="102"/>
        <v>2.2442601532169428</v>
      </c>
      <c r="AD51" s="27">
        <f t="shared" si="103"/>
        <v>0.88634174831427881</v>
      </c>
      <c r="AE51" s="27">
        <f t="shared" si="104"/>
        <v>-0.89027290618009403</v>
      </c>
      <c r="AG51" t="str">
        <f>$A$15</f>
        <v>Process, plant and machine operatives</v>
      </c>
      <c r="AH51" s="27">
        <f t="shared" si="129"/>
        <v>-0.47984714868178813</v>
      </c>
      <c r="AI51" s="27">
        <f t="shared" si="105"/>
        <v>-0.2273599535105062</v>
      </c>
      <c r="AJ51" s="27">
        <f t="shared" si="106"/>
        <v>-1.453312838442633E-2</v>
      </c>
      <c r="AK51" s="27">
        <f t="shared" si="107"/>
        <v>-0.72174023057672088</v>
      </c>
      <c r="AL51" s="27"/>
      <c r="AM51" s="27">
        <f t="shared" si="130"/>
        <v>0.23634376184277306</v>
      </c>
      <c r="AN51" s="27">
        <f t="shared" si="108"/>
        <v>1.3117478276098673</v>
      </c>
      <c r="AO51" s="27">
        <f t="shared" si="109"/>
        <v>0.24898217496521302</v>
      </c>
      <c r="AP51" s="27">
        <f t="shared" si="110"/>
        <v>1.7970737644178527</v>
      </c>
      <c r="AQ51" s="27"/>
      <c r="AR51" s="27">
        <f t="shared" si="131"/>
        <v>-0.24350338683901507</v>
      </c>
      <c r="AS51" s="27">
        <f t="shared" si="111"/>
        <v>1.0843878740993611</v>
      </c>
      <c r="AT51" s="27">
        <f t="shared" si="112"/>
        <v>0.23444904658078669</v>
      </c>
      <c r="AU51" s="27">
        <f t="shared" si="113"/>
        <v>1.0753335338411318</v>
      </c>
    </row>
    <row r="52" spans="1:47" x14ac:dyDescent="0.2">
      <c r="A52" t="str">
        <f>$A$16</f>
        <v>Elementary occupations</v>
      </c>
      <c r="B52" s="27">
        <f t="shared" si="114"/>
        <v>-7.0347620496300216</v>
      </c>
      <c r="C52" s="27">
        <f t="shared" si="115"/>
        <v>-4.3278037563481462</v>
      </c>
      <c r="D52" s="27">
        <f t="shared" si="116"/>
        <v>-1.1007629276041992</v>
      </c>
      <c r="E52" s="27">
        <f t="shared" si="117"/>
        <v>-12.463328733582372</v>
      </c>
      <c r="F52" s="27"/>
      <c r="G52" s="27">
        <f t="shared" si="118"/>
        <v>-0.9372948024652068</v>
      </c>
      <c r="H52" s="27">
        <f t="shared" si="119"/>
        <v>-1.8261013612966437</v>
      </c>
      <c r="I52" s="27">
        <f t="shared" si="120"/>
        <v>1.3972603625682751</v>
      </c>
      <c r="J52" s="27">
        <f t="shared" si="121"/>
        <v>-1.3661358011935789</v>
      </c>
      <c r="K52" s="27"/>
      <c r="L52" s="27">
        <f t="shared" si="122"/>
        <v>-7.9720568520952284</v>
      </c>
      <c r="M52" s="27">
        <f t="shared" si="123"/>
        <v>-6.1539051176447899</v>
      </c>
      <c r="N52" s="27">
        <f t="shared" si="124"/>
        <v>0.29649743496407588</v>
      </c>
      <c r="O52" s="27">
        <f t="shared" si="125"/>
        <v>-13.829464534775951</v>
      </c>
      <c r="Q52" t="str">
        <f>$A$16</f>
        <v>Elementary occupations</v>
      </c>
      <c r="R52" s="27">
        <f t="shared" si="126"/>
        <v>-5.3268253127070508</v>
      </c>
      <c r="S52" s="27">
        <f t="shared" si="96"/>
        <v>-0.94088867622724592</v>
      </c>
      <c r="T52" s="27">
        <f t="shared" si="97"/>
        <v>-0.42077154963973307</v>
      </c>
      <c r="U52" s="27">
        <f t="shared" si="98"/>
        <v>-6.6884855385740209</v>
      </c>
      <c r="V52" s="27"/>
      <c r="W52" s="27">
        <f t="shared" si="127"/>
        <v>-1.9392286215413712</v>
      </c>
      <c r="X52" s="27">
        <f t="shared" si="99"/>
        <v>0.15457142319540651</v>
      </c>
      <c r="Y52" s="27">
        <f t="shared" si="100"/>
        <v>1.1622127094826982</v>
      </c>
      <c r="Z52" s="27">
        <f t="shared" si="101"/>
        <v>-0.62244448886327319</v>
      </c>
      <c r="AA52" s="27"/>
      <c r="AB52" s="27">
        <f t="shared" si="128"/>
        <v>-7.2660539342484221</v>
      </c>
      <c r="AC52" s="27">
        <f t="shared" si="102"/>
        <v>-0.78631725303183941</v>
      </c>
      <c r="AD52" s="27">
        <f t="shared" si="103"/>
        <v>0.7414411598429651</v>
      </c>
      <c r="AE52" s="27">
        <f t="shared" si="104"/>
        <v>-7.3109300274372941</v>
      </c>
      <c r="AG52" t="str">
        <f>$A$16</f>
        <v>Elementary occupations</v>
      </c>
      <c r="AH52" s="27">
        <f t="shared" si="129"/>
        <v>-1.7079367369229885</v>
      </c>
      <c r="AI52" s="27">
        <f t="shared" si="105"/>
        <v>-3.3869150801209358</v>
      </c>
      <c r="AJ52" s="27">
        <f t="shared" si="106"/>
        <v>-0.67999137796446552</v>
      </c>
      <c r="AK52" s="27">
        <f t="shared" si="107"/>
        <v>-5.7748431950083869</v>
      </c>
      <c r="AL52" s="27"/>
      <c r="AM52" s="27">
        <f t="shared" si="130"/>
        <v>1.0019338190761804</v>
      </c>
      <c r="AN52" s="27">
        <f t="shared" si="108"/>
        <v>-1.9806727844920218</v>
      </c>
      <c r="AO52" s="27">
        <f t="shared" si="109"/>
        <v>0.23504765308557718</v>
      </c>
      <c r="AP52" s="27">
        <f t="shared" si="110"/>
        <v>-0.74369131233027019</v>
      </c>
      <c r="AQ52" s="27"/>
      <c r="AR52" s="27">
        <f t="shared" si="131"/>
        <v>-0.70600291784680813</v>
      </c>
      <c r="AS52" s="27">
        <f t="shared" si="111"/>
        <v>-5.3675878646129576</v>
      </c>
      <c r="AT52" s="27">
        <f t="shared" si="112"/>
        <v>-0.44494372487888834</v>
      </c>
      <c r="AU52" s="27">
        <f t="shared" si="113"/>
        <v>-6.5185345073386571</v>
      </c>
    </row>
    <row r="53" spans="1:47" x14ac:dyDescent="0.2">
      <c r="B53" s="27"/>
      <c r="C53" s="27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R53" s="27"/>
      <c r="S53" s="27"/>
      <c r="T53" s="27"/>
      <c r="U53" s="27"/>
      <c r="V53" s="27"/>
      <c r="W53" s="27"/>
      <c r="X53" s="27"/>
      <c r="Y53" s="27"/>
      <c r="Z53" s="27"/>
      <c r="AA53" s="27"/>
      <c r="AB53" s="27"/>
      <c r="AC53" s="27"/>
      <c r="AD53" s="27"/>
      <c r="AE53" s="27"/>
      <c r="AH53" s="27"/>
      <c r="AI53" s="27"/>
      <c r="AJ53" s="27"/>
      <c r="AK53" s="27"/>
      <c r="AL53" s="27"/>
      <c r="AM53" s="27"/>
      <c r="AN53" s="27"/>
      <c r="AO53" s="27"/>
      <c r="AP53" s="27"/>
      <c r="AQ53" s="27"/>
      <c r="AR53" s="27"/>
      <c r="AS53" s="27"/>
      <c r="AT53" s="27"/>
      <c r="AU53" s="27"/>
    </row>
    <row r="54" spans="1:47" x14ac:dyDescent="0.2">
      <c r="A54" s="24" t="str">
        <f>$A$18</f>
        <v>All occupations</v>
      </c>
      <c r="B54" s="29">
        <f t="shared" si="114"/>
        <v>-5.1852187823499207E-2</v>
      </c>
      <c r="C54" s="29">
        <f t="shared" si="115"/>
        <v>11.545479603401191</v>
      </c>
      <c r="D54" s="29">
        <f t="shared" si="116"/>
        <v>-11.858627415577573</v>
      </c>
      <c r="E54" s="29">
        <f t="shared" si="117"/>
        <v>-0.36499999999978172</v>
      </c>
      <c r="F54" s="29"/>
      <c r="G54" s="29">
        <f t="shared" si="118"/>
        <v>37.020966748580577</v>
      </c>
      <c r="H54" s="29">
        <f t="shared" si="119"/>
        <v>10.181623523418949</v>
      </c>
      <c r="I54" s="29">
        <f t="shared" si="120"/>
        <v>13.63540972800071</v>
      </c>
      <c r="J54" s="29">
        <f t="shared" si="121"/>
        <v>60.838000000000193</v>
      </c>
      <c r="K54" s="29"/>
      <c r="L54" s="29">
        <f t="shared" si="122"/>
        <v>36.969114560757077</v>
      </c>
      <c r="M54" s="29">
        <f t="shared" si="123"/>
        <v>21.72710312682014</v>
      </c>
      <c r="N54" s="29">
        <f t="shared" si="124"/>
        <v>1.776782312423137</v>
      </c>
      <c r="O54" s="29">
        <f t="shared" si="125"/>
        <v>60.473000000000411</v>
      </c>
      <c r="Q54" s="24" t="str">
        <f>$A$18</f>
        <v>All occupations</v>
      </c>
      <c r="R54" s="29">
        <f t="shared" ref="R54" si="132">W18-R18</f>
        <v>-8.5128344167864043</v>
      </c>
      <c r="S54" s="29">
        <f t="shared" ref="S54" si="133">X18-S18</f>
        <v>8.9452561569895011</v>
      </c>
      <c r="T54" s="29">
        <f t="shared" ref="T54" si="134">Y18-T18</f>
        <v>-10.824164387430997</v>
      </c>
      <c r="U54" s="29">
        <f t="shared" ref="U54" si="135">Z18-U18</f>
        <v>-10.391742647227943</v>
      </c>
      <c r="V54" s="29"/>
      <c r="W54" s="29">
        <f t="shared" ref="W54" si="136">AB18-W18</f>
        <v>15.007403500530927</v>
      </c>
      <c r="X54" s="29">
        <f t="shared" ref="X54" si="137">AC18-X18</f>
        <v>8.723254969924966</v>
      </c>
      <c r="Y54" s="29">
        <f t="shared" ref="Y54" si="138">AD18-Y18</f>
        <v>8.6707951731742838</v>
      </c>
      <c r="Z54" s="29">
        <f t="shared" ref="Z54" si="139">AE18-Z18</f>
        <v>32.401453643630191</v>
      </c>
      <c r="AA54" s="29"/>
      <c r="AB54" s="29">
        <f t="shared" ref="AB54" si="140">AB18-R18</f>
        <v>6.4945690837445227</v>
      </c>
      <c r="AC54" s="29">
        <f t="shared" ref="AC54" si="141">AC18-S18</f>
        <v>17.668511126914467</v>
      </c>
      <c r="AD54" s="29">
        <f t="shared" ref="AD54" si="142">AD18-T18</f>
        <v>-2.1533692142567133</v>
      </c>
      <c r="AE54" s="29">
        <f t="shared" ref="AE54" si="143">AE18-U18</f>
        <v>22.009710996402248</v>
      </c>
      <c r="AG54" s="24" t="str">
        <f>$A$18</f>
        <v>All occupations</v>
      </c>
      <c r="AH54" s="29">
        <f t="shared" ref="AH54" si="144">AM18-AH18</f>
        <v>8.4609822289627914</v>
      </c>
      <c r="AI54" s="29">
        <f t="shared" ref="AI54" si="145">AN18-AI18</f>
        <v>2.6002234464116327</v>
      </c>
      <c r="AJ54" s="29">
        <f t="shared" ref="AJ54" si="146">AO18-AJ18</f>
        <v>-1.0344630281465754</v>
      </c>
      <c r="AK54" s="29">
        <f t="shared" ref="AK54" si="147">AP18-AK18</f>
        <v>10.026742647227877</v>
      </c>
      <c r="AL54" s="29"/>
      <c r="AM54" s="29">
        <f t="shared" ref="AM54" si="148">AR18-AM18</f>
        <v>22.013563248049593</v>
      </c>
      <c r="AN54" s="29">
        <f t="shared" ref="AN54" si="149">AS18-AN18</f>
        <v>1.45836855349404</v>
      </c>
      <c r="AO54" s="29">
        <f t="shared" ref="AO54" si="150">AT18-AO18</f>
        <v>4.9646145548264187</v>
      </c>
      <c r="AP54" s="29">
        <f t="shared" ref="AP54" si="151">AU18-AP18</f>
        <v>28.436546356370059</v>
      </c>
      <c r="AQ54" s="29"/>
      <c r="AR54" s="29">
        <f t="shared" ref="AR54" si="152">AR18-AH18</f>
        <v>30.474545477012384</v>
      </c>
      <c r="AS54" s="29">
        <f t="shared" ref="AS54" si="153">AS18-AI18</f>
        <v>4.0585919999056728</v>
      </c>
      <c r="AT54" s="29">
        <f t="shared" ref="AT54" si="154">AT18-AJ18</f>
        <v>3.9301515266798432</v>
      </c>
      <c r="AU54" s="29">
        <f t="shared" ref="AU54" si="155">AU18-AK18</f>
        <v>38.463289003597936</v>
      </c>
    </row>
  </sheetData>
  <mergeCells count="27">
    <mergeCell ref="AH5:AK5"/>
    <mergeCell ref="AM5:AP5"/>
    <mergeCell ref="AR5:AU5"/>
    <mergeCell ref="AH23:AK23"/>
    <mergeCell ref="AM23:AP23"/>
    <mergeCell ref="AR23:AU23"/>
    <mergeCell ref="AH41:AK41"/>
    <mergeCell ref="W41:Z41"/>
    <mergeCell ref="AB41:AE41"/>
    <mergeCell ref="AM41:AP41"/>
    <mergeCell ref="AR41:AU41"/>
    <mergeCell ref="B41:E41"/>
    <mergeCell ref="G41:J41"/>
    <mergeCell ref="L41:O41"/>
    <mergeCell ref="R5:U5"/>
    <mergeCell ref="W5:Z5"/>
    <mergeCell ref="B5:E5"/>
    <mergeCell ref="G5:J5"/>
    <mergeCell ref="L5:O5"/>
    <mergeCell ref="B23:E23"/>
    <mergeCell ref="G23:J23"/>
    <mergeCell ref="L23:O23"/>
    <mergeCell ref="AB5:AE5"/>
    <mergeCell ref="R23:U23"/>
    <mergeCell ref="W23:Z23"/>
    <mergeCell ref="AB23:AE23"/>
    <mergeCell ref="R41:U41"/>
  </mergeCells>
  <pageMargins left="0.39370078740157483" right="0.39370078740157483" top="0.78740157480314965" bottom="0.78740157480314965" header="0.51181102362204722" footer="0.51181102362204722"/>
  <pageSetup paperSize="9" scale="70" orientation="portrait" r:id="rId1"/>
  <headerFooter alignWithMargins="0"/>
  <colBreaks count="2" manualBreakCount="2">
    <brk id="16" max="53" man="1"/>
    <brk id="32" max="53" man="1"/>
  </colBreak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46"/>
  <dimension ref="A1:N163"/>
  <sheetViews>
    <sheetView zoomScale="75" zoomScaleNormal="75" workbookViewId="0"/>
  </sheetViews>
  <sheetFormatPr defaultColWidth="9.140625" defaultRowHeight="12.75" x14ac:dyDescent="0.2"/>
  <cols>
    <col min="1" max="1" width="11" style="157" bestFit="1" customWidth="1"/>
    <col min="2" max="9" width="9.140625" style="157"/>
    <col min="10" max="10" width="17.5703125" style="157" customWidth="1"/>
    <col min="11" max="11" width="8.28515625" style="157" customWidth="1"/>
    <col min="12" max="12" width="52.7109375" style="91" customWidth="1"/>
    <col min="13" max="14" width="10.140625" style="91" customWidth="1"/>
    <col min="15" max="16384" width="9.140625" style="91"/>
  </cols>
  <sheetData>
    <row r="1" spans="1:14" ht="15.75" x14ac:dyDescent="0.25">
      <c r="A1" s="156" t="str">
        <f>CONCATENATE("Occupation Figure 1  Growth in Employment by Occupation (SOC 2020), ",M6," and ",N6,", ",Info!B5)</f>
        <v>Occupation Figure 1  Growth in Employment by Occupation (SOC 2020), 2015-2020 and 2020-2035, Enterprise M3</v>
      </c>
    </row>
    <row r="2" spans="1:14" x14ac:dyDescent="0.2">
      <c r="A2" s="364" t="s">
        <v>521</v>
      </c>
    </row>
    <row r="3" spans="1:14" x14ac:dyDescent="0.2">
      <c r="L3" s="158" t="s">
        <v>428</v>
      </c>
    </row>
    <row r="5" spans="1:14" x14ac:dyDescent="0.2">
      <c r="L5" s="122" t="s">
        <v>411</v>
      </c>
    </row>
    <row r="6" spans="1:14" x14ac:dyDescent="0.2">
      <c r="M6" s="178" t="str">
        <f>'Occ T2'!H151</f>
        <v>2015-2020</v>
      </c>
      <c r="N6" s="178" t="str">
        <f>'Occ T2'!I151</f>
        <v>2020-2035</v>
      </c>
    </row>
    <row r="7" spans="1:14" x14ac:dyDescent="0.2">
      <c r="L7" s="114" t="str">
        <f>'Occ T3'!A51</f>
        <v>All occupations</v>
      </c>
      <c r="M7" s="91">
        <f>'Occ T2'!H180</f>
        <v>-8.4406823586569146E-3</v>
      </c>
      <c r="N7" s="91">
        <f>'Occ T2'!I180</f>
        <v>0.45434319276140833</v>
      </c>
    </row>
    <row r="8" spans="1:14" x14ac:dyDescent="0.2">
      <c r="L8" s="114"/>
    </row>
    <row r="9" spans="1:14" x14ac:dyDescent="0.2">
      <c r="L9" s="91" t="str">
        <f>'Occ T3'!A49</f>
        <v>92 Elementary administration and service occupations</v>
      </c>
      <c r="M9" s="91">
        <f>'Occ T2'!H178</f>
        <v>-2.4324736390409107</v>
      </c>
      <c r="N9" s="91">
        <f>'Occ T2'!I178</f>
        <v>2.5553373789466427E-2</v>
      </c>
    </row>
    <row r="10" spans="1:14" x14ac:dyDescent="0.2">
      <c r="L10" s="91" t="str">
        <f>'Occ T3'!A48</f>
        <v>91 Elementary trades and related occupations</v>
      </c>
      <c r="M10" s="91">
        <f>'Occ T2'!H177</f>
        <v>-4.9048716777156276</v>
      </c>
      <c r="N10" s="91">
        <f>'Occ T2'!I177</f>
        <v>-1.3967314942990194</v>
      </c>
    </row>
    <row r="11" spans="1:14" x14ac:dyDescent="0.2">
      <c r="L11" s="114" t="str">
        <f>"["&amp;'Occ T3'!A47&amp;"]"</f>
        <v>[Elementary occupations]</v>
      </c>
      <c r="M11" s="91">
        <f>'Occ T1'!H88</f>
        <v>-2.7048428348231068</v>
      </c>
      <c r="N11" s="91">
        <f>'Occ T1'!I88</f>
        <v>-0.10819812836684317</v>
      </c>
    </row>
    <row r="12" spans="1:14" x14ac:dyDescent="0.2">
      <c r="L12" s="114"/>
    </row>
    <row r="13" spans="1:14" x14ac:dyDescent="0.2">
      <c r="L13" s="91" t="str">
        <f>'Occ T3'!A45</f>
        <v>82 Transport and mobile machine drivers and operatives</v>
      </c>
      <c r="M13" s="91">
        <f>'Occ T2'!H176</f>
        <v>-2.0021875841621517</v>
      </c>
      <c r="N13" s="91">
        <f>'Occ T2'!I176</f>
        <v>0.54438617047769533</v>
      </c>
    </row>
    <row r="14" spans="1:14" x14ac:dyDescent="0.2">
      <c r="L14" s="91" t="str">
        <f>'Occ T3'!A44</f>
        <v>81 Process, plant and machine operatives</v>
      </c>
      <c r="M14" s="91">
        <f>'Occ T2'!H175</f>
        <v>-3.0071685483465949</v>
      </c>
      <c r="N14" s="91">
        <f>'Occ T2'!I175</f>
        <v>1.371058632450084</v>
      </c>
    </row>
    <row r="15" spans="1:14" x14ac:dyDescent="0.2">
      <c r="L15" s="114" t="str">
        <f>"["&amp;'Occ T3'!A43&amp;"]"</f>
        <v>[Process, plant and machine operatives]</v>
      </c>
      <c r="M15" s="91">
        <f>'Occ T1'!H87</f>
        <v>-2.3358362227903662</v>
      </c>
      <c r="N15" s="91">
        <f>'Occ T1'!I87</f>
        <v>0.82372817954072808</v>
      </c>
    </row>
    <row r="16" spans="1:14" x14ac:dyDescent="0.2">
      <c r="L16" s="114"/>
    </row>
    <row r="17" spans="12:14" x14ac:dyDescent="0.2">
      <c r="L17" s="91" t="str">
        <f>'Occ T3'!A41</f>
        <v>72 Customer service occupations</v>
      </c>
      <c r="M17" s="91">
        <f>'Occ T2'!H174</f>
        <v>0.88568527041954503</v>
      </c>
      <c r="N17" s="91">
        <f>'Occ T2'!I174</f>
        <v>2.4781152385781713</v>
      </c>
    </row>
    <row r="18" spans="12:14" x14ac:dyDescent="0.2">
      <c r="L18" s="91" t="str">
        <f>'Occ T3'!A40</f>
        <v>71 Sales occupations</v>
      </c>
      <c r="M18" s="91">
        <f>'Occ T2'!H173</f>
        <v>-0.77903677455052334</v>
      </c>
      <c r="N18" s="91">
        <f>'Occ T2'!I173</f>
        <v>-0.79993923642365239</v>
      </c>
    </row>
    <row r="19" spans="12:14" x14ac:dyDescent="0.2">
      <c r="L19" s="114" t="str">
        <f>"["&amp;'Occ T3'!A39&amp;"]"</f>
        <v>[Sales and customer service occupations]</v>
      </c>
      <c r="M19" s="91">
        <f>'Occ T1'!H86</f>
        <v>-0.44608022635886924</v>
      </c>
      <c r="N19" s="91">
        <f>'Occ T1'!I86</f>
        <v>1.6244449649605031E-2</v>
      </c>
    </row>
    <row r="20" spans="12:14" x14ac:dyDescent="0.2">
      <c r="L20" s="114"/>
    </row>
    <row r="21" spans="12:14" x14ac:dyDescent="0.2">
      <c r="L21" s="107" t="str">
        <f>'Occ T3'!A37</f>
        <v>63 Community and civil enforcement occupations</v>
      </c>
      <c r="M21" s="91">
        <f>'Occ T2'!H172</f>
        <v>0.37037721451724792</v>
      </c>
      <c r="N21" s="91">
        <f>'Occ T2'!I172</f>
        <v>-1.072004163665452</v>
      </c>
    </row>
    <row r="22" spans="12:14" x14ac:dyDescent="0.2">
      <c r="L22" s="91" t="str">
        <f>'Occ T3'!A36</f>
        <v>62 Leisure, travel and related personal service occupations</v>
      </c>
      <c r="M22" s="91">
        <f>'Occ T2'!H171</f>
        <v>-1.3632761051869058</v>
      </c>
      <c r="N22" s="91">
        <f>'Occ T2'!I171</f>
        <v>0.27260174239143176</v>
      </c>
    </row>
    <row r="23" spans="12:14" x14ac:dyDescent="0.2">
      <c r="L23" s="91" t="str">
        <f>'Occ T3'!A35</f>
        <v>61 Caring personal service occupations</v>
      </c>
      <c r="M23" s="91">
        <f>'Occ T2'!H170</f>
        <v>-0.39521383918822428</v>
      </c>
      <c r="N23" s="91">
        <f>'Occ T2'!I170</f>
        <v>0.97085253593887089</v>
      </c>
    </row>
    <row r="24" spans="12:14" x14ac:dyDescent="0.2">
      <c r="L24" s="114" t="str">
        <f>"["&amp;'Occ T3'!A34&amp;"]"</f>
        <v>[Caring, leisure and other service occupations]</v>
      </c>
      <c r="M24" s="91">
        <f>'Occ T1'!H85</f>
        <v>-0.64954349360096808</v>
      </c>
      <c r="N24" s="91">
        <f>'Occ T1'!I85</f>
        <v>0.76987694172052645</v>
      </c>
    </row>
    <row r="25" spans="12:14" x14ac:dyDescent="0.2">
      <c r="L25" s="114"/>
    </row>
    <row r="26" spans="12:14" x14ac:dyDescent="0.2">
      <c r="L26" s="91" t="str">
        <f>'Occ T3'!A32</f>
        <v>54 Textiles, printing and other skilled trades</v>
      </c>
      <c r="M26" s="91">
        <f>'Occ T2'!H169</f>
        <v>-4.059218284995902</v>
      </c>
      <c r="N26" s="91">
        <f>'Occ T2'!I169</f>
        <v>0.5748620742074273</v>
      </c>
    </row>
    <row r="27" spans="12:14" x14ac:dyDescent="0.2">
      <c r="L27" s="91" t="str">
        <f>'Occ T3'!A31</f>
        <v>53 Skilled construction and building trades</v>
      </c>
      <c r="M27" s="91">
        <f>'Occ T2'!H168</f>
        <v>-3.5959965470597766</v>
      </c>
      <c r="N27" s="91">
        <f>'Occ T2'!I168</f>
        <v>-1.8971656057709119E-2</v>
      </c>
    </row>
    <row r="28" spans="12:14" x14ac:dyDescent="0.2">
      <c r="L28" s="91" t="str">
        <f>'Occ T3'!A30</f>
        <v>52 Skilled metal, electrical and electronic trades</v>
      </c>
      <c r="M28" s="91">
        <f>'Occ T2'!H167</f>
        <v>-2.7384645484242132</v>
      </c>
      <c r="N28" s="91">
        <f>'Occ T2'!I167</f>
        <v>8.6016476722683421E-3</v>
      </c>
    </row>
    <row r="29" spans="12:14" x14ac:dyDescent="0.2">
      <c r="L29" s="91" t="str">
        <f>'Occ T3'!A29</f>
        <v>51 Skilled agricultural and related trades</v>
      </c>
      <c r="M29" s="91">
        <f>'Occ T2'!H166</f>
        <v>-3.503312697279104</v>
      </c>
      <c r="N29" s="91">
        <f>'Occ T2'!I166</f>
        <v>1.5722283168687845</v>
      </c>
    </row>
    <row r="30" spans="12:14" x14ac:dyDescent="0.2">
      <c r="L30" s="114" t="str">
        <f>"["&amp;'Occ T3'!A28&amp;"]"</f>
        <v>[Skilled trades occupations]</v>
      </c>
      <c r="M30" s="91">
        <f>'Occ T1'!H84</f>
        <v>-3.3882935883606469</v>
      </c>
      <c r="N30" s="91">
        <f>'Occ T1'!I84</f>
        <v>0.31031894563411377</v>
      </c>
    </row>
    <row r="31" spans="12:14" x14ac:dyDescent="0.2">
      <c r="L31" s="114"/>
    </row>
    <row r="32" spans="12:14" x14ac:dyDescent="0.2">
      <c r="L32" s="91" t="str">
        <f>'Occ T3'!A26</f>
        <v>42 Secretarial and related occupations</v>
      </c>
      <c r="M32" s="91">
        <f>'Occ T2'!H165</f>
        <v>-3.2957909952898601</v>
      </c>
      <c r="N32" s="91">
        <f>'Occ T2'!I165</f>
        <v>-1.4200841765729</v>
      </c>
    </row>
    <row r="33" spans="12:14" x14ac:dyDescent="0.2">
      <c r="L33" s="91" t="str">
        <f>'Occ T3'!A25</f>
        <v>41 Administrative occupations</v>
      </c>
      <c r="M33" s="91">
        <f>'Occ T2'!H164</f>
        <v>-0.62446600020442666</v>
      </c>
      <c r="N33" s="91">
        <f>'Occ T2'!I164</f>
        <v>-1.1898073473603499</v>
      </c>
    </row>
    <row r="34" spans="12:14" x14ac:dyDescent="0.2">
      <c r="L34" s="114" t="str">
        <f>"["&amp;'Occ T3'!A24&amp;"]"</f>
        <v>[Administrative and secretarial occupations]</v>
      </c>
      <c r="M34" s="91">
        <f>'Occ T1'!H83</f>
        <v>-1.2188864983476377</v>
      </c>
      <c r="N34" s="91">
        <f>'Occ T1'!I83</f>
        <v>-1.2372328969751711</v>
      </c>
    </row>
    <row r="35" spans="12:14" x14ac:dyDescent="0.2">
      <c r="L35" s="114"/>
    </row>
    <row r="36" spans="12:14" x14ac:dyDescent="0.2">
      <c r="L36" s="91" t="str">
        <f>'Occ T3'!A22</f>
        <v>35 Business and public service associate professionals</v>
      </c>
      <c r="M36" s="91">
        <f>'Occ T2'!H163</f>
        <v>1.0050431913041669</v>
      </c>
      <c r="N36" s="91">
        <f>'Occ T2'!I163</f>
        <v>5.9680965143238396E-2</v>
      </c>
    </row>
    <row r="37" spans="12:14" x14ac:dyDescent="0.2">
      <c r="L37" s="91" t="str">
        <f>'Occ T3'!A21</f>
        <v>34 Culture, media and sports occupations</v>
      </c>
      <c r="M37" s="91">
        <f>'Occ T2'!H162</f>
        <v>-1.5867732068172602</v>
      </c>
      <c r="N37" s="91">
        <f>'Occ T2'!I162</f>
        <v>0.62076590898481054</v>
      </c>
    </row>
    <row r="38" spans="12:14" x14ac:dyDescent="0.2">
      <c r="L38" s="91" t="str">
        <f>'Occ T3'!A20</f>
        <v>33 Protective service occupations</v>
      </c>
      <c r="M38" s="91">
        <f>'Occ T2'!H161</f>
        <v>-0.10727750766410526</v>
      </c>
      <c r="N38" s="91">
        <f>'Occ T2'!I161</f>
        <v>2.1237077952086736</v>
      </c>
    </row>
    <row r="39" spans="12:14" x14ac:dyDescent="0.2">
      <c r="L39" s="91" t="str">
        <f>'Occ T3'!A19</f>
        <v>32 Health and social care associate professionals</v>
      </c>
      <c r="M39" s="91">
        <f>'Occ T2'!H160</f>
        <v>2.9599337316154051</v>
      </c>
      <c r="N39" s="91">
        <f>'Occ T2'!I160</f>
        <v>0.38159867251259527</v>
      </c>
    </row>
    <row r="40" spans="12:14" x14ac:dyDescent="0.2">
      <c r="L40" s="91" t="str">
        <f>'Occ T3'!A18</f>
        <v>31 Science, engineering and technology associate professionals</v>
      </c>
      <c r="M40" s="91">
        <f>'Occ T2'!H159</f>
        <v>3.4650334639275027</v>
      </c>
      <c r="N40" s="91">
        <f>'Occ T2'!I159</f>
        <v>-0.27960087272583811</v>
      </c>
    </row>
    <row r="41" spans="12:14" x14ac:dyDescent="0.2">
      <c r="L41" s="114" t="str">
        <f>"["&amp;'Occ T3'!A17&amp;"]"</f>
        <v>[Associate professional occupations]</v>
      </c>
      <c r="M41" s="91">
        <f>'Occ T1'!H82</f>
        <v>1.0001547367332497</v>
      </c>
      <c r="N41" s="91">
        <f>'Occ T1'!I82</f>
        <v>0.33793866045672694</v>
      </c>
    </row>
    <row r="42" spans="12:14" x14ac:dyDescent="0.2">
      <c r="L42" s="114"/>
    </row>
    <row r="43" spans="12:14" x14ac:dyDescent="0.2">
      <c r="L43" s="91" t="str">
        <f>'Occ T3'!A15</f>
        <v>24 Business, media and public service professionals</v>
      </c>
      <c r="M43" s="91">
        <f>'Occ T2'!H158</f>
        <v>3.1191579975672346</v>
      </c>
      <c r="N43" s="91">
        <f>'Occ T2'!I158</f>
        <v>1.446277124175066</v>
      </c>
    </row>
    <row r="44" spans="12:14" x14ac:dyDescent="0.2">
      <c r="L44" s="91" t="str">
        <f>'Occ T3'!A14</f>
        <v>23 Teaching and other educational professionals</v>
      </c>
      <c r="M44" s="91">
        <f>'Occ T2'!H157</f>
        <v>0.61785665812612578</v>
      </c>
      <c r="N44" s="91">
        <f>'Occ T2'!I157</f>
        <v>0.7210359772727104</v>
      </c>
    </row>
    <row r="45" spans="12:14" x14ac:dyDescent="0.2">
      <c r="L45" s="91" t="str">
        <f>'Occ T3'!A13</f>
        <v>22 Health professionals</v>
      </c>
      <c r="M45" s="91">
        <f>'Occ T2'!H156</f>
        <v>3.459600505058158</v>
      </c>
      <c r="N45" s="91">
        <f>'Occ T2'!I156</f>
        <v>0.68964711587993222</v>
      </c>
    </row>
    <row r="46" spans="12:14" x14ac:dyDescent="0.2">
      <c r="L46" s="91" t="str">
        <f>'Occ T3'!A12</f>
        <v>21 Science, research, engineering and technology professionals</v>
      </c>
      <c r="M46" s="91">
        <f>'Occ T2'!H155</f>
        <v>2.052924754635832</v>
      </c>
      <c r="N46" s="91">
        <f>'Occ T2'!I155</f>
        <v>1.0650191874393977</v>
      </c>
    </row>
    <row r="47" spans="12:14" x14ac:dyDescent="0.2">
      <c r="L47" s="114" t="str">
        <f>"["&amp;'Occ T3'!A11&amp;"]"</f>
        <v>[Professional occupations]</v>
      </c>
      <c r="M47" s="91">
        <f>'Occ T1'!H81</f>
        <v>2.320479964125699</v>
      </c>
      <c r="N47" s="91">
        <f>'Occ T1'!I81</f>
        <v>1.0691065323153781</v>
      </c>
    </row>
    <row r="49" spans="12:14" x14ac:dyDescent="0.2">
      <c r="L49" s="107" t="str">
        <f>'Occ T3'!A9</f>
        <v>12 Other managers and proprietors</v>
      </c>
      <c r="M49" s="91">
        <f>'Occ T2'!H154</f>
        <v>-6.4227518302706343E-2</v>
      </c>
      <c r="N49" s="91">
        <f>'Occ T2'!I154</f>
        <v>2.6166329715860082</v>
      </c>
    </row>
    <row r="50" spans="12:14" x14ac:dyDescent="0.2">
      <c r="L50" s="107" t="str">
        <f>'Occ T3'!A8</f>
        <v>11 Corporate managers and directors</v>
      </c>
      <c r="M50" s="91">
        <f>'Occ T2'!H153</f>
        <v>2.8100337577803058</v>
      </c>
      <c r="N50" s="91">
        <f>'Occ T2'!I153</f>
        <v>0.19393917482022349</v>
      </c>
    </row>
    <row r="51" spans="12:14" x14ac:dyDescent="0.2">
      <c r="L51" s="114" t="str">
        <f>"["&amp;'Occ T3'!A7&amp;"]"</f>
        <v>[Managers, directors and senior officials]</v>
      </c>
      <c r="M51" s="91">
        <f>'Occ T1'!H80</f>
        <v>1.9475342606428026</v>
      </c>
      <c r="N51" s="91">
        <f>'Occ T1'!I80</f>
        <v>0.96425704162383941</v>
      </c>
    </row>
    <row r="80" spans="1:1" ht="15.75" x14ac:dyDescent="0.25">
      <c r="A80" s="156" t="str">
        <f>CONCATENATE("Occupation Figure 1.1  Change in Employment by Occupation (SOC 2020), ",M81," and ",N81,", ",Info!B5)</f>
        <v>Occupation Figure 1.1  Change in Employment by Occupation (SOC 2020), 2015-2020 and 2020-2035, Enterprise M3</v>
      </c>
    </row>
    <row r="81" spans="12:14" x14ac:dyDescent="0.2">
      <c r="M81" s="107" t="str">
        <f>'Occ F1'!M6</f>
        <v>2015-2020</v>
      </c>
      <c r="N81" s="107" t="str">
        <f>'Occ F1'!N6</f>
        <v>2020-2035</v>
      </c>
    </row>
    <row r="82" spans="12:14" x14ac:dyDescent="0.2">
      <c r="L82" s="10" t="str">
        <f>name!D4</f>
        <v>11 Corporate managers and directors</v>
      </c>
      <c r="M82" s="94">
        <f>'Occ T2'!D8-'Occ T2'!B8</f>
        <v>10.206446091711342</v>
      </c>
      <c r="N82" s="94">
        <f>'Occ T2'!F119</f>
        <v>2.3260990665111621</v>
      </c>
    </row>
    <row r="83" spans="12:14" x14ac:dyDescent="0.2">
      <c r="L83" s="10" t="str">
        <f>name!D5</f>
        <v>12 Other managers and proprietors</v>
      </c>
      <c r="M83" s="94">
        <f>'Occ T2'!D9-'Occ T2'!B9</f>
        <v>-9.9905976639291794E-2</v>
      </c>
      <c r="N83" s="94">
        <f>'Occ T2'!F120</f>
        <v>14.693404363227653</v>
      </c>
    </row>
    <row r="84" spans="12:14" x14ac:dyDescent="0.2">
      <c r="L84" s="10" t="str">
        <f>name!D6</f>
        <v>21 Science, research, engineering and technology professionals</v>
      </c>
      <c r="M84" s="94">
        <f>'Occ T2'!D10-'Occ T2'!B10</f>
        <v>6.7566166502182057</v>
      </c>
      <c r="N84" s="94">
        <f>'Occ T2'!F121</f>
        <v>12.044612476703719</v>
      </c>
    </row>
    <row r="85" spans="12:14" x14ac:dyDescent="0.2">
      <c r="L85" s="10" t="str">
        <f>name!D7</f>
        <v>22 Health professionals</v>
      </c>
      <c r="M85" s="94">
        <f>'Occ T2'!D11-'Occ T2'!B11</f>
        <v>5.2398939788643268</v>
      </c>
      <c r="N85" s="94">
        <f>'Occ T2'!F122</f>
        <v>3.6386480768076694</v>
      </c>
    </row>
    <row r="86" spans="12:14" x14ac:dyDescent="0.2">
      <c r="L86" s="10" t="str">
        <f>name!D8</f>
        <v>23 Teaching and other educational professionals</v>
      </c>
      <c r="M86" s="94">
        <f>'Occ T2'!D12-'Occ T2'!B12</f>
        <v>1.1954986446318046</v>
      </c>
      <c r="N86" s="94">
        <f>'Occ T2'!F123</f>
        <v>4.4853748992063842</v>
      </c>
    </row>
    <row r="87" spans="12:14" x14ac:dyDescent="0.2">
      <c r="L87" s="10" t="str">
        <f>name!D9</f>
        <v>24 Business, media and public service professionals</v>
      </c>
      <c r="M87" s="94">
        <f>'Occ T2'!D13-'Occ T2'!B13</f>
        <v>9.5842293298239767</v>
      </c>
      <c r="N87" s="94">
        <f>'Occ T2'!F124</f>
        <v>16.180400441743473</v>
      </c>
    </row>
    <row r="88" spans="12:14" x14ac:dyDescent="0.2">
      <c r="L88" s="10" t="str">
        <f>name!D10</f>
        <v>31 Science, engineering and technology associate professionals</v>
      </c>
      <c r="M88" s="94">
        <f>'Occ T2'!D14-'Occ T2'!B14</f>
        <v>2.8771648192758494</v>
      </c>
      <c r="N88" s="94">
        <f>'Occ T2'!F125</f>
        <v>-0.75563824488131814</v>
      </c>
    </row>
    <row r="89" spans="12:14" x14ac:dyDescent="0.2">
      <c r="L89" s="10" t="str">
        <f>name!D11</f>
        <v>32 Health and social care associate professionals</v>
      </c>
      <c r="M89" s="94">
        <f>'Occ T2'!D15-'Occ T2'!B15</f>
        <v>1.9953429387592756</v>
      </c>
      <c r="N89" s="94">
        <f>'Occ T2'!F126</f>
        <v>0.86444332766932241</v>
      </c>
    </row>
    <row r="90" spans="12:14" x14ac:dyDescent="0.2">
      <c r="L90" s="10" t="str">
        <f>name!D12</f>
        <v>33 Protective service occupations</v>
      </c>
      <c r="M90" s="94">
        <f>'Occ T2'!D16-'Occ T2'!B16</f>
        <v>-5.4836343491865946E-2</v>
      </c>
      <c r="N90" s="94">
        <f>'Occ T2'!F127</f>
        <v>3.776169437688468</v>
      </c>
    </row>
    <row r="91" spans="12:14" x14ac:dyDescent="0.2">
      <c r="L91" s="10" t="str">
        <f>name!D13</f>
        <v>34 Culture, media and sports occupations</v>
      </c>
      <c r="M91" s="94">
        <f>'Occ T2'!D17-'Occ T2'!B17</f>
        <v>-1.7253978398659839</v>
      </c>
      <c r="N91" s="94">
        <f>'Occ T2'!F128</f>
        <v>2.0157718270075797</v>
      </c>
    </row>
    <row r="92" spans="12:14" x14ac:dyDescent="0.2">
      <c r="L92" s="10" t="str">
        <f>name!D14</f>
        <v>35 Business and public service associate professionals</v>
      </c>
      <c r="M92" s="94">
        <f>'Occ T2'!D18-'Occ T2'!B18</f>
        <v>2.9310434708999438</v>
      </c>
      <c r="N92" s="94">
        <f>'Occ T2'!F129</f>
        <v>0.54025103963129339</v>
      </c>
    </row>
    <row r="93" spans="12:14" x14ac:dyDescent="0.2">
      <c r="L93" s="10" t="str">
        <f>name!D15</f>
        <v>41 Administrative occupations</v>
      </c>
      <c r="M93" s="94">
        <f>'Occ T2'!D19-'Occ T2'!B19</f>
        <v>-2.2252984351881366</v>
      </c>
      <c r="N93" s="94">
        <f>'Occ T2'!F130</f>
        <v>-11.49453843900767</v>
      </c>
    </row>
    <row r="94" spans="12:14" x14ac:dyDescent="0.2">
      <c r="L94" s="10" t="str">
        <f>name!D16</f>
        <v>42 Secretarial and related occupations</v>
      </c>
      <c r="M94" s="94">
        <f>'Occ T2'!D20-'Occ T2'!B20</f>
        <v>-3.3636170091984958</v>
      </c>
      <c r="N94" s="94">
        <f>'Occ T2'!F131</f>
        <v>-3.560235015307093</v>
      </c>
    </row>
    <row r="95" spans="12:14" x14ac:dyDescent="0.2">
      <c r="L95" s="10" t="str">
        <f>name!D17</f>
        <v>51 Skilled agricultural and related trades</v>
      </c>
      <c r="M95" s="94">
        <f>'Occ T2'!D21-'Occ T2'!B21</f>
        <v>-1.3724899836969726</v>
      </c>
      <c r="N95" s="94">
        <f>'Occ T2'!F132</f>
        <v>1.8538007286964771</v>
      </c>
    </row>
    <row r="96" spans="12:14" x14ac:dyDescent="0.2">
      <c r="L96" s="10" t="str">
        <f>name!D18</f>
        <v>52 Skilled metal, electrical and electronic trades</v>
      </c>
      <c r="M96" s="94">
        <f>'Occ T2'!D22-'Occ T2'!B22</f>
        <v>-3.7423820430174324</v>
      </c>
      <c r="N96" s="94">
        <f>'Occ T2'!F133</f>
        <v>3.2440982768619619E-2</v>
      </c>
    </row>
    <row r="97" spans="12:14" x14ac:dyDescent="0.2">
      <c r="L97" s="10" t="str">
        <f>name!D19</f>
        <v>53 Skilled construction and building trades</v>
      </c>
      <c r="M97" s="94">
        <f>'Occ T2'!D23-'Occ T2'!B23</f>
        <v>-4.1032219904750029</v>
      </c>
      <c r="N97" s="94">
        <f>'Occ T2'!F134</f>
        <v>-5.803079048146742E-2</v>
      </c>
    </row>
    <row r="98" spans="12:14" x14ac:dyDescent="0.2">
      <c r="L98" s="10" t="str">
        <f>name!D20</f>
        <v>54 Textiles, printing and other skilled trades</v>
      </c>
      <c r="M98" s="94">
        <f>'Occ T2'!D24-'Occ T2'!B24</f>
        <v>-3.6708584044871948</v>
      </c>
      <c r="N98" s="94">
        <f>'Occ T2'!F135</f>
        <v>1.4316396028725542</v>
      </c>
    </row>
    <row r="99" spans="12:14" x14ac:dyDescent="0.2">
      <c r="L99" s="10" t="str">
        <f>name!D21</f>
        <v>61 Caring personal service occupations</v>
      </c>
      <c r="M99" s="94">
        <f>'Occ T2'!D25-'Occ T2'!B25</f>
        <v>-1.1396649986155509</v>
      </c>
      <c r="N99" s="94">
        <f>'Occ T2'!F136</f>
        <v>8.8879965741717015</v>
      </c>
    </row>
    <row r="100" spans="12:14" x14ac:dyDescent="0.2">
      <c r="L100" s="10" t="str">
        <f>name!D22</f>
        <v>62 Leisure, travel and related personal service occupations</v>
      </c>
      <c r="M100" s="94">
        <f>'Occ T2'!D26-'Occ T2'!B26</f>
        <v>-1.4916430630630089</v>
      </c>
      <c r="N100" s="94">
        <f>'Occ T2'!F137</f>
        <v>0.87512701134369664</v>
      </c>
    </row>
    <row r="101" spans="12:14" x14ac:dyDescent="0.2">
      <c r="L101" s="10" t="str">
        <f>name!D23</f>
        <v>63 Community and civil enforcement occupations</v>
      </c>
      <c r="M101" s="94">
        <f>'Occ T2'!D27-'Occ T2'!B27</f>
        <v>1.722462205219355E-2</v>
      </c>
      <c r="N101" s="94">
        <f>'Occ T2'!F138</f>
        <v>-0.14039095626722109</v>
      </c>
    </row>
    <row r="102" spans="12:14" x14ac:dyDescent="0.2">
      <c r="L102" s="10" t="str">
        <f>name!D24</f>
        <v>71 Sales occupations</v>
      </c>
      <c r="M102" s="94">
        <f>'Occ T2'!D28-'Occ T2'!B28</f>
        <v>-2.0892108367589373</v>
      </c>
      <c r="N102" s="94">
        <f>'Occ T2'!F139</f>
        <v>-5.9460878605762204</v>
      </c>
    </row>
    <row r="103" spans="12:14" x14ac:dyDescent="0.2">
      <c r="L103" s="10" t="str">
        <f>name!D25</f>
        <v>72 Customer service occupations</v>
      </c>
      <c r="M103" s="94">
        <f>'Occ T2'!D29-'Occ T2'!B29</f>
        <v>0.59374357668387567</v>
      </c>
      <c r="N103" s="94">
        <f>'Occ T2'!F140</f>
        <v>6.107468159163119</v>
      </c>
    </row>
    <row r="104" spans="12:14" x14ac:dyDescent="0.2">
      <c r="L104" s="10" t="str">
        <f>name!D26</f>
        <v>81 Process, plant and machine operatives</v>
      </c>
      <c r="M104" s="94">
        <f>'Occ T2'!D30-'Occ T2'!B30</f>
        <v>-1.8043315162644298</v>
      </c>
      <c r="N104" s="94">
        <f>'Occ T2'!F141</f>
        <v>2.4791295201005248</v>
      </c>
    </row>
    <row r="105" spans="12:14" x14ac:dyDescent="0.2">
      <c r="L105" s="10" t="str">
        <f>name!D27</f>
        <v>82 Transport and mobile machine drivers and operatives</v>
      </c>
      <c r="M105" s="94">
        <f>'Occ T2'!D31-'Occ T2'!B31</f>
        <v>-2.4160169485762744</v>
      </c>
      <c r="N105" s="94">
        <f>'Occ T2'!F142</f>
        <v>1.9262795724012349</v>
      </c>
    </row>
    <row r="106" spans="12:14" x14ac:dyDescent="0.2">
      <c r="L106" s="10" t="str">
        <f>name!D28</f>
        <v>91 Elementary trades and related occupations</v>
      </c>
      <c r="M106" s="94">
        <f>'Occ T2'!D32-'Occ T2'!B32</f>
        <v>-2.4925734372992778</v>
      </c>
      <c r="N106" s="94">
        <f>'Occ T2'!F143</f>
        <v>-1.6583349706813442</v>
      </c>
    </row>
    <row r="107" spans="12:14" x14ac:dyDescent="0.2">
      <c r="L107" s="10" t="str">
        <f>name!D29</f>
        <v>92 Elementary administration and service occupations</v>
      </c>
      <c r="M107" s="94">
        <f>'Occ T2'!D33-'Occ T2'!B33</f>
        <v>-9.970755296283329</v>
      </c>
      <c r="N107" s="94">
        <f>'Occ T2'!F144</f>
        <v>0.29219916948788693</v>
      </c>
    </row>
    <row r="108" spans="12:14" x14ac:dyDescent="0.2">
      <c r="L108" s="10"/>
      <c r="M108" s="94"/>
      <c r="N108" s="94"/>
    </row>
    <row r="109" spans="12:14" x14ac:dyDescent="0.2">
      <c r="L109" s="10" t="str">
        <f>name!D3</f>
        <v>All occupations</v>
      </c>
      <c r="M109" s="94">
        <f>'Occ T2'!D35-'Occ T2'!B35</f>
        <v>-0.36500000000035016</v>
      </c>
      <c r="N109" s="94">
        <f>'Occ T2'!F146</f>
        <v>60.838000000000079</v>
      </c>
    </row>
    <row r="150" spans="1:14" ht="15.75" x14ac:dyDescent="0.25">
      <c r="A150" s="156" t="str">
        <f>CONCATENATE("Occupation Figure 1.2  Change in Employment by Occupation (SOC 2020), ",M152," and ",N152,", ",Info!B5)</f>
        <v>Occupation Figure 1.2  Change in Employment by Occupation (SOC 2020), 2015 - 2020 and 2020-2035, Enterprise M3</v>
      </c>
    </row>
    <row r="152" spans="1:14" x14ac:dyDescent="0.2">
      <c r="M152" s="91" t="str">
        <f>'Occ T1'!B6&amp;" - "&amp;'Occ T1'!D6</f>
        <v>2015 - 2020</v>
      </c>
      <c r="N152" s="91" t="str">
        <f>'Occ T1'!H4</f>
        <v>2020-2035</v>
      </c>
    </row>
    <row r="153" spans="1:14" x14ac:dyDescent="0.2">
      <c r="L153" s="10" t="str">
        <f>name!E4</f>
        <v>Managers, directors and senior officials</v>
      </c>
      <c r="M153" s="94">
        <f>'Occ T1'!D8-'Occ T1'!B8</f>
        <v>10.10654011507205</v>
      </c>
      <c r="N153" s="94">
        <f>'Occ T1'!H8</f>
        <v>17.019503429738819</v>
      </c>
    </row>
    <row r="154" spans="1:14" x14ac:dyDescent="0.2">
      <c r="L154" s="10" t="str">
        <f>name!E5</f>
        <v>Professional occupations</v>
      </c>
      <c r="M154" s="94">
        <f>'Occ T1'!D9-'Occ T1'!B9</f>
        <v>22.776238603538332</v>
      </c>
      <c r="N154" s="94">
        <f>'Occ T1'!H9</f>
        <v>36.349035894461252</v>
      </c>
    </row>
    <row r="155" spans="1:14" x14ac:dyDescent="0.2">
      <c r="L155" s="10" t="str">
        <f>name!E6</f>
        <v>Associate professional occupations</v>
      </c>
      <c r="M155" s="94">
        <f>'Occ T1'!D10-'Occ T1'!B10</f>
        <v>6.0233170455772154</v>
      </c>
      <c r="N155" s="94">
        <f>'Occ T1'!H10</f>
        <v>6.4409973871153454</v>
      </c>
    </row>
    <row r="156" spans="1:14" x14ac:dyDescent="0.2">
      <c r="L156" s="10" t="str">
        <f>name!E7</f>
        <v>Administrative and secretarial occupations</v>
      </c>
      <c r="M156" s="94">
        <f>'Occ T1'!D11-'Occ T1'!B11</f>
        <v>-5.5889154443866289</v>
      </c>
      <c r="N156" s="94">
        <f>'Occ T1'!H11</f>
        <v>-15.054773454314756</v>
      </c>
    </row>
    <row r="157" spans="1:14" x14ac:dyDescent="0.2">
      <c r="L157" s="10" t="str">
        <f>name!E8</f>
        <v>Skilled trades occupations</v>
      </c>
      <c r="M157" s="94">
        <f>'Occ T1'!D12-'Occ T1'!B12</f>
        <v>-12.888952421676606</v>
      </c>
      <c r="N157" s="94">
        <f>'Occ T1'!H12</f>
        <v>3.2598505238562012</v>
      </c>
    </row>
    <row r="158" spans="1:14" x14ac:dyDescent="0.2">
      <c r="L158" s="10" t="str">
        <f>name!E9</f>
        <v>Caring, leisure and other service occupations</v>
      </c>
      <c r="M158" s="94">
        <f>'Occ T1'!D13-'Occ T1'!B13</f>
        <v>-2.6140834396263557</v>
      </c>
      <c r="N158" s="94">
        <f>'Occ T1'!H13</f>
        <v>9.6227326292481763</v>
      </c>
    </row>
    <row r="159" spans="1:14" x14ac:dyDescent="0.2">
      <c r="L159" s="10" t="str">
        <f>name!E10</f>
        <v>Sales and customer service occupations</v>
      </c>
      <c r="M159" s="94">
        <f>'Occ T1'!D14-'Occ T1'!B14</f>
        <v>-1.4954672600750598</v>
      </c>
      <c r="N159" s="94">
        <f>'Occ T1'!H14</f>
        <v>0.16138029858690572</v>
      </c>
    </row>
    <row r="160" spans="1:14" x14ac:dyDescent="0.2">
      <c r="L160" s="10" t="str">
        <f>name!E11</f>
        <v>Process, plant and machine operatives</v>
      </c>
      <c r="M160" s="94">
        <f>'Occ T1'!D15-'Occ T1'!B15</f>
        <v>-4.2203484648407041</v>
      </c>
      <c r="N160" s="94">
        <f>'Occ T1'!H15</f>
        <v>4.4054090925017633</v>
      </c>
    </row>
    <row r="161" spans="12:14" x14ac:dyDescent="0.2">
      <c r="L161" s="10" t="str">
        <f>name!E12</f>
        <v>Elementary occupations</v>
      </c>
      <c r="M161" s="94">
        <f>'Occ T1'!D16-'Occ T1'!B16</f>
        <v>-12.463328733582614</v>
      </c>
      <c r="N161" s="94">
        <f>'Occ T1'!H16</f>
        <v>-1.366135801193451</v>
      </c>
    </row>
    <row r="162" spans="12:14" x14ac:dyDescent="0.2">
      <c r="L162" s="10"/>
      <c r="M162" s="94"/>
      <c r="N162" s="94"/>
    </row>
    <row r="163" spans="12:14" x14ac:dyDescent="0.2">
      <c r="L163" s="10" t="str">
        <f>name!E3</f>
        <v>All occupations</v>
      </c>
      <c r="M163" s="94">
        <f>'Occ T1'!D18-'Occ T1'!B18</f>
        <v>-0.36500000000023647</v>
      </c>
      <c r="N163" s="94">
        <f>'Occ T1'!H18</f>
        <v>60.838000000000257</v>
      </c>
    </row>
  </sheetData>
  <conditionalFormatting sqref="L17:L18 L6:N6">
    <cfRule type="cellIs" dxfId="8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71" fitToHeight="0" orientation="portrait" r:id="rId1"/>
  <headerFooter alignWithMargins="0"/>
  <rowBreaks count="2" manualBreakCount="2">
    <brk id="79" max="10" man="1"/>
    <brk id="149" max="10" man="1"/>
  </rowBreaks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6"/>
  <dimension ref="A1:BL508"/>
  <sheetViews>
    <sheetView zoomScale="75" zoomScaleNormal="75" workbookViewId="0"/>
  </sheetViews>
  <sheetFormatPr defaultColWidth="9.140625"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52.28515625" customWidth="1"/>
    <col min="13" max="41" width="15.7109375" customWidth="1"/>
    <col min="42" max="63" width="6.28515625" customWidth="1"/>
  </cols>
  <sheetData>
    <row r="1" spans="1:64" ht="15.75" x14ac:dyDescent="0.25">
      <c r="A1" s="80" t="str">
        <f>CONCATENATE("Occupation Figure 2  Employment by Occupation (SOC 2020), ",$M$2,"-",$O$2,", ",Info!B5)</f>
        <v>Occupation Figure 2  Employment by Occupation (SOC 2020), 2010-2035, Enterprise M3</v>
      </c>
      <c r="L1" s="46"/>
    </row>
    <row r="2" spans="1:64" x14ac:dyDescent="0.2">
      <c r="A2" s="364" t="s">
        <v>521</v>
      </c>
      <c r="L2" s="16" t="s">
        <v>29</v>
      </c>
      <c r="M2" s="48">
        <f>M4</f>
        <v>2010</v>
      </c>
      <c r="N2" s="47" t="s">
        <v>28</v>
      </c>
      <c r="O2" s="48">
        <f>MAX(N4:BL4)</f>
        <v>2035</v>
      </c>
    </row>
    <row r="3" spans="1:64" x14ac:dyDescent="0.2">
      <c r="L3" s="16"/>
      <c r="M3" s="16"/>
      <c r="N3" s="47"/>
      <c r="O3" s="16"/>
    </row>
    <row r="4" spans="1:64" x14ac:dyDescent="0.2">
      <c r="L4" s="1" t="s">
        <v>36</v>
      </c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</row>
    <row r="5" spans="1:64" x14ac:dyDescent="0.2">
      <c r="L5" s="17" t="str">
        <f>'Occ T3'!A7</f>
        <v>Managers, directors and senior officials</v>
      </c>
      <c r="M5" s="87">
        <f t="shared" ref="M5" si="0">SUM(M6:M7)</f>
        <v>81.092903284760808</v>
      </c>
      <c r="N5" s="87">
        <f>SUM(N6:N7)</f>
        <v>90.084170617702554</v>
      </c>
      <c r="O5" s="87">
        <f t="shared" ref="O5:AL5" si="1">SUM(O6:O7)</f>
        <v>93.971374222707269</v>
      </c>
      <c r="P5" s="87">
        <f t="shared" si="1"/>
        <v>95.028709224412395</v>
      </c>
      <c r="Q5" s="87">
        <f t="shared" si="1"/>
        <v>96.919857101535825</v>
      </c>
      <c r="R5" s="87">
        <f t="shared" si="1"/>
        <v>99.823405667280099</v>
      </c>
      <c r="S5" s="87">
        <f t="shared" si="1"/>
        <v>104.39149973486013</v>
      </c>
      <c r="T5" s="87">
        <f t="shared" si="1"/>
        <v>102.33452009732424</v>
      </c>
      <c r="U5" s="87">
        <f t="shared" si="1"/>
        <v>105.2883517256134</v>
      </c>
      <c r="V5" s="87">
        <f t="shared" si="1"/>
        <v>109.9145689063652</v>
      </c>
      <c r="W5" s="87">
        <f t="shared" si="1"/>
        <v>109.92994578235215</v>
      </c>
      <c r="X5" s="87">
        <f t="shared" si="1"/>
        <v>107.35486461959846</v>
      </c>
      <c r="Y5" s="87">
        <f t="shared" si="1"/>
        <v>108.7888299666055</v>
      </c>
      <c r="Z5" s="87">
        <f t="shared" si="1"/>
        <v>110.51281866934377</v>
      </c>
      <c r="AA5" s="87">
        <f t="shared" si="1"/>
        <v>112.27812929628473</v>
      </c>
      <c r="AB5" s="87">
        <f t="shared" si="1"/>
        <v>113.69235283021654</v>
      </c>
      <c r="AC5" s="87">
        <f t="shared" si="1"/>
        <v>115.04021513356676</v>
      </c>
      <c r="AD5" s="87">
        <f t="shared" si="1"/>
        <v>116.34553297888722</v>
      </c>
      <c r="AE5" s="87">
        <f t="shared" si="1"/>
        <v>117.62875907691132</v>
      </c>
      <c r="AF5" s="87">
        <f t="shared" si="1"/>
        <v>118.89222851885219</v>
      </c>
      <c r="AG5" s="87">
        <f t="shared" si="1"/>
        <v>120.21097043028448</v>
      </c>
      <c r="AH5" s="87">
        <f t="shared" si="1"/>
        <v>121.50627820719792</v>
      </c>
      <c r="AI5" s="87">
        <f t="shared" si="1"/>
        <v>122.84510031532906</v>
      </c>
      <c r="AJ5" s="87">
        <f t="shared" si="1"/>
        <v>124.15594570421095</v>
      </c>
      <c r="AK5" s="87">
        <f t="shared" si="1"/>
        <v>125.57515941951934</v>
      </c>
      <c r="AL5" s="87">
        <f t="shared" si="1"/>
        <v>126.94944921209097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</row>
    <row r="6" spans="1:64" x14ac:dyDescent="0.2">
      <c r="L6" s="232" t="str">
        <f>'Occ T3'!A8</f>
        <v>11 Corporate managers and directors</v>
      </c>
      <c r="M6" s="11">
        <v>57.732789452356222</v>
      </c>
      <c r="N6" s="11">
        <v>63.176287490228781</v>
      </c>
      <c r="O6" s="11">
        <v>65.350266195963172</v>
      </c>
      <c r="P6" s="11">
        <v>66.223327697022256</v>
      </c>
      <c r="Q6" s="11">
        <v>65.07796301031749</v>
      </c>
      <c r="R6" s="11">
        <v>68.673395206321104</v>
      </c>
      <c r="S6" s="11">
        <v>75.10915035844323</v>
      </c>
      <c r="T6" s="11">
        <v>72.807475594103337</v>
      </c>
      <c r="U6" s="11">
        <v>74.680248907745266</v>
      </c>
      <c r="V6" s="11">
        <v>78.354158175892394</v>
      </c>
      <c r="W6" s="11">
        <v>78.879841298032446</v>
      </c>
      <c r="X6" s="11">
        <v>71.00983161438468</v>
      </c>
      <c r="Y6" s="11">
        <v>71.752805037669361</v>
      </c>
      <c r="Z6" s="11">
        <v>72.704039677375505</v>
      </c>
      <c r="AA6" s="11">
        <v>73.674631843554764</v>
      </c>
      <c r="AB6" s="11">
        <v>74.416082347702968</v>
      </c>
      <c r="AC6" s="11">
        <v>75.104884102162245</v>
      </c>
      <c r="AD6" s="11">
        <v>75.758381244718578</v>
      </c>
      <c r="AE6" s="11">
        <v>76.416160719262422</v>
      </c>
      <c r="AF6" s="11">
        <v>77.062700641934853</v>
      </c>
      <c r="AG6" s="11">
        <v>77.742910489826954</v>
      </c>
      <c r="AH6" s="11">
        <v>78.406438546981576</v>
      </c>
      <c r="AI6" s="11">
        <v>79.095924671734579</v>
      </c>
      <c r="AJ6" s="11">
        <v>79.7738884487147</v>
      </c>
      <c r="AK6" s="11">
        <v>80.509303016312487</v>
      </c>
      <c r="AL6" s="11">
        <v>81.205940364543608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</row>
    <row r="7" spans="1:64" x14ac:dyDescent="0.2">
      <c r="L7" s="232" t="str">
        <f>'Occ T3'!A9</f>
        <v>12 Other managers and proprietors</v>
      </c>
      <c r="M7" s="11">
        <v>23.36011383240459</v>
      </c>
      <c r="N7" s="11">
        <v>26.90788312747377</v>
      </c>
      <c r="O7" s="11">
        <v>28.621108026744096</v>
      </c>
      <c r="P7" s="11">
        <v>28.805381527390143</v>
      </c>
      <c r="Q7" s="11">
        <v>31.841894091218332</v>
      </c>
      <c r="R7" s="11">
        <v>31.150010460958992</v>
      </c>
      <c r="S7" s="11">
        <v>29.282349376416906</v>
      </c>
      <c r="T7" s="11">
        <v>29.527044503220903</v>
      </c>
      <c r="U7" s="11">
        <v>30.608102817868129</v>
      </c>
      <c r="V7" s="11">
        <v>31.560410730472807</v>
      </c>
      <c r="W7" s="11">
        <v>31.0501044843197</v>
      </c>
      <c r="X7" s="11">
        <v>36.345033005213786</v>
      </c>
      <c r="Y7" s="11">
        <v>37.036024928936136</v>
      </c>
      <c r="Z7" s="11">
        <v>37.808778991968261</v>
      </c>
      <c r="AA7" s="11">
        <v>38.603497452729961</v>
      </c>
      <c r="AB7" s="11">
        <v>39.276270482513567</v>
      </c>
      <c r="AC7" s="11">
        <v>39.935331031404516</v>
      </c>
      <c r="AD7" s="11">
        <v>40.587151734168643</v>
      </c>
      <c r="AE7" s="11">
        <v>41.212598357648901</v>
      </c>
      <c r="AF7" s="11">
        <v>41.829527876917339</v>
      </c>
      <c r="AG7" s="11">
        <v>42.468059940457515</v>
      </c>
      <c r="AH7" s="11">
        <v>43.099839660216347</v>
      </c>
      <c r="AI7" s="11">
        <v>43.749175643594484</v>
      </c>
      <c r="AJ7" s="11">
        <v>44.38205725549625</v>
      </c>
      <c r="AK7" s="11">
        <v>45.065856403206858</v>
      </c>
      <c r="AL7" s="11">
        <v>45.743508847547353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</row>
    <row r="8" spans="1:64" x14ac:dyDescent="0.2">
      <c r="L8" s="232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</row>
    <row r="9" spans="1:64" x14ac:dyDescent="0.2">
      <c r="L9" s="17" t="str">
        <f>'Occ T3'!A11</f>
        <v>Professional occupations</v>
      </c>
      <c r="M9" s="87">
        <f t="shared" ref="M9" si="2">SUM(M10:M13)</f>
        <v>178.62301822065854</v>
      </c>
      <c r="N9" s="87">
        <f>SUM(N10:N13)</f>
        <v>175.00969619558327</v>
      </c>
      <c r="O9" s="87">
        <f t="shared" ref="O9:AL9" si="3">SUM(O10:O13)</f>
        <v>178.1433025419197</v>
      </c>
      <c r="P9" s="87">
        <f t="shared" si="3"/>
        <v>180.75790903753514</v>
      </c>
      <c r="Q9" s="87">
        <f t="shared" si="3"/>
        <v>182.11458884294817</v>
      </c>
      <c r="R9" s="87">
        <f t="shared" si="3"/>
        <v>187.40472106146541</v>
      </c>
      <c r="S9" s="87">
        <f t="shared" si="3"/>
        <v>198.50911862958341</v>
      </c>
      <c r="T9" s="87">
        <f t="shared" si="3"/>
        <v>185.03406123574615</v>
      </c>
      <c r="U9" s="87">
        <f t="shared" si="3"/>
        <v>194.09915623657935</v>
      </c>
      <c r="V9" s="87">
        <f t="shared" si="3"/>
        <v>204.98514734387325</v>
      </c>
      <c r="W9" s="87">
        <f t="shared" si="3"/>
        <v>210.18095966500374</v>
      </c>
      <c r="X9" s="87">
        <f t="shared" si="3"/>
        <v>216.3768798753207</v>
      </c>
      <c r="Y9" s="87">
        <f t="shared" si="3"/>
        <v>218.25442531415149</v>
      </c>
      <c r="Z9" s="87">
        <f t="shared" si="3"/>
        <v>220.89331859010485</v>
      </c>
      <c r="AA9" s="87">
        <f t="shared" si="3"/>
        <v>223.69706816845468</v>
      </c>
      <c r="AB9" s="87">
        <f t="shared" si="3"/>
        <v>225.95995697383091</v>
      </c>
      <c r="AC9" s="87">
        <f t="shared" si="3"/>
        <v>228.09953536919804</v>
      </c>
      <c r="AD9" s="87">
        <f t="shared" si="3"/>
        <v>230.13752654733435</v>
      </c>
      <c r="AE9" s="87">
        <f t="shared" si="3"/>
        <v>232.14958871245048</v>
      </c>
      <c r="AF9" s="87">
        <f t="shared" si="3"/>
        <v>234.14039867941233</v>
      </c>
      <c r="AG9" s="87">
        <f t="shared" si="3"/>
        <v>236.2164161773434</v>
      </c>
      <c r="AH9" s="87">
        <f t="shared" si="3"/>
        <v>238.22762585618091</v>
      </c>
      <c r="AI9" s="87">
        <f t="shared" si="3"/>
        <v>240.24976886909653</v>
      </c>
      <c r="AJ9" s="87">
        <f t="shared" si="3"/>
        <v>242.32992373986809</v>
      </c>
      <c r="AK9" s="87">
        <f t="shared" si="3"/>
        <v>244.46788095253498</v>
      </c>
      <c r="AL9" s="87">
        <f t="shared" si="3"/>
        <v>246.52999555946499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</row>
    <row r="10" spans="1:64" x14ac:dyDescent="0.2">
      <c r="L10" s="232" t="str">
        <f>'Occ T3'!A12</f>
        <v>21 Science, research, engineering and technology professionals</v>
      </c>
      <c r="M10" s="11">
        <v>58.792642882611503</v>
      </c>
      <c r="N10" s="11">
        <v>56.933394733959688</v>
      </c>
      <c r="O10" s="11">
        <v>57.557483096732149</v>
      </c>
      <c r="P10" s="11">
        <v>58.48723446017253</v>
      </c>
      <c r="Q10" s="11">
        <v>60.533550638448652</v>
      </c>
      <c r="R10" s="11">
        <v>63.176564041394101</v>
      </c>
      <c r="S10" s="11">
        <v>67.614703570149373</v>
      </c>
      <c r="T10" s="11">
        <v>59.931937446787266</v>
      </c>
      <c r="U10" s="11">
        <v>64.817802553522256</v>
      </c>
      <c r="V10" s="11">
        <v>67.962409440888067</v>
      </c>
      <c r="W10" s="11">
        <v>69.933180691612307</v>
      </c>
      <c r="X10" s="11">
        <v>71.031798376281515</v>
      </c>
      <c r="Y10" s="11">
        <v>71.754131565292141</v>
      </c>
      <c r="Z10" s="11">
        <v>72.694123344190743</v>
      </c>
      <c r="AA10" s="11">
        <v>73.67393933423773</v>
      </c>
      <c r="AB10" s="11">
        <v>74.453936611404387</v>
      </c>
      <c r="AC10" s="11">
        <v>75.203593482943035</v>
      </c>
      <c r="AD10" s="11">
        <v>75.934614665518126</v>
      </c>
      <c r="AE10" s="11">
        <v>76.66650484592401</v>
      </c>
      <c r="AF10" s="11">
        <v>77.390652500744466</v>
      </c>
      <c r="AG10" s="11">
        <v>78.145326744822157</v>
      </c>
      <c r="AH10" s="11">
        <v>78.900952905776123</v>
      </c>
      <c r="AI10" s="11">
        <v>79.667782716569022</v>
      </c>
      <c r="AJ10" s="11">
        <v>80.43837237369965</v>
      </c>
      <c r="AK10" s="11">
        <v>81.213823613354165</v>
      </c>
      <c r="AL10" s="11">
        <v>81.977793168316026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</row>
    <row r="11" spans="1:64" x14ac:dyDescent="0.2">
      <c r="L11" s="232" t="str">
        <f>'Occ T3'!A13</f>
        <v>22 Health professionals</v>
      </c>
      <c r="M11" s="11">
        <v>26.096054007983202</v>
      </c>
      <c r="N11" s="11">
        <v>27.669763350899157</v>
      </c>
      <c r="O11" s="11">
        <v>28.379620050737984</v>
      </c>
      <c r="P11" s="11">
        <v>28.529281456865199</v>
      </c>
      <c r="Q11" s="11">
        <v>27.512266233740831</v>
      </c>
      <c r="R11" s="11">
        <v>28.267194384711377</v>
      </c>
      <c r="S11" s="11">
        <v>29.980504576145588</v>
      </c>
      <c r="T11" s="11">
        <v>31.07499810413972</v>
      </c>
      <c r="U11" s="11">
        <v>30.718174499650264</v>
      </c>
      <c r="V11" s="11">
        <v>33.804261892733194</v>
      </c>
      <c r="W11" s="11">
        <v>33.507088363575704</v>
      </c>
      <c r="X11" s="11">
        <v>34.480210766040017</v>
      </c>
      <c r="Y11" s="11">
        <v>34.648130002358258</v>
      </c>
      <c r="Z11" s="11">
        <v>34.925816330743821</v>
      </c>
      <c r="AA11" s="11">
        <v>35.225193499880717</v>
      </c>
      <c r="AB11" s="11">
        <v>35.446328771962605</v>
      </c>
      <c r="AC11" s="11">
        <v>35.636888753853512</v>
      </c>
      <c r="AD11" s="11">
        <v>35.801798214203039</v>
      </c>
      <c r="AE11" s="11">
        <v>35.950647632825671</v>
      </c>
      <c r="AF11" s="11">
        <v>36.109339603501574</v>
      </c>
      <c r="AG11" s="11">
        <v>36.287980628274255</v>
      </c>
      <c r="AH11" s="11">
        <v>36.465294233256174</v>
      </c>
      <c r="AI11" s="11">
        <v>36.644300341251352</v>
      </c>
      <c r="AJ11" s="11">
        <v>36.826954524574177</v>
      </c>
      <c r="AK11" s="11">
        <v>37.002460637263646</v>
      </c>
      <c r="AL11" s="11">
        <v>37.145736440383374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</row>
    <row r="12" spans="1:64" x14ac:dyDescent="0.2">
      <c r="L12" s="232" t="str">
        <f>'Occ T3'!A14</f>
        <v>23 Teaching and other educational professionals</v>
      </c>
      <c r="M12" s="11">
        <v>34.497868796578324</v>
      </c>
      <c r="N12" s="11">
        <v>34.853467159168822</v>
      </c>
      <c r="O12" s="11">
        <v>35.561341686424157</v>
      </c>
      <c r="P12" s="11">
        <v>35.257436266954201</v>
      </c>
      <c r="Q12" s="11">
        <v>35.364877423390809</v>
      </c>
      <c r="R12" s="11">
        <v>38.222998373704257</v>
      </c>
      <c r="S12" s="11">
        <v>38.268264015481762</v>
      </c>
      <c r="T12" s="11">
        <v>37.172184179367541</v>
      </c>
      <c r="U12" s="11">
        <v>37.505255769154125</v>
      </c>
      <c r="V12" s="11">
        <v>39.126425629130246</v>
      </c>
      <c r="W12" s="11">
        <v>39.418497018336062</v>
      </c>
      <c r="X12" s="11">
        <v>39.473014627700024</v>
      </c>
      <c r="Y12" s="11">
        <v>39.638665539497843</v>
      </c>
      <c r="Z12" s="11">
        <v>39.990434846644192</v>
      </c>
      <c r="AA12" s="11">
        <v>40.402131938276987</v>
      </c>
      <c r="AB12" s="11">
        <v>40.742480700690237</v>
      </c>
      <c r="AC12" s="11">
        <v>41.082536085600829</v>
      </c>
      <c r="AD12" s="11">
        <v>41.409148912536423</v>
      </c>
      <c r="AE12" s="11">
        <v>41.724004359106623</v>
      </c>
      <c r="AF12" s="11">
        <v>42.034435404921481</v>
      </c>
      <c r="AG12" s="11">
        <v>42.363709268564747</v>
      </c>
      <c r="AH12" s="11">
        <v>42.662482525855751</v>
      </c>
      <c r="AI12" s="11">
        <v>42.968767443243699</v>
      </c>
      <c r="AJ12" s="11">
        <v>43.279869587574147</v>
      </c>
      <c r="AK12" s="11">
        <v>43.600612596296699</v>
      </c>
      <c r="AL12" s="11">
        <v>43.903871917542446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</row>
    <row r="13" spans="1:64" x14ac:dyDescent="0.2">
      <c r="L13" s="232" t="str">
        <f>'Occ T3'!A15</f>
        <v>24 Business, media and public service professionals</v>
      </c>
      <c r="M13" s="11">
        <v>59.236452533485505</v>
      </c>
      <c r="N13" s="11">
        <v>55.553070951555618</v>
      </c>
      <c r="O13" s="11">
        <v>56.644857708025391</v>
      </c>
      <c r="P13" s="11">
        <v>58.483956853543198</v>
      </c>
      <c r="Q13" s="11">
        <v>58.703894547367888</v>
      </c>
      <c r="R13" s="11">
        <v>57.737964261655698</v>
      </c>
      <c r="S13" s="11">
        <v>62.645646467806706</v>
      </c>
      <c r="T13" s="11">
        <v>56.854941505451606</v>
      </c>
      <c r="U13" s="11">
        <v>61.057923414252727</v>
      </c>
      <c r="V13" s="11">
        <v>64.092050381121737</v>
      </c>
      <c r="W13" s="11">
        <v>67.322193591479675</v>
      </c>
      <c r="X13" s="11">
        <v>71.391856105299169</v>
      </c>
      <c r="Y13" s="11">
        <v>72.213498207003241</v>
      </c>
      <c r="Z13" s="11">
        <v>73.282944068526092</v>
      </c>
      <c r="AA13" s="11">
        <v>74.39580339605925</v>
      </c>
      <c r="AB13" s="11">
        <v>75.317210889773705</v>
      </c>
      <c r="AC13" s="11">
        <v>76.176517046800654</v>
      </c>
      <c r="AD13" s="11">
        <v>76.991964755076765</v>
      </c>
      <c r="AE13" s="11">
        <v>77.808431874594163</v>
      </c>
      <c r="AF13" s="11">
        <v>78.605971170244814</v>
      </c>
      <c r="AG13" s="11">
        <v>79.419399535682231</v>
      </c>
      <c r="AH13" s="11">
        <v>80.19889619129286</v>
      </c>
      <c r="AI13" s="11">
        <v>80.968918368032462</v>
      </c>
      <c r="AJ13" s="11">
        <v>81.784727254020126</v>
      </c>
      <c r="AK13" s="11">
        <v>82.650984105620466</v>
      </c>
      <c r="AL13" s="11">
        <v>83.502594033223147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</row>
    <row r="14" spans="1:64" x14ac:dyDescent="0.2">
      <c r="L14" s="232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</row>
    <row r="15" spans="1:64" x14ac:dyDescent="0.2">
      <c r="L15" s="17" t="str">
        <f>'Occ T3'!A17</f>
        <v>Associate professional occupations</v>
      </c>
      <c r="M15" s="87">
        <f t="shared" ref="M15" si="4">SUM(M16:M20)</f>
        <v>106.20345955601728</v>
      </c>
      <c r="N15" s="87">
        <f>SUM(N16:N20)</f>
        <v>108.94149598016051</v>
      </c>
      <c r="O15" s="87">
        <f t="shared" ref="O15:AL15" si="5">SUM(O16:O20)</f>
        <v>113.03856883679916</v>
      </c>
      <c r="P15" s="87">
        <f t="shared" si="5"/>
        <v>110.03320255970065</v>
      </c>
      <c r="Q15" s="87">
        <f t="shared" si="5"/>
        <v>113.8648020872282</v>
      </c>
      <c r="R15" s="87">
        <f t="shared" si="5"/>
        <v>118.06235267038653</v>
      </c>
      <c r="S15" s="87">
        <f t="shared" si="5"/>
        <v>119.87358713034931</v>
      </c>
      <c r="T15" s="87">
        <f t="shared" si="5"/>
        <v>117.67758396923246</v>
      </c>
      <c r="U15" s="87">
        <f t="shared" si="5"/>
        <v>119.522594376158</v>
      </c>
      <c r="V15" s="87">
        <f t="shared" si="5"/>
        <v>120.05540533988096</v>
      </c>
      <c r="W15" s="87">
        <f t="shared" si="5"/>
        <v>124.08566971596375</v>
      </c>
      <c r="X15" s="87">
        <f t="shared" si="5"/>
        <v>117.78420697004394</v>
      </c>
      <c r="Y15" s="87">
        <f t="shared" si="5"/>
        <v>118.74466564097426</v>
      </c>
      <c r="Z15" s="87">
        <f t="shared" si="5"/>
        <v>119.96828270466938</v>
      </c>
      <c r="AA15" s="87">
        <f t="shared" si="5"/>
        <v>121.30299967306614</v>
      </c>
      <c r="AB15" s="87">
        <f t="shared" si="5"/>
        <v>122.27240002075092</v>
      </c>
      <c r="AC15" s="87">
        <f t="shared" si="5"/>
        <v>123.16080190393443</v>
      </c>
      <c r="AD15" s="87">
        <f t="shared" si="5"/>
        <v>123.94581968489589</v>
      </c>
      <c r="AE15" s="87">
        <f t="shared" si="5"/>
        <v>124.74701820630958</v>
      </c>
      <c r="AF15" s="87">
        <f t="shared" si="5"/>
        <v>125.55976133131777</v>
      </c>
      <c r="AG15" s="87">
        <f t="shared" si="5"/>
        <v>126.40785769915428</v>
      </c>
      <c r="AH15" s="87">
        <f t="shared" si="5"/>
        <v>127.20644951649135</v>
      </c>
      <c r="AI15" s="87">
        <f t="shared" si="5"/>
        <v>128.03527851400389</v>
      </c>
      <c r="AJ15" s="87">
        <f t="shared" si="5"/>
        <v>128.86291314460712</v>
      </c>
      <c r="AK15" s="87">
        <f t="shared" si="5"/>
        <v>129.72739757697292</v>
      </c>
      <c r="AL15" s="87">
        <f t="shared" si="5"/>
        <v>130.52666710307909</v>
      </c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</row>
    <row r="16" spans="1:64" x14ac:dyDescent="0.2">
      <c r="L16" s="232" t="str">
        <f>'Occ T3'!A18</f>
        <v>31 Science, engineering and technology associate professionals</v>
      </c>
      <c r="M16" s="11">
        <v>16.110936294145237</v>
      </c>
      <c r="N16" s="11">
        <v>15.750233120483248</v>
      </c>
      <c r="O16" s="11">
        <v>16.164227530600677</v>
      </c>
      <c r="P16" s="11">
        <v>16.379380096024143</v>
      </c>
      <c r="Q16" s="11">
        <v>15.433397022220991</v>
      </c>
      <c r="R16" s="11">
        <v>15.495168489057251</v>
      </c>
      <c r="S16" s="11">
        <v>16.791447030737224</v>
      </c>
      <c r="T16" s="11">
        <v>16.779614548911361</v>
      </c>
      <c r="U16" s="11">
        <v>17.587828900245942</v>
      </c>
      <c r="V16" s="11">
        <v>17.069560549647854</v>
      </c>
      <c r="W16" s="11">
        <v>18.372333308333101</v>
      </c>
      <c r="X16" s="11">
        <v>15.80284780114984</v>
      </c>
      <c r="Y16" s="11">
        <v>15.904437919517791</v>
      </c>
      <c r="Z16" s="11">
        <v>16.07405818567943</v>
      </c>
      <c r="AA16" s="11">
        <v>16.253293202769157</v>
      </c>
      <c r="AB16" s="11">
        <v>16.390845416542803</v>
      </c>
      <c r="AC16" s="11">
        <v>16.523050720901747</v>
      </c>
      <c r="AD16" s="11">
        <v>16.641502485490502</v>
      </c>
      <c r="AE16" s="11">
        <v>16.760418523106054</v>
      </c>
      <c r="AF16" s="11">
        <v>16.891449859152917</v>
      </c>
      <c r="AG16" s="11">
        <v>17.018044058085316</v>
      </c>
      <c r="AH16" s="11">
        <v>17.142119370283726</v>
      </c>
      <c r="AI16" s="11">
        <v>17.265335300222112</v>
      </c>
      <c r="AJ16" s="11">
        <v>17.385099803169201</v>
      </c>
      <c r="AK16" s="11">
        <v>17.503069999612677</v>
      </c>
      <c r="AL16" s="11">
        <v>17.616695063451782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</row>
    <row r="17" spans="12:64" x14ac:dyDescent="0.2">
      <c r="L17" s="232" t="str">
        <f>'Occ T3'!A19</f>
        <v>32 Health and social care associate professionals</v>
      </c>
      <c r="M17" s="11">
        <v>10.317898844581281</v>
      </c>
      <c r="N17" s="11">
        <v>12.81379931774163</v>
      </c>
      <c r="O17" s="11">
        <v>12.616354587387274</v>
      </c>
      <c r="P17" s="11">
        <v>12.155238704547584</v>
      </c>
      <c r="Q17" s="11">
        <v>11.700701084927077</v>
      </c>
      <c r="R17" s="11">
        <v>12.707484419440277</v>
      </c>
      <c r="S17" s="11">
        <v>12.874761049243057</v>
      </c>
      <c r="T17" s="11">
        <v>12.929185662129068</v>
      </c>
      <c r="U17" s="11">
        <v>13.796012576999734</v>
      </c>
      <c r="V17" s="11">
        <v>14.445980344186147</v>
      </c>
      <c r="W17" s="11">
        <v>14.702827358199553</v>
      </c>
      <c r="X17" s="11">
        <v>14.233290732853586</v>
      </c>
      <c r="Y17" s="11">
        <v>14.310305826451467</v>
      </c>
      <c r="Z17" s="11">
        <v>14.430376053263348</v>
      </c>
      <c r="AA17" s="11">
        <v>14.565714859697705</v>
      </c>
      <c r="AB17" s="11">
        <v>14.669006530218624</v>
      </c>
      <c r="AC17" s="11">
        <v>14.762914853514093</v>
      </c>
      <c r="AD17" s="11">
        <v>14.848449815468115</v>
      </c>
      <c r="AE17" s="11">
        <v>14.933022429571972</v>
      </c>
      <c r="AF17" s="11">
        <v>15.018635821436098</v>
      </c>
      <c r="AG17" s="11">
        <v>15.114382442096868</v>
      </c>
      <c r="AH17" s="11">
        <v>15.194021778082059</v>
      </c>
      <c r="AI17" s="11">
        <v>15.288801220657275</v>
      </c>
      <c r="AJ17" s="11">
        <v>15.380855335543602</v>
      </c>
      <c r="AK17" s="11">
        <v>15.47535407778412</v>
      </c>
      <c r="AL17" s="11">
        <v>15.567270685868875</v>
      </c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</row>
    <row r="18" spans="12:64" x14ac:dyDescent="0.2">
      <c r="L18" s="232" t="str">
        <f>'Occ T3'!A20</f>
        <v>33 Protective service occupations</v>
      </c>
      <c r="M18" s="11">
        <v>9.1568134555512799</v>
      </c>
      <c r="N18" s="11">
        <v>10.662055527454358</v>
      </c>
      <c r="O18" s="11">
        <v>10.744906722318555</v>
      </c>
      <c r="P18" s="11">
        <v>9.8839030899738471</v>
      </c>
      <c r="Q18" s="11">
        <v>10.075961452497761</v>
      </c>
      <c r="R18" s="11">
        <v>10.245227559390734</v>
      </c>
      <c r="S18" s="11">
        <v>10.874051204418071</v>
      </c>
      <c r="T18" s="11">
        <v>9.9845898228224996</v>
      </c>
      <c r="U18" s="11">
        <v>9.8594415648963629</v>
      </c>
      <c r="V18" s="11">
        <v>9.7022571982924486</v>
      </c>
      <c r="W18" s="11">
        <v>10.190391215898869</v>
      </c>
      <c r="X18" s="11">
        <v>11.408162152202785</v>
      </c>
      <c r="Y18" s="11">
        <v>11.635296469452715</v>
      </c>
      <c r="Z18" s="11">
        <v>11.849102062154456</v>
      </c>
      <c r="AA18" s="11">
        <v>12.071446360951544</v>
      </c>
      <c r="AB18" s="11">
        <v>12.247353027579933</v>
      </c>
      <c r="AC18" s="11">
        <v>12.418402308748954</v>
      </c>
      <c r="AD18" s="11">
        <v>12.574714055978761</v>
      </c>
      <c r="AE18" s="11">
        <v>12.738678692580862</v>
      </c>
      <c r="AF18" s="11">
        <v>12.910489506770212</v>
      </c>
      <c r="AG18" s="11">
        <v>13.09967072953507</v>
      </c>
      <c r="AH18" s="11">
        <v>13.285902525612531</v>
      </c>
      <c r="AI18" s="11">
        <v>13.469529899698808</v>
      </c>
      <c r="AJ18" s="11">
        <v>13.637616455212013</v>
      </c>
      <c r="AK18" s="11">
        <v>13.806441366283611</v>
      </c>
      <c r="AL18" s="11">
        <v>13.966560653587337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</row>
    <row r="19" spans="12:64" x14ac:dyDescent="0.2">
      <c r="L19" s="232" t="str">
        <f>'Occ T3'!A21</f>
        <v>34 Culture, media and sports occupations</v>
      </c>
      <c r="M19" s="11">
        <v>14.509012614442486</v>
      </c>
      <c r="N19" s="11">
        <v>17.550725464407019</v>
      </c>
      <c r="O19" s="11">
        <v>18.92439513824155</v>
      </c>
      <c r="P19" s="11">
        <v>17.617263836113885</v>
      </c>
      <c r="Q19" s="11">
        <v>19.664926889227122</v>
      </c>
      <c r="R19" s="11">
        <v>22.448448989730881</v>
      </c>
      <c r="S19" s="11">
        <v>19.931980416183581</v>
      </c>
      <c r="T19" s="11">
        <v>21.570920470186632</v>
      </c>
      <c r="U19" s="11">
        <v>20.733942528248267</v>
      </c>
      <c r="V19" s="11">
        <v>19.858512300221925</v>
      </c>
      <c r="W19" s="11">
        <v>20.723051149864897</v>
      </c>
      <c r="X19" s="11">
        <v>19.632040938821994</v>
      </c>
      <c r="Y19" s="11">
        <v>19.881080863556647</v>
      </c>
      <c r="Z19" s="11">
        <v>20.159956551723578</v>
      </c>
      <c r="AA19" s="11">
        <v>20.453300301784306</v>
      </c>
      <c r="AB19" s="11">
        <v>20.672704740666106</v>
      </c>
      <c r="AC19" s="11">
        <v>20.884503070408005</v>
      </c>
      <c r="AD19" s="11">
        <v>21.077841503405075</v>
      </c>
      <c r="AE19" s="11">
        <v>21.285608643896445</v>
      </c>
      <c r="AF19" s="11">
        <v>21.482047975686999</v>
      </c>
      <c r="AG19" s="11">
        <v>21.674421141349487</v>
      </c>
      <c r="AH19" s="11">
        <v>21.85717718070881</v>
      </c>
      <c r="AI19" s="11">
        <v>22.073398554880413</v>
      </c>
      <c r="AJ19" s="11">
        <v>22.280212063035929</v>
      </c>
      <c r="AK19" s="11">
        <v>22.527146774634151</v>
      </c>
      <c r="AL19" s="11">
        <v>22.738822976872477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</row>
    <row r="20" spans="12:64" x14ac:dyDescent="0.2">
      <c r="L20" s="232" t="str">
        <f>'Occ T3'!A22</f>
        <v>35 Business and public service associate professionals</v>
      </c>
      <c r="M20" s="11">
        <v>56.108798347296997</v>
      </c>
      <c r="N20" s="11">
        <v>52.164682550074261</v>
      </c>
      <c r="O20" s="11">
        <v>54.588684858251099</v>
      </c>
      <c r="P20" s="11">
        <v>53.997416833041193</v>
      </c>
      <c r="Q20" s="11">
        <v>56.989815638355253</v>
      </c>
      <c r="R20" s="11">
        <v>57.166023212767385</v>
      </c>
      <c r="S20" s="11">
        <v>59.401347429767377</v>
      </c>
      <c r="T20" s="11">
        <v>56.413273465182897</v>
      </c>
      <c r="U20" s="11">
        <v>57.545368805767694</v>
      </c>
      <c r="V20" s="11">
        <v>58.97909494753258</v>
      </c>
      <c r="W20" s="11">
        <v>60.097066683667329</v>
      </c>
      <c r="X20" s="11">
        <v>56.707865345015733</v>
      </c>
      <c r="Y20" s="11">
        <v>57.013544561995651</v>
      </c>
      <c r="Z20" s="11">
        <v>57.454789851848567</v>
      </c>
      <c r="AA20" s="11">
        <v>57.959244947863425</v>
      </c>
      <c r="AB20" s="11">
        <v>58.292490305743463</v>
      </c>
      <c r="AC20" s="11">
        <v>58.571930950361633</v>
      </c>
      <c r="AD20" s="11">
        <v>58.803311824553447</v>
      </c>
      <c r="AE20" s="11">
        <v>59.029289917154237</v>
      </c>
      <c r="AF20" s="11">
        <v>59.257138168271553</v>
      </c>
      <c r="AG20" s="11">
        <v>59.501339328087539</v>
      </c>
      <c r="AH20" s="11">
        <v>59.727228661804219</v>
      </c>
      <c r="AI20" s="11">
        <v>59.938213538545284</v>
      </c>
      <c r="AJ20" s="11">
        <v>60.179129487646378</v>
      </c>
      <c r="AK20" s="11">
        <v>60.415385358658362</v>
      </c>
      <c r="AL20" s="11">
        <v>60.637317723298622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</row>
    <row r="21" spans="12:64" x14ac:dyDescent="0.2">
      <c r="L21" s="232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</row>
    <row r="22" spans="12:64" x14ac:dyDescent="0.2">
      <c r="L22" s="17" t="str">
        <f>'Occ T3'!A24</f>
        <v>Administrative and secretarial occupations</v>
      </c>
      <c r="M22" s="87">
        <f t="shared" ref="M22" si="6">SUM(M23:M24)</f>
        <v>96.882302242072356</v>
      </c>
      <c r="N22" s="87">
        <f>SUM(N23:N24)</f>
        <v>93.817711956251429</v>
      </c>
      <c r="O22" s="87">
        <f t="shared" ref="O22:AL22" si="7">SUM(O23:O24)</f>
        <v>94.572471299953719</v>
      </c>
      <c r="P22" s="87">
        <f t="shared" si="7"/>
        <v>90.726927766571265</v>
      </c>
      <c r="Q22" s="87">
        <f t="shared" si="7"/>
        <v>92.664848014346717</v>
      </c>
      <c r="R22" s="87">
        <f t="shared" si="7"/>
        <v>93.96824546690263</v>
      </c>
      <c r="S22" s="87">
        <f t="shared" si="7"/>
        <v>90.992844599046038</v>
      </c>
      <c r="T22" s="87">
        <f t="shared" si="7"/>
        <v>89.715029791346595</v>
      </c>
      <c r="U22" s="87">
        <f t="shared" si="7"/>
        <v>91.186361698115064</v>
      </c>
      <c r="V22" s="87">
        <f t="shared" si="7"/>
        <v>87.500125810165741</v>
      </c>
      <c r="W22" s="87">
        <f t="shared" si="7"/>
        <v>88.379330022516001</v>
      </c>
      <c r="X22" s="87">
        <f t="shared" si="7"/>
        <v>85.292150624811583</v>
      </c>
      <c r="Y22" s="87">
        <f t="shared" si="7"/>
        <v>84.457591793160802</v>
      </c>
      <c r="Z22" s="87">
        <f t="shared" si="7"/>
        <v>83.781720269335239</v>
      </c>
      <c r="AA22" s="87">
        <f t="shared" si="7"/>
        <v>83.163949509686489</v>
      </c>
      <c r="AB22" s="87">
        <f t="shared" si="7"/>
        <v>82.318317359101599</v>
      </c>
      <c r="AC22" s="87">
        <f t="shared" si="7"/>
        <v>81.427476991283982</v>
      </c>
      <c r="AD22" s="87">
        <f t="shared" si="7"/>
        <v>80.496368662954609</v>
      </c>
      <c r="AE22" s="87">
        <f t="shared" si="7"/>
        <v>79.56063688081187</v>
      </c>
      <c r="AF22" s="87">
        <f t="shared" si="7"/>
        <v>78.633033932661391</v>
      </c>
      <c r="AG22" s="87">
        <f t="shared" si="7"/>
        <v>77.80234860762954</v>
      </c>
      <c r="AH22" s="87">
        <f t="shared" si="7"/>
        <v>77.042256358912269</v>
      </c>
      <c r="AI22" s="87">
        <f t="shared" si="7"/>
        <v>76.221169353714345</v>
      </c>
      <c r="AJ22" s="87">
        <f t="shared" si="7"/>
        <v>75.347470912150456</v>
      </c>
      <c r="AK22" s="87">
        <f t="shared" si="7"/>
        <v>74.202909562814369</v>
      </c>
      <c r="AL22" s="87">
        <f t="shared" si="7"/>
        <v>73.324556568201245</v>
      </c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</row>
    <row r="23" spans="12:64" x14ac:dyDescent="0.2">
      <c r="L23" s="232" t="str">
        <f>'Occ T3'!A25</f>
        <v>41 Administrative occupations</v>
      </c>
      <c r="M23" s="11">
        <v>70.474061011170335</v>
      </c>
      <c r="N23" s="11">
        <v>69.943620365056091</v>
      </c>
      <c r="O23" s="11">
        <v>71.245414012838935</v>
      </c>
      <c r="P23" s="11">
        <v>67.669397544371321</v>
      </c>
      <c r="Q23" s="11">
        <v>69.890388299559262</v>
      </c>
      <c r="R23" s="11">
        <v>72.16613856968074</v>
      </c>
      <c r="S23" s="11">
        <v>70.533439315540463</v>
      </c>
      <c r="T23" s="11">
        <v>69.349571764489042</v>
      </c>
      <c r="U23" s="11">
        <v>69.703577822852836</v>
      </c>
      <c r="V23" s="11">
        <v>68.464955203891563</v>
      </c>
      <c r="W23" s="11">
        <v>69.940840134492603</v>
      </c>
      <c r="X23" s="11">
        <v>64.874609688958458</v>
      </c>
      <c r="Y23" s="11">
        <v>64.484878665291632</v>
      </c>
      <c r="Z23" s="11">
        <v>64.222852312937462</v>
      </c>
      <c r="AA23" s="11">
        <v>64.025713852882873</v>
      </c>
      <c r="AB23" s="11">
        <v>63.62682297672081</v>
      </c>
      <c r="AC23" s="11">
        <v>63.172855003386388</v>
      </c>
      <c r="AD23" s="11">
        <v>62.638616010274212</v>
      </c>
      <c r="AE23" s="11">
        <v>62.100332619384275</v>
      </c>
      <c r="AF23" s="11">
        <v>61.606811678574026</v>
      </c>
      <c r="AG23" s="11">
        <v>61.137534571546404</v>
      </c>
      <c r="AH23" s="11">
        <v>60.618946526937215</v>
      </c>
      <c r="AI23" s="11">
        <v>60.06070110620729</v>
      </c>
      <c r="AJ23" s="11">
        <v>59.486417521572385</v>
      </c>
      <c r="AK23" s="11">
        <v>58.944410897448286</v>
      </c>
      <c r="AL23" s="11">
        <v>58.446301695484934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</row>
    <row r="24" spans="12:64" x14ac:dyDescent="0.2">
      <c r="L24" s="232" t="str">
        <f>'Occ T3'!A26</f>
        <v>42 Secretarial and related occupations</v>
      </c>
      <c r="M24" s="11">
        <v>26.408241230902018</v>
      </c>
      <c r="N24" s="11">
        <v>23.874091591195334</v>
      </c>
      <c r="O24" s="11">
        <v>23.32705728711478</v>
      </c>
      <c r="P24" s="11">
        <v>23.057530222199951</v>
      </c>
      <c r="Q24" s="11">
        <v>22.774459714787461</v>
      </c>
      <c r="R24" s="11">
        <v>21.802106897221897</v>
      </c>
      <c r="S24" s="11">
        <v>20.459405283505578</v>
      </c>
      <c r="T24" s="11">
        <v>20.365458026857549</v>
      </c>
      <c r="U24" s="11">
        <v>21.482783875262225</v>
      </c>
      <c r="V24" s="11">
        <v>19.035170606274182</v>
      </c>
      <c r="W24" s="11">
        <v>18.438489888023401</v>
      </c>
      <c r="X24" s="11">
        <v>20.417540935853125</v>
      </c>
      <c r="Y24" s="11">
        <v>19.972713127869167</v>
      </c>
      <c r="Z24" s="11">
        <v>19.558867956397783</v>
      </c>
      <c r="AA24" s="11">
        <v>19.138235656803619</v>
      </c>
      <c r="AB24" s="11">
        <v>18.691494382380792</v>
      </c>
      <c r="AC24" s="11">
        <v>18.25462198789759</v>
      </c>
      <c r="AD24" s="11">
        <v>17.857752652680389</v>
      </c>
      <c r="AE24" s="11">
        <v>17.460304261427595</v>
      </c>
      <c r="AF24" s="11">
        <v>17.026222254087369</v>
      </c>
      <c r="AG24" s="11">
        <v>16.66481403608314</v>
      </c>
      <c r="AH24" s="11">
        <v>16.42330983197505</v>
      </c>
      <c r="AI24" s="11">
        <v>16.160468247507048</v>
      </c>
      <c r="AJ24" s="11">
        <v>15.86105339057807</v>
      </c>
      <c r="AK24" s="11">
        <v>15.258498665366082</v>
      </c>
      <c r="AL24" s="11">
        <v>14.878254872716308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</row>
    <row r="25" spans="12:64" x14ac:dyDescent="0.2">
      <c r="L25" s="232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</row>
    <row r="26" spans="12:64" x14ac:dyDescent="0.2">
      <c r="L26" s="17" t="str">
        <f>'Occ T3'!A28</f>
        <v>Skilled trades occupations</v>
      </c>
      <c r="M26" s="87">
        <f t="shared" ref="M26" si="8">SUM(M27:M30)</f>
        <v>77.620215000180082</v>
      </c>
      <c r="N26" s="87">
        <f>SUM(N27:N30)</f>
        <v>76.91916936246551</v>
      </c>
      <c r="O26" s="87">
        <f t="shared" ref="O26:AL26" si="9">SUM(O27:O30)</f>
        <v>76.158512465866693</v>
      </c>
      <c r="P26" s="87">
        <f t="shared" si="9"/>
        <v>75.198788724866304</v>
      </c>
      <c r="Q26" s="87">
        <f t="shared" si="9"/>
        <v>80.931322327631221</v>
      </c>
      <c r="R26" s="87">
        <f>SUM(R27:R30)</f>
        <v>81.412516783741452</v>
      </c>
      <c r="S26" s="87">
        <f t="shared" si="9"/>
        <v>82.837850855448323</v>
      </c>
      <c r="T26" s="87">
        <f t="shared" si="9"/>
        <v>81.724244798324889</v>
      </c>
      <c r="U26" s="87">
        <f t="shared" si="9"/>
        <v>74.79254149797444</v>
      </c>
      <c r="V26" s="87">
        <f t="shared" si="9"/>
        <v>77.842029045706752</v>
      </c>
      <c r="W26" s="87">
        <f t="shared" si="9"/>
        <v>68.523564362064846</v>
      </c>
      <c r="X26" s="87">
        <f t="shared" si="9"/>
        <v>70.482770315246285</v>
      </c>
      <c r="Y26" s="87">
        <f t="shared" si="9"/>
        <v>70.702321611770245</v>
      </c>
      <c r="Z26" s="87">
        <f t="shared" si="9"/>
        <v>71.271985731758008</v>
      </c>
      <c r="AA26" s="87">
        <f t="shared" si="9"/>
        <v>71.777370615842671</v>
      </c>
      <c r="AB26" s="87">
        <f t="shared" si="9"/>
        <v>71.906951053581963</v>
      </c>
      <c r="AC26" s="87">
        <f t="shared" si="9"/>
        <v>71.941091084272045</v>
      </c>
      <c r="AD26" s="87">
        <f t="shared" si="9"/>
        <v>71.88926971389472</v>
      </c>
      <c r="AE26" s="87">
        <f t="shared" si="9"/>
        <v>71.880657760090926</v>
      </c>
      <c r="AF26" s="87">
        <f t="shared" si="9"/>
        <v>71.860975315326257</v>
      </c>
      <c r="AG26" s="87">
        <f t="shared" si="9"/>
        <v>71.872675478845423</v>
      </c>
      <c r="AH26" s="87">
        <f t="shared" si="9"/>
        <v>71.862046926366929</v>
      </c>
      <c r="AI26" s="87">
        <f t="shared" si="9"/>
        <v>71.832468313527443</v>
      </c>
      <c r="AJ26" s="87">
        <f t="shared" si="9"/>
        <v>71.789097093818896</v>
      </c>
      <c r="AK26" s="87">
        <f t="shared" si="9"/>
        <v>71.804608910661202</v>
      </c>
      <c r="AL26" s="87">
        <f t="shared" si="9"/>
        <v>71.783414885921047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</row>
    <row r="27" spans="12:64" x14ac:dyDescent="0.2">
      <c r="L27" s="232" t="str">
        <f>'Occ T3'!A29</f>
        <v>51 Skilled agricultural and related trades</v>
      </c>
      <c r="M27" s="11">
        <v>6.0354163976506019</v>
      </c>
      <c r="N27" s="11">
        <v>6.900240982318274</v>
      </c>
      <c r="O27" s="11">
        <v>7.8172439435298742</v>
      </c>
      <c r="P27" s="11">
        <v>6.5632779425313919</v>
      </c>
      <c r="Q27" s="11">
        <v>9.4955044369917019</v>
      </c>
      <c r="R27" s="11">
        <v>8.4039470707917943</v>
      </c>
      <c r="S27" s="11">
        <v>8.0412275143060228</v>
      </c>
      <c r="T27" s="11">
        <v>7.6534025338699907</v>
      </c>
      <c r="U27" s="11">
        <v>7.1859621766185295</v>
      </c>
      <c r="V27" s="11">
        <v>8.8761071523968695</v>
      </c>
      <c r="W27" s="11">
        <v>7.0314570870948216</v>
      </c>
      <c r="X27" s="11">
        <v>6.9874342800282054</v>
      </c>
      <c r="Y27" s="11">
        <v>7.1160255967117516</v>
      </c>
      <c r="Z27" s="11">
        <v>7.2765273647669444</v>
      </c>
      <c r="AA27" s="11">
        <v>7.4367747631008685</v>
      </c>
      <c r="AB27" s="11">
        <v>7.5692138796838897</v>
      </c>
      <c r="AC27" s="11">
        <v>7.6966038584745791</v>
      </c>
      <c r="AD27" s="11">
        <v>7.8200715352684718</v>
      </c>
      <c r="AE27" s="11">
        <v>7.9377033647500292</v>
      </c>
      <c r="AF27" s="11">
        <v>8.0539691043234392</v>
      </c>
      <c r="AG27" s="11">
        <v>8.1877054816216308</v>
      </c>
      <c r="AH27" s="11">
        <v>8.3206208112940541</v>
      </c>
      <c r="AI27" s="11">
        <v>8.4537385680791388</v>
      </c>
      <c r="AJ27" s="11">
        <v>8.5918633438810446</v>
      </c>
      <c r="AK27" s="11">
        <v>8.73252057220658</v>
      </c>
      <c r="AL27" s="11">
        <v>8.8852578157912987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</row>
    <row r="28" spans="12:64" x14ac:dyDescent="0.2">
      <c r="L28" s="232" t="str">
        <f>'Occ T3'!A30</f>
        <v>52 Skilled metal, electrical and electronic trades</v>
      </c>
      <c r="M28" s="11">
        <v>28.284452112321571</v>
      </c>
      <c r="N28" s="11">
        <v>28.362012494292699</v>
      </c>
      <c r="O28" s="11">
        <v>26.796324528197459</v>
      </c>
      <c r="P28" s="11">
        <v>27.405625021081978</v>
      </c>
      <c r="Q28" s="11">
        <v>29.177206659008192</v>
      </c>
      <c r="R28" s="11">
        <v>28.870477861307073</v>
      </c>
      <c r="S28" s="11">
        <v>29.80735324140587</v>
      </c>
      <c r="T28" s="11">
        <v>28.77832550952726</v>
      </c>
      <c r="U28" s="11">
        <v>27.503859129538409</v>
      </c>
      <c r="V28" s="11">
        <v>28.907720779088834</v>
      </c>
      <c r="W28" s="11">
        <v>25.128095818289641</v>
      </c>
      <c r="X28" s="11">
        <v>25.769809988490358</v>
      </c>
      <c r="Y28" s="11">
        <v>25.76989994202345</v>
      </c>
      <c r="Z28" s="11">
        <v>25.874482492171904</v>
      </c>
      <c r="AA28" s="11">
        <v>25.957752533578354</v>
      </c>
      <c r="AB28" s="11">
        <v>25.923578569977003</v>
      </c>
      <c r="AC28" s="11">
        <v>25.864224829228547</v>
      </c>
      <c r="AD28" s="11">
        <v>25.784734094751244</v>
      </c>
      <c r="AE28" s="11">
        <v>25.712992568524434</v>
      </c>
      <c r="AF28" s="11">
        <v>25.63969671267748</v>
      </c>
      <c r="AG28" s="11">
        <v>25.561534440487069</v>
      </c>
      <c r="AH28" s="11">
        <v>25.475402441497614</v>
      </c>
      <c r="AI28" s="11">
        <v>25.391794390843042</v>
      </c>
      <c r="AJ28" s="11">
        <v>25.312722005156171</v>
      </c>
      <c r="AK28" s="11">
        <v>25.248674258360644</v>
      </c>
      <c r="AL28" s="11">
        <v>25.16053680105826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</row>
    <row r="29" spans="12:64" x14ac:dyDescent="0.2">
      <c r="L29" s="232" t="str">
        <f>'Occ T3'!A31</f>
        <v>53 Skilled construction and building trades</v>
      </c>
      <c r="M29" s="11">
        <v>28.236479343863472</v>
      </c>
      <c r="N29" s="11">
        <v>25.123120632131602</v>
      </c>
      <c r="O29" s="11">
        <v>23.616700525589078</v>
      </c>
      <c r="P29" s="11">
        <v>23.667962063389467</v>
      </c>
      <c r="Q29" s="11">
        <v>24.150023671557804</v>
      </c>
      <c r="R29" s="11">
        <v>24.522418259082531</v>
      </c>
      <c r="S29" s="11">
        <v>25.89080748069631</v>
      </c>
      <c r="T29" s="11">
        <v>26.799790359495482</v>
      </c>
      <c r="U29" s="11">
        <v>22.128553726379948</v>
      </c>
      <c r="V29" s="11">
        <v>22.755820067139542</v>
      </c>
      <c r="W29" s="11">
        <v>20.419196268607529</v>
      </c>
      <c r="X29" s="11">
        <v>21.899649856615486</v>
      </c>
      <c r="Y29" s="11">
        <v>21.804351446352999</v>
      </c>
      <c r="Z29" s="11">
        <v>21.92137089168363</v>
      </c>
      <c r="AA29" s="11">
        <v>21.98341874113456</v>
      </c>
      <c r="AB29" s="11">
        <v>21.867085904972658</v>
      </c>
      <c r="AC29" s="11">
        <v>21.728597201972136</v>
      </c>
      <c r="AD29" s="11">
        <v>21.573561930148948</v>
      </c>
      <c r="AE29" s="11">
        <v>21.423530071468857</v>
      </c>
      <c r="AF29" s="11">
        <v>21.268272924549731</v>
      </c>
      <c r="AG29" s="11">
        <v>21.126449078893081</v>
      </c>
      <c r="AH29" s="11">
        <v>20.978811675215805</v>
      </c>
      <c r="AI29" s="11">
        <v>20.822772045592398</v>
      </c>
      <c r="AJ29" s="11">
        <v>20.662045998076383</v>
      </c>
      <c r="AK29" s="11">
        <v>20.519854007695937</v>
      </c>
      <c r="AL29" s="11">
        <v>20.361165478126061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</row>
    <row r="30" spans="12:64" x14ac:dyDescent="0.2">
      <c r="L30" s="232" t="str">
        <f>'Occ T3'!A32</f>
        <v>54 Textiles, printing and other skilled trades</v>
      </c>
      <c r="M30" s="11">
        <v>15.063867146344432</v>
      </c>
      <c r="N30" s="11">
        <v>16.533795253722939</v>
      </c>
      <c r="O30" s="11">
        <v>17.928243468550281</v>
      </c>
      <c r="P30" s="11">
        <v>17.561923697863467</v>
      </c>
      <c r="Q30" s="11">
        <v>18.108587560073516</v>
      </c>
      <c r="R30" s="11">
        <v>19.615673592560057</v>
      </c>
      <c r="S30" s="11">
        <v>19.09846261904012</v>
      </c>
      <c r="T30" s="11">
        <v>18.492726395432165</v>
      </c>
      <c r="U30" s="11">
        <v>17.974166465437548</v>
      </c>
      <c r="V30" s="11">
        <v>17.302381047081514</v>
      </c>
      <c r="W30" s="11">
        <v>15.944815188072862</v>
      </c>
      <c r="X30" s="11">
        <v>15.825876190112233</v>
      </c>
      <c r="Y30" s="11">
        <v>16.012044626682037</v>
      </c>
      <c r="Z30" s="11">
        <v>16.199604983135533</v>
      </c>
      <c r="AA30" s="11">
        <v>16.399424578028889</v>
      </c>
      <c r="AB30" s="11">
        <v>16.547072698948412</v>
      </c>
      <c r="AC30" s="11">
        <v>16.651665194596777</v>
      </c>
      <c r="AD30" s="11">
        <v>16.710902153726067</v>
      </c>
      <c r="AE30" s="11">
        <v>16.806431755347603</v>
      </c>
      <c r="AF30" s="11">
        <v>16.899036573775604</v>
      </c>
      <c r="AG30" s="11">
        <v>16.996986477843649</v>
      </c>
      <c r="AH30" s="11">
        <v>17.087211998359447</v>
      </c>
      <c r="AI30" s="11">
        <v>17.164163309012864</v>
      </c>
      <c r="AJ30" s="11">
        <v>17.222465746705293</v>
      </c>
      <c r="AK30" s="11">
        <v>17.303560072398046</v>
      </c>
      <c r="AL30" s="11">
        <v>17.376454790945417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</row>
    <row r="31" spans="12:64" x14ac:dyDescent="0.2">
      <c r="L31" s="232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</row>
    <row r="32" spans="12:64" x14ac:dyDescent="0.2">
      <c r="L32" s="17" t="str">
        <f>'Occ T3'!A34</f>
        <v>Caring, leisure and other service occupations</v>
      </c>
      <c r="M32" s="87">
        <f t="shared" ref="M32:AD32" si="10">SUM(M33:M35)</f>
        <v>72.13463626797467</v>
      </c>
      <c r="N32" s="87">
        <f t="shared" si="10"/>
        <v>72.915865238209662</v>
      </c>
      <c r="O32" s="87">
        <f t="shared" si="10"/>
        <v>73.134906214958903</v>
      </c>
      <c r="P32" s="87">
        <f t="shared" si="10"/>
        <v>73.132329758175814</v>
      </c>
      <c r="Q32" s="87">
        <f t="shared" si="10"/>
        <v>74.947029448573673</v>
      </c>
      <c r="R32" s="87">
        <f t="shared" si="10"/>
        <v>81.542313296358259</v>
      </c>
      <c r="S32" s="87">
        <f t="shared" si="10"/>
        <v>80.640013467368973</v>
      </c>
      <c r="T32" s="87">
        <f t="shared" si="10"/>
        <v>80.974314383950016</v>
      </c>
      <c r="U32" s="87">
        <f t="shared" si="10"/>
        <v>79.27690707612328</v>
      </c>
      <c r="V32" s="87">
        <f t="shared" si="10"/>
        <v>83.203369424048049</v>
      </c>
      <c r="W32" s="87">
        <f t="shared" si="10"/>
        <v>78.928229856731903</v>
      </c>
      <c r="X32" s="87">
        <f t="shared" si="10"/>
        <v>81.000739733301046</v>
      </c>
      <c r="Y32" s="87">
        <f t="shared" si="10"/>
        <v>81.444333919684894</v>
      </c>
      <c r="Z32" s="87">
        <f t="shared" si="10"/>
        <v>82.10002474046</v>
      </c>
      <c r="AA32" s="87">
        <f t="shared" si="10"/>
        <v>82.854591076839185</v>
      </c>
      <c r="AB32" s="87">
        <f t="shared" si="10"/>
        <v>83.465879383626358</v>
      </c>
      <c r="AC32" s="87">
        <f t="shared" si="10"/>
        <v>84.00858603954434</v>
      </c>
      <c r="AD32" s="87">
        <f t="shared" si="10"/>
        <v>84.517712005656648</v>
      </c>
      <c r="AE32" s="87">
        <f t="shared" ref="AE32" si="11">SUM(AE33:AE35)</f>
        <v>85.01673891460463</v>
      </c>
      <c r="AF32" s="87">
        <f t="shared" ref="AF32" si="12">SUM(AF33:AF35)</f>
        <v>85.522548784604865</v>
      </c>
      <c r="AG32" s="87">
        <f t="shared" ref="AG32" si="13">SUM(AG33:AG35)</f>
        <v>86.046883267078769</v>
      </c>
      <c r="AH32" s="87">
        <f t="shared" ref="AH32" si="14">SUM(AH33:AH35)</f>
        <v>86.543002002614699</v>
      </c>
      <c r="AI32" s="87">
        <f t="shared" ref="AI32" si="15">SUM(AI33:AI35)</f>
        <v>87.05162492967996</v>
      </c>
      <c r="AJ32" s="87">
        <f t="shared" ref="AJ32" si="16">SUM(AJ33:AJ35)</f>
        <v>87.564057010967005</v>
      </c>
      <c r="AK32" s="87">
        <f t="shared" ref="AK32" si="17">SUM(AK33:AK35)</f>
        <v>88.060615229883652</v>
      </c>
      <c r="AL32" s="87">
        <f t="shared" ref="AL32" si="18">SUM(AL33:AL35)</f>
        <v>88.550962485980079</v>
      </c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</row>
    <row r="33" spans="12:64" x14ac:dyDescent="0.2">
      <c r="L33" s="232" t="str">
        <f>'Occ T3'!A35</f>
        <v>61 Caring personal service occupations</v>
      </c>
      <c r="M33" s="11">
        <v>53.191883965811023</v>
      </c>
      <c r="N33" s="11">
        <v>51.544138428622915</v>
      </c>
      <c r="O33" s="11">
        <v>51.757367735881481</v>
      </c>
      <c r="P33" s="11">
        <v>52.42634493854662</v>
      </c>
      <c r="Q33" s="11">
        <v>53.273088648938504</v>
      </c>
      <c r="R33" s="11">
        <v>58.131005767511112</v>
      </c>
      <c r="S33" s="11">
        <v>58.77888036635693</v>
      </c>
      <c r="T33" s="11">
        <v>59.083460472337876</v>
      </c>
      <c r="U33" s="11">
        <v>57.434599278932808</v>
      </c>
      <c r="V33" s="11">
        <v>59.688732187940488</v>
      </c>
      <c r="W33" s="11">
        <v>56.991340768895562</v>
      </c>
      <c r="X33" s="11">
        <v>59.348871059921549</v>
      </c>
      <c r="Y33" s="11">
        <v>59.790260835435795</v>
      </c>
      <c r="Z33" s="11">
        <v>60.329639059276374</v>
      </c>
      <c r="AA33" s="11">
        <v>60.937210713551579</v>
      </c>
      <c r="AB33" s="11">
        <v>61.449225038953898</v>
      </c>
      <c r="AC33" s="11">
        <v>61.905561964231218</v>
      </c>
      <c r="AD33" s="11">
        <v>62.339872656602175</v>
      </c>
      <c r="AE33" s="11">
        <v>62.756336716628446</v>
      </c>
      <c r="AF33" s="11">
        <v>63.186527322011507</v>
      </c>
      <c r="AG33" s="11">
        <v>63.650324311124649</v>
      </c>
      <c r="AH33" s="11">
        <v>64.102119133092899</v>
      </c>
      <c r="AI33" s="11">
        <v>64.557141671611873</v>
      </c>
      <c r="AJ33" s="11">
        <v>65.013729069643077</v>
      </c>
      <c r="AK33" s="11">
        <v>65.452686028780874</v>
      </c>
      <c r="AL33" s="11">
        <v>65.879337343067263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</row>
    <row r="34" spans="12:64" x14ac:dyDescent="0.2">
      <c r="L34" s="232" t="str">
        <f>'Occ T3'!A36</f>
        <v>62 Leisure, travel and related personal service occupations</v>
      </c>
      <c r="M34" s="11">
        <v>17.62858735520684</v>
      </c>
      <c r="N34" s="11">
        <v>20.403434489503471</v>
      </c>
      <c r="O34" s="11">
        <v>20.413438323426973</v>
      </c>
      <c r="P34" s="11">
        <v>19.86648324227318</v>
      </c>
      <c r="Q34" s="11">
        <v>20.692487513937632</v>
      </c>
      <c r="R34" s="11">
        <v>22.488059503441097</v>
      </c>
      <c r="S34" s="11">
        <v>21.077133634911391</v>
      </c>
      <c r="T34" s="11">
        <v>21.092980082937778</v>
      </c>
      <c r="U34" s="11">
        <v>21.024681925425597</v>
      </c>
      <c r="V34" s="11">
        <v>22.764587776774363</v>
      </c>
      <c r="W34" s="11">
        <v>20.996416440378088</v>
      </c>
      <c r="X34" s="11">
        <v>20.923233977713885</v>
      </c>
      <c r="Y34" s="11">
        <v>20.916026314092633</v>
      </c>
      <c r="Z34" s="11">
        <v>21.024218386833549</v>
      </c>
      <c r="AA34" s="11">
        <v>21.162635007267728</v>
      </c>
      <c r="AB34" s="11">
        <v>21.256535200466839</v>
      </c>
      <c r="AC34" s="11">
        <v>21.337836992883048</v>
      </c>
      <c r="AD34" s="11">
        <v>21.408488648444131</v>
      </c>
      <c r="AE34" s="11">
        <v>21.487047067258455</v>
      </c>
      <c r="AF34" s="11">
        <v>21.558659580725081</v>
      </c>
      <c r="AG34" s="11">
        <v>21.614838144278828</v>
      </c>
      <c r="AH34" s="11">
        <v>21.655094147910297</v>
      </c>
      <c r="AI34" s="11">
        <v>21.704582797049881</v>
      </c>
      <c r="AJ34" s="11">
        <v>21.756791345279414</v>
      </c>
      <c r="AK34" s="11">
        <v>21.810798280050413</v>
      </c>
      <c r="AL34" s="11">
        <v>21.871543451721784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</row>
    <row r="35" spans="12:64" x14ac:dyDescent="0.2">
      <c r="L35" s="232" t="str">
        <f>'Occ T3'!A37</f>
        <v>63 Community and civil enforcement occupations</v>
      </c>
      <c r="M35" s="11">
        <v>1.3141649469568066</v>
      </c>
      <c r="N35" s="11">
        <v>0.96829232008327759</v>
      </c>
      <c r="O35" s="11">
        <v>0.9641001556504385</v>
      </c>
      <c r="P35" s="11">
        <v>0.83950157735601538</v>
      </c>
      <c r="Q35" s="11">
        <v>0.98145328569753598</v>
      </c>
      <c r="R35" s="11">
        <v>0.92324802540605289</v>
      </c>
      <c r="S35" s="11">
        <v>0.78399946610065097</v>
      </c>
      <c r="T35" s="11">
        <v>0.79787382867435686</v>
      </c>
      <c r="U35" s="11">
        <v>0.81762587176487433</v>
      </c>
      <c r="V35" s="11">
        <v>0.75004945933320477</v>
      </c>
      <c r="W35" s="11">
        <v>0.94047264745824644</v>
      </c>
      <c r="X35" s="11">
        <v>0.72863469566560535</v>
      </c>
      <c r="Y35" s="11">
        <v>0.7380467701564557</v>
      </c>
      <c r="Z35" s="11">
        <v>0.74616729435006823</v>
      </c>
      <c r="AA35" s="11">
        <v>0.75474535601987602</v>
      </c>
      <c r="AB35" s="11">
        <v>0.76011914420561344</v>
      </c>
      <c r="AC35" s="11">
        <v>0.76518708243007916</v>
      </c>
      <c r="AD35" s="11">
        <v>0.76935070061034083</v>
      </c>
      <c r="AE35" s="11">
        <v>0.77335513071773199</v>
      </c>
      <c r="AF35" s="11">
        <v>0.77736188186827837</v>
      </c>
      <c r="AG35" s="11">
        <v>0.78172081167530327</v>
      </c>
      <c r="AH35" s="11">
        <v>0.78578872161149393</v>
      </c>
      <c r="AI35" s="11">
        <v>0.78990046101819955</v>
      </c>
      <c r="AJ35" s="11">
        <v>0.79353659604451199</v>
      </c>
      <c r="AK35" s="11">
        <v>0.79713092105235051</v>
      </c>
      <c r="AL35" s="11">
        <v>0.80008169119102535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</row>
    <row r="36" spans="12:64" x14ac:dyDescent="0.2">
      <c r="L36" s="232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87"/>
      <c r="AF36" s="87"/>
      <c r="AG36" s="87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</row>
    <row r="37" spans="12:64" x14ac:dyDescent="0.2">
      <c r="L37" s="17" t="str">
        <f>'Occ T3'!A39</f>
        <v>Sales and customer service occupations</v>
      </c>
      <c r="M37" s="87">
        <f>SUM(M38:M39)</f>
        <v>60.88883905183468</v>
      </c>
      <c r="N37" s="87">
        <f t="shared" ref="N37:AL37" si="19">SUM(N38:N39)</f>
        <v>65.740824931038503</v>
      </c>
      <c r="O37" s="87">
        <f t="shared" si="19"/>
        <v>69.232755714938733</v>
      </c>
      <c r="P37" s="87">
        <f t="shared" si="19"/>
        <v>67.547590325357561</v>
      </c>
      <c r="Q37" s="87">
        <f t="shared" si="19"/>
        <v>66.868656247134268</v>
      </c>
      <c r="R37" s="87">
        <f t="shared" si="19"/>
        <v>67.650112553582659</v>
      </c>
      <c r="S37" s="87">
        <f t="shared" si="19"/>
        <v>69.415155572423416</v>
      </c>
      <c r="T37" s="87">
        <f t="shared" si="19"/>
        <v>65.18445169991675</v>
      </c>
      <c r="U37" s="87">
        <f t="shared" si="19"/>
        <v>65.99056156533905</v>
      </c>
      <c r="V37" s="87">
        <f t="shared" si="19"/>
        <v>66.064672482627699</v>
      </c>
      <c r="W37" s="87">
        <f t="shared" si="19"/>
        <v>66.154645293507599</v>
      </c>
      <c r="X37" s="87">
        <f t="shared" si="19"/>
        <v>65.723622306922522</v>
      </c>
      <c r="Y37" s="87">
        <f t="shared" si="19"/>
        <v>65.737935944113119</v>
      </c>
      <c r="Z37" s="87">
        <f t="shared" si="19"/>
        <v>65.927586238457991</v>
      </c>
      <c r="AA37" s="87">
        <f t="shared" si="19"/>
        <v>66.188745066748609</v>
      </c>
      <c r="AB37" s="87">
        <f t="shared" si="19"/>
        <v>66.294151026564577</v>
      </c>
      <c r="AC37" s="87">
        <f t="shared" si="19"/>
        <v>66.327025188153897</v>
      </c>
      <c r="AD37" s="87">
        <f t="shared" si="19"/>
        <v>66.325738643857491</v>
      </c>
      <c r="AE37" s="87">
        <f t="shared" si="19"/>
        <v>66.336724077457916</v>
      </c>
      <c r="AF37" s="87">
        <f t="shared" si="19"/>
        <v>66.342263303237004</v>
      </c>
      <c r="AG37" s="87">
        <f t="shared" si="19"/>
        <v>66.330009449850635</v>
      </c>
      <c r="AH37" s="87">
        <f t="shared" si="19"/>
        <v>66.35157908730902</v>
      </c>
      <c r="AI37" s="87">
        <f t="shared" si="19"/>
        <v>66.335539715069302</v>
      </c>
      <c r="AJ37" s="87">
        <f t="shared" si="19"/>
        <v>66.326108649857559</v>
      </c>
      <c r="AK37" s="87">
        <f t="shared" si="19"/>
        <v>66.31070179473501</v>
      </c>
      <c r="AL37" s="87">
        <f t="shared" si="19"/>
        <v>66.316025592094505</v>
      </c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</row>
    <row r="38" spans="12:64" x14ac:dyDescent="0.2">
      <c r="L38" s="232" t="str">
        <f>'Occ T3'!A40</f>
        <v>71 Sales occupations</v>
      </c>
      <c r="M38" s="11">
        <v>48.722848757557898</v>
      </c>
      <c r="N38" s="11">
        <v>53.446137550182463</v>
      </c>
      <c r="O38" s="11">
        <v>56.628306429679775</v>
      </c>
      <c r="P38" s="11">
        <v>55.341589274055679</v>
      </c>
      <c r="Q38" s="11">
        <v>54.868484000190655</v>
      </c>
      <c r="R38" s="11">
        <v>54.477963592890447</v>
      </c>
      <c r="S38" s="11">
        <v>56.423022743227214</v>
      </c>
      <c r="T38" s="11">
        <v>51.852570293462129</v>
      </c>
      <c r="U38" s="11">
        <v>52.349429705317185</v>
      </c>
      <c r="V38" s="11">
        <v>52.542405994336903</v>
      </c>
      <c r="W38" s="11">
        <v>52.38875275613151</v>
      </c>
      <c r="X38" s="11">
        <v>49.193164193254646</v>
      </c>
      <c r="Y38" s="11">
        <v>49.001780748690642</v>
      </c>
      <c r="Z38" s="11">
        <v>48.925721336461223</v>
      </c>
      <c r="AA38" s="11">
        <v>48.895741829477572</v>
      </c>
      <c r="AB38" s="11">
        <v>48.745388094071551</v>
      </c>
      <c r="AC38" s="11">
        <v>48.537874813518954</v>
      </c>
      <c r="AD38" s="11">
        <v>48.307060552823685</v>
      </c>
      <c r="AE38" s="11">
        <v>48.094255114211364</v>
      </c>
      <c r="AF38" s="11">
        <v>47.866148406957045</v>
      </c>
      <c r="AG38" s="11">
        <v>47.616041313260112</v>
      </c>
      <c r="AH38" s="11">
        <v>47.410908526119961</v>
      </c>
      <c r="AI38" s="11">
        <v>47.167761098652576</v>
      </c>
      <c r="AJ38" s="11">
        <v>46.919443813057491</v>
      </c>
      <c r="AK38" s="11">
        <v>46.671540434425161</v>
      </c>
      <c r="AL38" s="11">
        <v>46.442664895555289</v>
      </c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</row>
    <row r="39" spans="12:64" x14ac:dyDescent="0.2">
      <c r="L39" s="232" t="str">
        <f>'Occ T3'!A41</f>
        <v>72 Customer service occupations</v>
      </c>
      <c r="M39" s="11">
        <v>12.16599029427678</v>
      </c>
      <c r="N39" s="11">
        <v>12.29468738085604</v>
      </c>
      <c r="O39" s="11">
        <v>12.604449285258958</v>
      </c>
      <c r="P39" s="11">
        <v>12.206001051301884</v>
      </c>
      <c r="Q39" s="11">
        <v>12.000172246943613</v>
      </c>
      <c r="R39" s="11">
        <v>13.172148960692217</v>
      </c>
      <c r="S39" s="11">
        <v>12.992132829196203</v>
      </c>
      <c r="T39" s="11">
        <v>13.331881406454615</v>
      </c>
      <c r="U39" s="11">
        <v>13.641131860021865</v>
      </c>
      <c r="V39" s="11">
        <v>13.5222664882908</v>
      </c>
      <c r="W39" s="11">
        <v>13.765892537376093</v>
      </c>
      <c r="X39" s="11">
        <v>16.530458113667869</v>
      </c>
      <c r="Y39" s="11">
        <v>16.73615519542248</v>
      </c>
      <c r="Z39" s="11">
        <v>17.001864901996768</v>
      </c>
      <c r="AA39" s="11">
        <v>17.293003237271041</v>
      </c>
      <c r="AB39" s="11">
        <v>17.548762932493023</v>
      </c>
      <c r="AC39" s="11">
        <v>17.789150374634939</v>
      </c>
      <c r="AD39" s="11">
        <v>18.018678091033809</v>
      </c>
      <c r="AE39" s="11">
        <v>18.242468963246555</v>
      </c>
      <c r="AF39" s="11">
        <v>18.47611489627996</v>
      </c>
      <c r="AG39" s="11">
        <v>18.713968136590523</v>
      </c>
      <c r="AH39" s="11">
        <v>18.940670561189055</v>
      </c>
      <c r="AI39" s="11">
        <v>19.167778616416733</v>
      </c>
      <c r="AJ39" s="11">
        <v>19.406664836800061</v>
      </c>
      <c r="AK39" s="11">
        <v>19.639161360309853</v>
      </c>
      <c r="AL39" s="11">
        <v>19.873360696539212</v>
      </c>
      <c r="AM39" s="11"/>
    </row>
    <row r="40" spans="12:64" x14ac:dyDescent="0.2">
      <c r="L40" s="232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87"/>
      <c r="AF40" s="87"/>
      <c r="AG40" s="87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</row>
    <row r="41" spans="12:64" x14ac:dyDescent="0.2">
      <c r="L41" s="17" t="str">
        <f>'Occ T3'!A43</f>
        <v>Process, plant and machine operatives</v>
      </c>
      <c r="M41" s="87">
        <f>SUM(M42:M43)</f>
        <v>37.710288835421537</v>
      </c>
      <c r="N41" s="87">
        <f t="shared" ref="N41" si="20">SUM(N42:N43)</f>
        <v>37.600734991472073</v>
      </c>
      <c r="O41" s="87">
        <f t="shared" ref="O41" si="21">SUM(O42:O43)</f>
        <v>37.666347228059976</v>
      </c>
      <c r="P41" s="87">
        <f t="shared" ref="P41" si="22">SUM(P42:P43)</f>
        <v>35.014389717431321</v>
      </c>
      <c r="Q41" s="87">
        <f t="shared" ref="Q41" si="23">SUM(Q42:Q43)</f>
        <v>38.76327715660566</v>
      </c>
      <c r="R41" s="87">
        <f t="shared" ref="R41" si="24">SUM(R42:R43)</f>
        <v>37.86368362937651</v>
      </c>
      <c r="S41" s="87">
        <f t="shared" ref="S41" si="25">SUM(S42:S43)</f>
        <v>40.690047695115965</v>
      </c>
      <c r="T41" s="87">
        <f t="shared" ref="T41" si="26">SUM(T42:T43)</f>
        <v>39.297850977524007</v>
      </c>
      <c r="U41" s="87">
        <f t="shared" ref="U41" si="27">SUM(U42:U43)</f>
        <v>40.193926798743938</v>
      </c>
      <c r="V41" s="87">
        <f t="shared" ref="V41" si="28">SUM(V42:V43)</f>
        <v>39.74154361038277</v>
      </c>
      <c r="W41" s="87">
        <f t="shared" ref="W41" si="29">SUM(W42:W43)</f>
        <v>33.643335164535806</v>
      </c>
      <c r="X41" s="87">
        <f t="shared" ref="X41" si="30">SUM(X42:X43)</f>
        <v>37.801601360535862</v>
      </c>
      <c r="Y41" s="87">
        <f t="shared" ref="Y41" si="31">SUM(Y42:Y43)</f>
        <v>37.71366191855013</v>
      </c>
      <c r="Z41" s="87">
        <f t="shared" ref="Z41" si="32">SUM(Z42:Z43)</f>
        <v>37.858945708857803</v>
      </c>
      <c r="AA41" s="87">
        <f t="shared" ref="AA41" si="33">SUM(AA42:AA43)</f>
        <v>38.016276918438656</v>
      </c>
      <c r="AB41" s="87">
        <f t="shared" ref="AB41" si="34">SUM(AB42:AB43)</f>
        <v>38.00761082025749</v>
      </c>
      <c r="AC41" s="87">
        <f t="shared" ref="AC41" si="35">SUM(AC42:AC43)</f>
        <v>37.975066658976104</v>
      </c>
      <c r="AD41" s="87">
        <f t="shared" ref="AD41" si="36">SUM(AD42:AD43)</f>
        <v>37.957993266040958</v>
      </c>
      <c r="AE41" s="87">
        <f t="shared" ref="AE41" si="37">SUM(AE42:AE43)</f>
        <v>37.938907241151824</v>
      </c>
      <c r="AF41" s="87">
        <f t="shared" ref="AF41" si="38">SUM(AF42:AF43)</f>
        <v>37.917002420344467</v>
      </c>
      <c r="AG41" s="87">
        <f t="shared" ref="AG41" si="39">SUM(AG42:AG43)</f>
        <v>37.901501220354554</v>
      </c>
      <c r="AH41" s="87">
        <f t="shared" ref="AH41" si="40">SUM(AH42:AH43)</f>
        <v>37.877582072023479</v>
      </c>
      <c r="AI41" s="87">
        <f t="shared" ref="AI41" si="41">SUM(AI42:AI43)</f>
        <v>37.873712985375882</v>
      </c>
      <c r="AJ41" s="87">
        <f t="shared" ref="AJ41" si="42">SUM(AJ42:AJ43)</f>
        <v>37.898104297153552</v>
      </c>
      <c r="AK41" s="87">
        <f t="shared" ref="AK41" si="43">SUM(AK42:AK43)</f>
        <v>37.973450742125955</v>
      </c>
      <c r="AL41" s="87">
        <f t="shared" ref="AL41" si="44">SUM(AL42:AL43)</f>
        <v>38.048744257037569</v>
      </c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</row>
    <row r="42" spans="12:64" x14ac:dyDescent="0.2">
      <c r="L42" s="232" t="str">
        <f>'Occ T3'!A44</f>
        <v>81 Process, plant and machine operatives</v>
      </c>
      <c r="M42" s="11">
        <v>13.192015968270223</v>
      </c>
      <c r="N42" s="11">
        <v>12.733904026508119</v>
      </c>
      <c r="O42" s="11">
        <v>12.602493840803703</v>
      </c>
      <c r="P42" s="11">
        <v>12.269915336470065</v>
      </c>
      <c r="Q42" s="11">
        <v>12.897817525428652</v>
      </c>
      <c r="R42" s="11">
        <v>12.743962550817093</v>
      </c>
      <c r="S42" s="11">
        <v>13.008506598072614</v>
      </c>
      <c r="T42" s="11">
        <v>13.559505496854042</v>
      </c>
      <c r="U42" s="11">
        <v>13.292227080681917</v>
      </c>
      <c r="V42" s="11">
        <v>12.497065863849606</v>
      </c>
      <c r="W42" s="11">
        <v>10.939631034552663</v>
      </c>
      <c r="X42" s="11">
        <v>13.313244173075946</v>
      </c>
      <c r="Y42" s="11">
        <v>13.289563991500883</v>
      </c>
      <c r="Z42" s="11">
        <v>13.370677751173819</v>
      </c>
      <c r="AA42" s="11">
        <v>13.446490030560499</v>
      </c>
      <c r="AB42" s="11">
        <v>13.448269585660745</v>
      </c>
      <c r="AC42" s="11">
        <v>13.417195156043253</v>
      </c>
      <c r="AD42" s="11">
        <v>13.402536024889082</v>
      </c>
      <c r="AE42" s="11">
        <v>13.39550711056247</v>
      </c>
      <c r="AF42" s="11">
        <v>13.382650800197927</v>
      </c>
      <c r="AG42" s="11">
        <v>13.370528568210572</v>
      </c>
      <c r="AH42" s="11">
        <v>13.362622662981941</v>
      </c>
      <c r="AI42" s="11">
        <v>13.347871218526768</v>
      </c>
      <c r="AJ42" s="11">
        <v>13.347613674980293</v>
      </c>
      <c r="AK42" s="11">
        <v>13.384768492041822</v>
      </c>
      <c r="AL42" s="11">
        <v>13.418760554653188</v>
      </c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</row>
    <row r="43" spans="12:64" x14ac:dyDescent="0.2">
      <c r="L43" s="232" t="str">
        <f>'Occ T3'!A45</f>
        <v>82 Transport and mobile machine drivers and operatives</v>
      </c>
      <c r="M43" s="11">
        <v>24.518272867151317</v>
      </c>
      <c r="N43" s="11">
        <v>24.866830964963956</v>
      </c>
      <c r="O43" s="11">
        <v>25.063853387256273</v>
      </c>
      <c r="P43" s="11">
        <v>22.744474380961258</v>
      </c>
      <c r="Q43" s="11">
        <v>25.865459631177007</v>
      </c>
      <c r="R43" s="11">
        <v>25.119721078559419</v>
      </c>
      <c r="S43" s="11">
        <v>27.681541097043354</v>
      </c>
      <c r="T43" s="11">
        <v>25.738345480669967</v>
      </c>
      <c r="U43" s="11">
        <v>26.901699718062019</v>
      </c>
      <c r="V43" s="11">
        <v>27.244477746533164</v>
      </c>
      <c r="W43" s="11">
        <v>22.703704129983144</v>
      </c>
      <c r="X43" s="11">
        <v>24.488357187459915</v>
      </c>
      <c r="Y43" s="11">
        <v>24.424097927049246</v>
      </c>
      <c r="Z43" s="11">
        <v>24.488267957683984</v>
      </c>
      <c r="AA43" s="11">
        <v>24.569786887878159</v>
      </c>
      <c r="AB43" s="11">
        <v>24.559341234596747</v>
      </c>
      <c r="AC43" s="11">
        <v>24.557871502932851</v>
      </c>
      <c r="AD43" s="11">
        <v>24.555457241151874</v>
      </c>
      <c r="AE43" s="11">
        <v>24.543400130589358</v>
      </c>
      <c r="AF43" s="11">
        <v>24.534351620146541</v>
      </c>
      <c r="AG43" s="11">
        <v>24.53097265214398</v>
      </c>
      <c r="AH43" s="11">
        <v>24.514959409041538</v>
      </c>
      <c r="AI43" s="11">
        <v>24.525841766849112</v>
      </c>
      <c r="AJ43" s="11">
        <v>24.55049062217326</v>
      </c>
      <c r="AK43" s="11">
        <v>24.588682250084133</v>
      </c>
      <c r="AL43" s="11">
        <v>24.629983702384379</v>
      </c>
      <c r="AM43" s="11"/>
    </row>
    <row r="44" spans="12:64" x14ac:dyDescent="0.2">
      <c r="L44" s="232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87"/>
      <c r="AF44" s="87"/>
      <c r="AG44" s="87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</row>
    <row r="45" spans="12:64" x14ac:dyDescent="0.2">
      <c r="L45" s="17" t="str">
        <f>'Occ T3'!A47</f>
        <v>Elementary occupations</v>
      </c>
      <c r="M45" s="87">
        <f>SUM(M46:M47)</f>
        <v>90.642337541079343</v>
      </c>
      <c r="N45" s="87">
        <f t="shared" ref="N45" si="45">SUM(N46:N47)</f>
        <v>93.438330727116764</v>
      </c>
      <c r="O45" s="87">
        <f t="shared" ref="O45" si="46">SUM(O46:O47)</f>
        <v>97.87176147479579</v>
      </c>
      <c r="P45" s="87">
        <f t="shared" ref="P45" si="47">SUM(P46:P47)</f>
        <v>90.938152885949251</v>
      </c>
      <c r="Q45" s="87">
        <f t="shared" ref="Q45" si="48">SUM(Q46:Q47)</f>
        <v>96.446618773996477</v>
      </c>
      <c r="R45" s="87">
        <f t="shared" ref="R45" si="49">SUM(R46:R47)</f>
        <v>97.277648870906489</v>
      </c>
      <c r="S45" s="87">
        <f t="shared" ref="S45" si="50">SUM(S46:S47)</f>
        <v>96.492882315804479</v>
      </c>
      <c r="T45" s="87">
        <f t="shared" ref="T45" si="51">SUM(T46:T47)</f>
        <v>93.1699430466347</v>
      </c>
      <c r="U45" s="87">
        <f t="shared" ref="U45" si="52">SUM(U46:U47)</f>
        <v>91.882599025353812</v>
      </c>
      <c r="V45" s="87">
        <f t="shared" ref="V45" si="53">SUM(V46:V47)</f>
        <v>93.142138036950058</v>
      </c>
      <c r="W45" s="87">
        <f t="shared" ref="W45" si="54">SUM(W46:W47)</f>
        <v>84.814320137323875</v>
      </c>
      <c r="X45" s="87">
        <f t="shared" ref="X45" si="55">SUM(X46:X47)</f>
        <v>85.776164194219518</v>
      </c>
      <c r="Y45" s="87">
        <f t="shared" ref="Y45" si="56">SUM(Y46:Y47)</f>
        <v>85.899233890989379</v>
      </c>
      <c r="Z45" s="87">
        <f t="shared" ref="Z45" si="57">SUM(Z46:Z47)</f>
        <v>86.015317347013436</v>
      </c>
      <c r="AA45" s="87">
        <f t="shared" ref="AA45" si="58">SUM(AA46:AA47)</f>
        <v>86.172869674639244</v>
      </c>
      <c r="AB45" s="87">
        <f t="shared" ref="AB45" si="59">SUM(AB46:AB47)</f>
        <v>86.062380532069156</v>
      </c>
      <c r="AC45" s="87">
        <f t="shared" ref="AC45" si="60">SUM(AC46:AC47)</f>
        <v>85.869201631070482</v>
      </c>
      <c r="AD45" s="87">
        <f t="shared" ref="AD45" si="61">SUM(AD46:AD47)</f>
        <v>85.624038496478022</v>
      </c>
      <c r="AE45" s="87">
        <f t="shared" ref="AE45" si="62">SUM(AE46:AE47)</f>
        <v>85.359969130211454</v>
      </c>
      <c r="AF45" s="87">
        <f t="shared" ref="AF45" si="63">SUM(AF46:AF47)</f>
        <v>85.093787714244229</v>
      </c>
      <c r="AG45" s="87">
        <f t="shared" ref="AG45" si="64">SUM(AG46:AG47)</f>
        <v>84.835337669458511</v>
      </c>
      <c r="AH45" s="87">
        <f t="shared" ref="AH45" si="65">SUM(AH46:AH47)</f>
        <v>84.578179972903314</v>
      </c>
      <c r="AI45" s="87">
        <f t="shared" ref="AI45" si="66">SUM(AI46:AI47)</f>
        <v>84.306337004203314</v>
      </c>
      <c r="AJ45" s="87">
        <f t="shared" ref="AJ45" si="67">SUM(AJ46:AJ47)</f>
        <v>84.073379447366108</v>
      </c>
      <c r="AK45" s="87">
        <f t="shared" ref="AK45" si="68">SUM(AK46:AK47)</f>
        <v>83.790275810752718</v>
      </c>
      <c r="AL45" s="87">
        <f t="shared" ref="AL45" si="69">SUM(AL46:AL47)</f>
        <v>83.448184336130424</v>
      </c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</row>
    <row r="46" spans="12:64" x14ac:dyDescent="0.2">
      <c r="L46" s="232" t="str">
        <f>'Occ T3'!A48</f>
        <v>91 Elementary trades and related occupations</v>
      </c>
      <c r="M46" s="11">
        <v>10.719167515077141</v>
      </c>
      <c r="N46" s="11">
        <v>10.852603109148047</v>
      </c>
      <c r="O46" s="11">
        <v>10.651421719566564</v>
      </c>
      <c r="P46" s="11">
        <v>9.9133129211453177</v>
      </c>
      <c r="Q46" s="11">
        <v>11.452779246835318</v>
      </c>
      <c r="R46" s="11">
        <v>11.210781757562087</v>
      </c>
      <c r="S46" s="11">
        <v>11.525978290269443</v>
      </c>
      <c r="T46" s="11">
        <v>10.519750634992795</v>
      </c>
      <c r="U46" s="11">
        <v>10.072538521454604</v>
      </c>
      <c r="V46" s="11">
        <v>9.7879247979048163</v>
      </c>
      <c r="W46" s="11">
        <v>8.7182083202628089</v>
      </c>
      <c r="X46" s="11">
        <v>7.4754493173027772</v>
      </c>
      <c r="Y46" s="11">
        <v>7.4442985847354111</v>
      </c>
      <c r="Z46" s="11">
        <v>7.4477909368485653</v>
      </c>
      <c r="AA46" s="11">
        <v>7.449068723627045</v>
      </c>
      <c r="AB46" s="11">
        <v>7.4114416150968658</v>
      </c>
      <c r="AC46" s="11">
        <v>7.3764392419307789</v>
      </c>
      <c r="AD46" s="11">
        <v>7.3402677873518378</v>
      </c>
      <c r="AE46" s="11">
        <v>7.3095581175809441</v>
      </c>
      <c r="AF46" s="11">
        <v>7.2778925774237075</v>
      </c>
      <c r="AG46" s="11">
        <v>7.2424175460065365</v>
      </c>
      <c r="AH46" s="11">
        <v>7.205970411944759</v>
      </c>
      <c r="AI46" s="11">
        <v>7.1706530552015311</v>
      </c>
      <c r="AJ46" s="11">
        <v>7.1357650649382691</v>
      </c>
      <c r="AK46" s="11">
        <v>7.097985255447476</v>
      </c>
      <c r="AL46" s="11">
        <v>7.0598733495814647</v>
      </c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</row>
    <row r="47" spans="12:64" x14ac:dyDescent="0.2">
      <c r="L47" s="232" t="str">
        <f>'Occ T3'!A49</f>
        <v>92 Elementary administration and service occupations</v>
      </c>
      <c r="M47" s="11">
        <v>79.923170026002197</v>
      </c>
      <c r="N47" s="11">
        <v>82.585727617968715</v>
      </c>
      <c r="O47" s="11">
        <v>87.220339755229219</v>
      </c>
      <c r="P47" s="11">
        <v>81.024839964803931</v>
      </c>
      <c r="Q47" s="11">
        <v>84.993839527161157</v>
      </c>
      <c r="R47" s="11">
        <v>86.066867113344401</v>
      </c>
      <c r="S47" s="11">
        <v>84.96690402553503</v>
      </c>
      <c r="T47" s="11">
        <v>82.65019241164191</v>
      </c>
      <c r="U47" s="11">
        <v>81.810060503899209</v>
      </c>
      <c r="V47" s="11">
        <v>83.354213239045237</v>
      </c>
      <c r="W47" s="11">
        <v>76.096111817061072</v>
      </c>
      <c r="X47" s="11">
        <v>78.300714876916743</v>
      </c>
      <c r="Y47" s="11">
        <v>78.454935306253972</v>
      </c>
      <c r="Z47" s="11">
        <v>78.567526410164874</v>
      </c>
      <c r="AA47" s="11">
        <v>78.723800951012194</v>
      </c>
      <c r="AB47" s="11">
        <v>78.650938916972294</v>
      </c>
      <c r="AC47" s="11">
        <v>78.492762389139699</v>
      </c>
      <c r="AD47" s="11">
        <v>78.283770709126188</v>
      </c>
      <c r="AE47" s="11">
        <v>78.050411012630505</v>
      </c>
      <c r="AF47" s="11">
        <v>77.815895136820515</v>
      </c>
      <c r="AG47" s="11">
        <v>77.592920123451975</v>
      </c>
      <c r="AH47" s="11">
        <v>77.372209560958552</v>
      </c>
      <c r="AI47" s="11">
        <v>77.135683949001788</v>
      </c>
      <c r="AJ47" s="11">
        <v>76.937614382427839</v>
      </c>
      <c r="AK47" s="11">
        <v>76.692290555305249</v>
      </c>
      <c r="AL47" s="11">
        <v>76.388310986548959</v>
      </c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</row>
    <row r="48" spans="12:64" x14ac:dyDescent="0.2">
      <c r="L48" s="232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87"/>
      <c r="AF48" s="87"/>
      <c r="AG48" s="87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</row>
    <row r="49" spans="1:50" x14ac:dyDescent="0.2">
      <c r="L49" s="17" t="str">
        <f>'Occ T3'!A51</f>
        <v>All occupations</v>
      </c>
      <c r="M49" s="87">
        <f t="shared" ref="M49:AD49" si="70">SUM(M5,M9,M15,M22,M26,M32,M37,M41,M45)</f>
        <v>801.79799999999932</v>
      </c>
      <c r="N49" s="87">
        <f t="shared" si="70"/>
        <v>814.46800000000019</v>
      </c>
      <c r="O49" s="87">
        <f t="shared" si="70"/>
        <v>833.78999999999985</v>
      </c>
      <c r="P49" s="87">
        <f t="shared" si="70"/>
        <v>818.3779999999997</v>
      </c>
      <c r="Q49" s="87">
        <f t="shared" si="70"/>
        <v>843.52100000000019</v>
      </c>
      <c r="R49" s="87">
        <f t="shared" si="70"/>
        <v>865.00499999999988</v>
      </c>
      <c r="S49" s="87">
        <f t="shared" si="70"/>
        <v>883.84299999999985</v>
      </c>
      <c r="T49" s="87">
        <f t="shared" si="70"/>
        <v>855.11199999999974</v>
      </c>
      <c r="U49" s="87">
        <f t="shared" si="70"/>
        <v>862.23300000000029</v>
      </c>
      <c r="V49" s="87">
        <f t="shared" si="70"/>
        <v>882.44900000000052</v>
      </c>
      <c r="W49" s="87">
        <f t="shared" si="70"/>
        <v>864.63999999999965</v>
      </c>
      <c r="X49" s="87">
        <f t="shared" si="70"/>
        <v>867.59299999999996</v>
      </c>
      <c r="Y49" s="87">
        <f t="shared" si="70"/>
        <v>871.74299999999982</v>
      </c>
      <c r="Z49" s="87">
        <f t="shared" si="70"/>
        <v>878.33000000000061</v>
      </c>
      <c r="AA49" s="87">
        <f t="shared" si="70"/>
        <v>885.45200000000034</v>
      </c>
      <c r="AB49" s="87">
        <f t="shared" si="70"/>
        <v>889.97999999999945</v>
      </c>
      <c r="AC49" s="87">
        <f t="shared" si="70"/>
        <v>893.84900000000005</v>
      </c>
      <c r="AD49" s="87">
        <f t="shared" si="70"/>
        <v>897.23999999999978</v>
      </c>
      <c r="AE49" s="87">
        <f t="shared" ref="AE49:AL49" si="71">SUM(AE5,AE9,AE15,AE22,AE26,AE32,AE37,AE41,AE45)</f>
        <v>900.61899999999991</v>
      </c>
      <c r="AF49" s="87">
        <f t="shared" si="71"/>
        <v>903.96200000000067</v>
      </c>
      <c r="AG49" s="87">
        <f t="shared" si="71"/>
        <v>907.62399999999957</v>
      </c>
      <c r="AH49" s="87">
        <f t="shared" si="71"/>
        <v>911.19499999999982</v>
      </c>
      <c r="AI49" s="87">
        <f t="shared" si="71"/>
        <v>914.75099999999975</v>
      </c>
      <c r="AJ49" s="87">
        <f t="shared" si="71"/>
        <v>918.34699999999975</v>
      </c>
      <c r="AK49" s="87">
        <f t="shared" si="71"/>
        <v>921.91300000000001</v>
      </c>
      <c r="AL49" s="87">
        <f t="shared" si="71"/>
        <v>925.47800000000007</v>
      </c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</row>
    <row r="50" spans="1:50" x14ac:dyDescent="0.2">
      <c r="L50" s="232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</row>
    <row r="51" spans="1:50" x14ac:dyDescent="0.2">
      <c r="L51" s="1" t="s">
        <v>67</v>
      </c>
      <c r="M51" s="48">
        <f>M4</f>
        <v>2010</v>
      </c>
      <c r="N51" s="48">
        <f t="shared" ref="N51:AL51" si="72">N4</f>
        <v>2011</v>
      </c>
      <c r="O51" s="48">
        <f t="shared" si="72"/>
        <v>2012</v>
      </c>
      <c r="P51" s="48">
        <f t="shared" si="72"/>
        <v>2013</v>
      </c>
      <c r="Q51" s="48">
        <f t="shared" si="72"/>
        <v>2014</v>
      </c>
      <c r="R51" s="48">
        <f t="shared" si="72"/>
        <v>2015</v>
      </c>
      <c r="S51" s="48">
        <f t="shared" si="72"/>
        <v>2016</v>
      </c>
      <c r="T51" s="48">
        <f t="shared" si="72"/>
        <v>2017</v>
      </c>
      <c r="U51" s="48">
        <f t="shared" si="72"/>
        <v>2018</v>
      </c>
      <c r="V51" s="48">
        <f t="shared" si="72"/>
        <v>2019</v>
      </c>
      <c r="W51" s="48">
        <f t="shared" si="72"/>
        <v>2020</v>
      </c>
      <c r="X51" s="48">
        <f t="shared" si="72"/>
        <v>2021</v>
      </c>
      <c r="Y51" s="48">
        <f t="shared" si="72"/>
        <v>2022</v>
      </c>
      <c r="Z51" s="48">
        <f t="shared" si="72"/>
        <v>2023</v>
      </c>
      <c r="AA51" s="48">
        <f t="shared" si="72"/>
        <v>2024</v>
      </c>
      <c r="AB51" s="48">
        <f t="shared" si="72"/>
        <v>2025</v>
      </c>
      <c r="AC51" s="48">
        <f t="shared" si="72"/>
        <v>2026</v>
      </c>
      <c r="AD51" s="48">
        <f t="shared" si="72"/>
        <v>2027</v>
      </c>
      <c r="AE51" s="48">
        <f t="shared" si="72"/>
        <v>2028</v>
      </c>
      <c r="AF51" s="48">
        <f t="shared" si="72"/>
        <v>2029</v>
      </c>
      <c r="AG51" s="48">
        <f t="shared" si="72"/>
        <v>2030</v>
      </c>
      <c r="AH51" s="48">
        <f t="shared" si="72"/>
        <v>2031</v>
      </c>
      <c r="AI51" s="48">
        <f t="shared" si="72"/>
        <v>2032</v>
      </c>
      <c r="AJ51" s="48">
        <f t="shared" si="72"/>
        <v>2033</v>
      </c>
      <c r="AK51" s="48">
        <f t="shared" si="72"/>
        <v>2034</v>
      </c>
      <c r="AL51" s="48">
        <f t="shared" si="72"/>
        <v>2035</v>
      </c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</row>
    <row r="52" spans="1:50" x14ac:dyDescent="0.2">
      <c r="L52" s="17" t="str">
        <f>'Occ T3'!A7</f>
        <v>Managers, directors and senior officials</v>
      </c>
      <c r="M52" s="337">
        <f t="shared" ref="M52:AD52" si="73">M5/M$49</f>
        <v>0.10113881960888013</v>
      </c>
      <c r="N52" s="337">
        <f t="shared" si="73"/>
        <v>0.11060492323541568</v>
      </c>
      <c r="O52" s="337">
        <f t="shared" si="73"/>
        <v>0.11270388733698808</v>
      </c>
      <c r="P52" s="337">
        <f t="shared" si="73"/>
        <v>0.11611835756143546</v>
      </c>
      <c r="Q52" s="337">
        <f t="shared" si="73"/>
        <v>0.11489916327102206</v>
      </c>
      <c r="R52" s="337">
        <f t="shared" si="73"/>
        <v>0.11540211405399982</v>
      </c>
      <c r="S52" s="337">
        <f t="shared" si="73"/>
        <v>0.1181109085378966</v>
      </c>
      <c r="T52" s="337">
        <f t="shared" si="73"/>
        <v>0.11967382061919875</v>
      </c>
      <c r="U52" s="337">
        <f t="shared" si="73"/>
        <v>0.12211125267255296</v>
      </c>
      <c r="V52" s="337">
        <f t="shared" si="73"/>
        <v>0.12455628473301589</v>
      </c>
      <c r="W52" s="337">
        <f t="shared" si="73"/>
        <v>0.12713955609542954</v>
      </c>
      <c r="X52" s="337">
        <f t="shared" si="73"/>
        <v>0.12373873996170838</v>
      </c>
      <c r="Y52" s="337">
        <f t="shared" si="73"/>
        <v>0.1247946125940851</v>
      </c>
      <c r="Z52" s="337">
        <f t="shared" si="73"/>
        <v>0.12582152342438913</v>
      </c>
      <c r="AA52" s="337">
        <f t="shared" si="73"/>
        <v>0.1268031799536109</v>
      </c>
      <c r="AB52" s="337">
        <f t="shared" si="73"/>
        <v>0.12774708738422955</v>
      </c>
      <c r="AC52" s="337">
        <f t="shared" si="73"/>
        <v>0.12870206839585518</v>
      </c>
      <c r="AD52" s="337">
        <f t="shared" si="73"/>
        <v>0.12967047053061304</v>
      </c>
      <c r="AE52" s="337">
        <f t="shared" ref="AE52:AL52" si="74">AE5/AE$49</f>
        <v>0.13060879137227988</v>
      </c>
      <c r="AF52" s="337">
        <f t="shared" si="74"/>
        <v>0.13152348054326632</v>
      </c>
      <c r="AG52" s="337">
        <f t="shared" si="74"/>
        <v>0.13244578198712742</v>
      </c>
      <c r="AH52" s="337">
        <f t="shared" si="74"/>
        <v>0.13334827145363828</v>
      </c>
      <c r="AI52" s="337">
        <f t="shared" si="74"/>
        <v>0.13429348567569654</v>
      </c>
      <c r="AJ52" s="337">
        <f t="shared" si="74"/>
        <v>0.13519502508769668</v>
      </c>
      <c r="AK52" s="337">
        <f t="shared" si="74"/>
        <v>0.13621150739768215</v>
      </c>
      <c r="AL52" s="337">
        <f t="shared" si="74"/>
        <v>0.13717176336130191</v>
      </c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</row>
    <row r="53" spans="1:50" x14ac:dyDescent="0.2">
      <c r="L53" s="232" t="str">
        <f>'Occ T3'!A8</f>
        <v>11 Corporate managers and directors</v>
      </c>
      <c r="M53" s="336">
        <f t="shared" ref="M53:AD53" si="75">M6/M$49</f>
        <v>7.200415747152808E-2</v>
      </c>
      <c r="N53" s="336">
        <f t="shared" si="75"/>
        <v>7.7567550217109538E-2</v>
      </c>
      <c r="O53" s="336">
        <f t="shared" si="75"/>
        <v>7.8377368637142661E-2</v>
      </c>
      <c r="P53" s="336">
        <f t="shared" si="75"/>
        <v>8.0920219870307217E-2</v>
      </c>
      <c r="Q53" s="336">
        <f t="shared" si="75"/>
        <v>7.7150376825612488E-2</v>
      </c>
      <c r="R53" s="336">
        <f t="shared" si="75"/>
        <v>7.9390749424941023E-2</v>
      </c>
      <c r="S53" s="336">
        <f t="shared" si="75"/>
        <v>8.498019485184953E-2</v>
      </c>
      <c r="T53" s="336">
        <f t="shared" si="75"/>
        <v>8.5143788876899593E-2</v>
      </c>
      <c r="U53" s="336">
        <f t="shared" si="75"/>
        <v>8.6612608085917892E-2</v>
      </c>
      <c r="V53" s="336">
        <f t="shared" si="75"/>
        <v>8.8791712808210271E-2</v>
      </c>
      <c r="W53" s="336">
        <f t="shared" si="75"/>
        <v>9.1228535920189299E-2</v>
      </c>
      <c r="X53" s="336">
        <f t="shared" si="75"/>
        <v>8.1846939307238173E-2</v>
      </c>
      <c r="Y53" s="336">
        <f t="shared" si="75"/>
        <v>8.2309585551784609E-2</v>
      </c>
      <c r="Z53" s="336">
        <f t="shared" si="75"/>
        <v>8.2775311872958293E-2</v>
      </c>
      <c r="AA53" s="336">
        <f t="shared" si="75"/>
        <v>8.3205675568585005E-2</v>
      </c>
      <c r="AB53" s="336">
        <f t="shared" si="75"/>
        <v>8.3615454670557782E-2</v>
      </c>
      <c r="AC53" s="336">
        <f t="shared" si="75"/>
        <v>8.4024129469476655E-2</v>
      </c>
      <c r="AD53" s="336">
        <f t="shared" si="75"/>
        <v>8.4434912893672373E-2</v>
      </c>
      <c r="AE53" s="336">
        <f t="shared" ref="AE53:AL53" si="76">AE6/AE$49</f>
        <v>8.4848488338867406E-2</v>
      </c>
      <c r="AF53" s="336">
        <f t="shared" si="76"/>
        <v>8.5249933782542628E-2</v>
      </c>
      <c r="AG53" s="336">
        <f t="shared" si="76"/>
        <v>8.5655415116641903E-2</v>
      </c>
      <c r="AH53" s="336">
        <f t="shared" si="76"/>
        <v>8.6047924480469704E-2</v>
      </c>
      <c r="AI53" s="336">
        <f t="shared" si="76"/>
        <v>8.6467163929566188E-2</v>
      </c>
      <c r="AJ53" s="336">
        <f t="shared" si="76"/>
        <v>8.6866825338041853E-2</v>
      </c>
      <c r="AK53" s="336">
        <f t="shared" si="76"/>
        <v>8.7328525594402601E-2</v>
      </c>
      <c r="AL53" s="336">
        <f t="shared" si="76"/>
        <v>8.7744863048655503E-2</v>
      </c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</row>
    <row r="54" spans="1:50" x14ac:dyDescent="0.2">
      <c r="L54" s="232" t="str">
        <f>'Occ T3'!A9</f>
        <v>12 Other managers and proprietors</v>
      </c>
      <c r="M54" s="336">
        <f t="shared" ref="M54:AD54" si="77">M7/M$49</f>
        <v>2.9134662137352062E-2</v>
      </c>
      <c r="N54" s="336">
        <f t="shared" si="77"/>
        <v>3.3037373018306136E-2</v>
      </c>
      <c r="O54" s="336">
        <f t="shared" si="77"/>
        <v>3.4326518699845404E-2</v>
      </c>
      <c r="P54" s="336">
        <f t="shared" si="77"/>
        <v>3.5198137691128249E-2</v>
      </c>
      <c r="Q54" s="336">
        <f t="shared" si="77"/>
        <v>3.774878644540957E-2</v>
      </c>
      <c r="R54" s="336">
        <f t="shared" si="77"/>
        <v>3.6011364629058788E-2</v>
      </c>
      <c r="S54" s="336">
        <f t="shared" si="77"/>
        <v>3.3130713686047079E-2</v>
      </c>
      <c r="T54" s="336">
        <f t="shared" si="77"/>
        <v>3.4530031742299148E-2</v>
      </c>
      <c r="U54" s="336">
        <f t="shared" si="77"/>
        <v>3.5498644586635077E-2</v>
      </c>
      <c r="V54" s="336">
        <f t="shared" si="77"/>
        <v>3.5764571924805616E-2</v>
      </c>
      <c r="W54" s="336">
        <f t="shared" si="77"/>
        <v>3.5911020175240227E-2</v>
      </c>
      <c r="X54" s="336">
        <f t="shared" si="77"/>
        <v>4.1891800654470228E-2</v>
      </c>
      <c r="Y54" s="336">
        <f t="shared" si="77"/>
        <v>4.2485027042300477E-2</v>
      </c>
      <c r="Z54" s="336">
        <f t="shared" si="77"/>
        <v>4.3046211551430826E-2</v>
      </c>
      <c r="AA54" s="336">
        <f t="shared" si="77"/>
        <v>4.3597504385025895E-2</v>
      </c>
      <c r="AB54" s="336">
        <f t="shared" si="77"/>
        <v>4.4131632713671758E-2</v>
      </c>
      <c r="AC54" s="336">
        <f t="shared" si="77"/>
        <v>4.4677938926378523E-2</v>
      </c>
      <c r="AD54" s="336">
        <f t="shared" si="77"/>
        <v>4.5235557636940676E-2</v>
      </c>
      <c r="AE54" s="336">
        <f t="shared" ref="AE54:AL54" si="78">AE7/AE$49</f>
        <v>4.5760303033412469E-2</v>
      </c>
      <c r="AF54" s="336">
        <f t="shared" si="78"/>
        <v>4.6273546760723691E-2</v>
      </c>
      <c r="AG54" s="336">
        <f t="shared" si="78"/>
        <v>4.6790366870485503E-2</v>
      </c>
      <c r="AH54" s="336">
        <f t="shared" si="78"/>
        <v>4.7300346973168594E-2</v>
      </c>
      <c r="AI54" s="336">
        <f t="shared" si="78"/>
        <v>4.7826321746130364E-2</v>
      </c>
      <c r="AJ54" s="336">
        <f t="shared" si="78"/>
        <v>4.8328199749654827E-2</v>
      </c>
      <c r="AK54" s="336">
        <f t="shared" si="78"/>
        <v>4.8882981803279546E-2</v>
      </c>
      <c r="AL54" s="336">
        <f t="shared" si="78"/>
        <v>4.9426900312646384E-2</v>
      </c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</row>
    <row r="55" spans="1:50" x14ac:dyDescent="0.2">
      <c r="L55" s="232"/>
      <c r="M55" s="336"/>
      <c r="N55" s="336"/>
      <c r="O55" s="336"/>
      <c r="P55" s="336"/>
      <c r="Q55" s="336"/>
      <c r="R55" s="336"/>
      <c r="S55" s="336"/>
      <c r="T55" s="336"/>
      <c r="U55" s="336"/>
      <c r="V55" s="336"/>
      <c r="W55" s="336"/>
      <c r="X55" s="336"/>
      <c r="Y55" s="336"/>
      <c r="Z55" s="336"/>
      <c r="AA55" s="336"/>
      <c r="AB55" s="336"/>
      <c r="AC55" s="336"/>
      <c r="AD55" s="336"/>
      <c r="AE55" s="336"/>
      <c r="AF55" s="336"/>
      <c r="AG55" s="336"/>
      <c r="AH55" s="336"/>
      <c r="AI55" s="336"/>
      <c r="AJ55" s="336"/>
      <c r="AK55" s="336"/>
      <c r="AL55" s="336"/>
    </row>
    <row r="56" spans="1:50" x14ac:dyDescent="0.2">
      <c r="L56" s="17" t="str">
        <f>'Occ T3'!A11</f>
        <v>Professional occupations</v>
      </c>
      <c r="M56" s="337">
        <f t="shared" ref="M56:AD56" si="79">M9/M$49</f>
        <v>0.22277807904317382</v>
      </c>
      <c r="N56" s="337">
        <f t="shared" si="79"/>
        <v>0.21487608622509813</v>
      </c>
      <c r="O56" s="337">
        <f t="shared" si="79"/>
        <v>0.21365488017596723</v>
      </c>
      <c r="P56" s="337">
        <f t="shared" si="79"/>
        <v>0.22087337274161231</v>
      </c>
      <c r="Q56" s="337">
        <f t="shared" si="79"/>
        <v>0.21589810904879442</v>
      </c>
      <c r="R56" s="337">
        <f t="shared" si="79"/>
        <v>0.21665160439704445</v>
      </c>
      <c r="S56" s="337">
        <f t="shared" si="79"/>
        <v>0.22459771546483193</v>
      </c>
      <c r="T56" s="337">
        <f t="shared" si="79"/>
        <v>0.21638576143914037</v>
      </c>
      <c r="U56" s="337">
        <f t="shared" si="79"/>
        <v>0.225112186887511</v>
      </c>
      <c r="V56" s="337">
        <f t="shared" si="79"/>
        <v>0.23229121155315846</v>
      </c>
      <c r="W56" s="337">
        <f t="shared" si="79"/>
        <v>0.24308493669620168</v>
      </c>
      <c r="X56" s="337">
        <f t="shared" si="79"/>
        <v>0.24939906139782214</v>
      </c>
      <c r="Y56" s="337">
        <f t="shared" si="79"/>
        <v>0.2503655610818229</v>
      </c>
      <c r="Z56" s="337">
        <f t="shared" si="79"/>
        <v>0.25149239874546547</v>
      </c>
      <c r="AA56" s="337">
        <f t="shared" si="79"/>
        <v>0.25263601885641979</v>
      </c>
      <c r="AB56" s="337">
        <f t="shared" si="79"/>
        <v>0.25389329757278933</v>
      </c>
      <c r="AC56" s="337">
        <f t="shared" si="79"/>
        <v>0.25518799637209194</v>
      </c>
      <c r="AD56" s="337">
        <f t="shared" si="79"/>
        <v>0.25649494733553385</v>
      </c>
      <c r="AE56" s="337">
        <f t="shared" ref="AE56:AL56" si="80">AE9/AE$49</f>
        <v>0.25776670124930801</v>
      </c>
      <c r="AF56" s="337">
        <f t="shared" si="80"/>
        <v>0.25901575362616147</v>
      </c>
      <c r="AG56" s="337">
        <f t="shared" si="80"/>
        <v>0.26025801012020783</v>
      </c>
      <c r="AH56" s="337">
        <f t="shared" si="80"/>
        <v>0.26144527335661516</v>
      </c>
      <c r="AI56" s="337">
        <f t="shared" si="80"/>
        <v>0.26263952580439548</v>
      </c>
      <c r="AJ56" s="337">
        <f t="shared" si="80"/>
        <v>0.26387620772961434</v>
      </c>
      <c r="AK56" s="337">
        <f t="shared" si="80"/>
        <v>0.26517456739685302</v>
      </c>
      <c r="AL56" s="337">
        <f t="shared" si="80"/>
        <v>0.26638125980246419</v>
      </c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</row>
    <row r="57" spans="1:50" x14ac:dyDescent="0.2">
      <c r="L57" s="232" t="str">
        <f>'Occ T3'!A12</f>
        <v>21 Science, research, engineering and technology professionals</v>
      </c>
      <c r="M57" s="336">
        <f t="shared" ref="M57:AD57" si="81">M10/M$49</f>
        <v>7.3326003410599125E-2</v>
      </c>
      <c r="N57" s="336">
        <f t="shared" si="81"/>
        <v>6.9902555697657465E-2</v>
      </c>
      <c r="O57" s="336">
        <f t="shared" si="81"/>
        <v>6.9031150645524841E-2</v>
      </c>
      <c r="P57" s="336">
        <f t="shared" si="81"/>
        <v>7.1467261412418895E-2</v>
      </c>
      <c r="Q57" s="336">
        <f t="shared" si="81"/>
        <v>7.176294441803896E-2</v>
      </c>
      <c r="R57" s="336">
        <f t="shared" si="81"/>
        <v>7.3036068047461128E-2</v>
      </c>
      <c r="S57" s="336">
        <f t="shared" si="81"/>
        <v>7.6500807915149391E-2</v>
      </c>
      <c r="T57" s="336">
        <f t="shared" si="81"/>
        <v>7.0086652329504534E-2</v>
      </c>
      <c r="U57" s="336">
        <f t="shared" si="81"/>
        <v>7.5174346787379095E-2</v>
      </c>
      <c r="V57" s="336">
        <f t="shared" si="81"/>
        <v>7.701567959268811E-2</v>
      </c>
      <c r="W57" s="336">
        <f t="shared" si="81"/>
        <v>8.0881269304695982E-2</v>
      </c>
      <c r="X57" s="336">
        <f t="shared" si="81"/>
        <v>8.1872258508634249E-2</v>
      </c>
      <c r="Y57" s="336">
        <f t="shared" si="81"/>
        <v>8.2311107247539872E-2</v>
      </c>
      <c r="Z57" s="336">
        <f t="shared" si="81"/>
        <v>8.276402188720719E-2</v>
      </c>
      <c r="AA57" s="336">
        <f t="shared" si="81"/>
        <v>8.3204893471625449E-2</v>
      </c>
      <c r="AB57" s="336">
        <f t="shared" si="81"/>
        <v>8.3657988506937717E-2</v>
      </c>
      <c r="AC57" s="336">
        <f t="shared" si="81"/>
        <v>8.4134561299439872E-2</v>
      </c>
      <c r="AD57" s="336">
        <f t="shared" si="81"/>
        <v>8.4631330151930528E-2</v>
      </c>
      <c r="AE57" s="336">
        <f t="shared" ref="AE57:AL57" si="82">AE10/AE$49</f>
        <v>8.5126457298729002E-2</v>
      </c>
      <c r="AF57" s="336">
        <f t="shared" si="82"/>
        <v>8.5612727637604691E-2</v>
      </c>
      <c r="AG57" s="336">
        <f t="shared" si="82"/>
        <v>8.6098788424305878E-2</v>
      </c>
      <c r="AH57" s="336">
        <f t="shared" si="82"/>
        <v>8.6590634173559056E-2</v>
      </c>
      <c r="AI57" s="336">
        <f t="shared" si="82"/>
        <v>8.7092315522550992E-2</v>
      </c>
      <c r="AJ57" s="336">
        <f t="shared" si="82"/>
        <v>8.7590390531792087E-2</v>
      </c>
      <c r="AK57" s="336">
        <f t="shared" si="82"/>
        <v>8.8092719826441498E-2</v>
      </c>
      <c r="AL57" s="336">
        <f t="shared" si="82"/>
        <v>8.8578867534739911E-2</v>
      </c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</row>
    <row r="58" spans="1:50" ht="15.75" x14ac:dyDescent="0.25">
      <c r="A58" s="80" t="str">
        <f>CONCATENATE("Occupation Figure 2.1  Employment by Occupation (% shares), ",$M$2,"-",$O$2,", ",Info!B5)</f>
        <v>Occupation Figure 2.1  Employment by Occupation (% shares), 2010-2035, Enterprise M3</v>
      </c>
      <c r="L58" s="232" t="str">
        <f>'Occ T3'!A13</f>
        <v>22 Health professionals</v>
      </c>
      <c r="M58" s="336">
        <f t="shared" ref="M58:AD58" si="83">M11/M$49</f>
        <v>3.2546918311074889E-2</v>
      </c>
      <c r="N58" s="336">
        <f t="shared" si="83"/>
        <v>3.3972805992254024E-2</v>
      </c>
      <c r="O58" s="336">
        <f t="shared" si="83"/>
        <v>3.4036891844154989E-2</v>
      </c>
      <c r="P58" s="336">
        <f t="shared" si="83"/>
        <v>3.4860762944342601E-2</v>
      </c>
      <c r="Q58" s="336">
        <f t="shared" si="83"/>
        <v>3.2615982570369705E-2</v>
      </c>
      <c r="R58" s="336">
        <f t="shared" si="83"/>
        <v>3.2678648545050468E-2</v>
      </c>
      <c r="S58" s="336">
        <f t="shared" si="83"/>
        <v>3.392062230073168E-2</v>
      </c>
      <c r="T58" s="336">
        <f t="shared" si="83"/>
        <v>3.6340266659969374E-2</v>
      </c>
      <c r="U58" s="336">
        <f t="shared" si="83"/>
        <v>3.5626303446574477E-2</v>
      </c>
      <c r="V58" s="336">
        <f t="shared" si="83"/>
        <v>3.8307326420827917E-2</v>
      </c>
      <c r="W58" s="336">
        <f t="shared" si="83"/>
        <v>3.8752646608502632E-2</v>
      </c>
      <c r="X58" s="336">
        <f t="shared" si="83"/>
        <v>3.9742380086100301E-2</v>
      </c>
      <c r="Y58" s="336">
        <f t="shared" si="83"/>
        <v>3.9745808113581943E-2</v>
      </c>
      <c r="Z58" s="336">
        <f t="shared" si="83"/>
        <v>3.9763888664560924E-2</v>
      </c>
      <c r="AA58" s="336">
        <f t="shared" si="83"/>
        <v>3.9782160410593348E-2</v>
      </c>
      <c r="AB58" s="336">
        <f t="shared" si="83"/>
        <v>3.9828230715254979E-2</v>
      </c>
      <c r="AC58" s="336">
        <f t="shared" si="83"/>
        <v>3.9869025701045155E-2</v>
      </c>
      <c r="AD58" s="336">
        <f t="shared" si="83"/>
        <v>3.9902142363473593E-2</v>
      </c>
      <c r="AE58" s="336">
        <f t="shared" ref="AE58:AL58" si="84">AE11/AE$49</f>
        <v>3.9917709522923318E-2</v>
      </c>
      <c r="AF58" s="336">
        <f t="shared" si="84"/>
        <v>3.9945638869224094E-2</v>
      </c>
      <c r="AG58" s="336">
        <f t="shared" si="84"/>
        <v>3.9981292504687266E-2</v>
      </c>
      <c r="AH58" s="336">
        <f t="shared" si="84"/>
        <v>4.0019199219987138E-2</v>
      </c>
      <c r="AI58" s="336">
        <f t="shared" si="84"/>
        <v>4.0059317061420387E-2</v>
      </c>
      <c r="AJ58" s="336">
        <f t="shared" si="84"/>
        <v>4.0101350061114358E-2</v>
      </c>
      <c r="AK58" s="336">
        <f t="shared" si="84"/>
        <v>4.013660794159931E-2</v>
      </c>
      <c r="AL58" s="336">
        <f t="shared" si="84"/>
        <v>4.0136811939758016E-2</v>
      </c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</row>
    <row r="59" spans="1:50" x14ac:dyDescent="0.2">
      <c r="L59" s="232" t="str">
        <f>'Occ T3'!A14</f>
        <v>23 Teaching and other educational professionals</v>
      </c>
      <c r="M59" s="336">
        <f t="shared" ref="M59:AD59" si="85">M12/M$49</f>
        <v>4.30256358790847E-2</v>
      </c>
      <c r="N59" s="336">
        <f t="shared" si="85"/>
        <v>4.2792923919870163E-2</v>
      </c>
      <c r="O59" s="336">
        <f t="shared" si="85"/>
        <v>4.2650237693452983E-2</v>
      </c>
      <c r="P59" s="336">
        <f t="shared" si="85"/>
        <v>4.3082091975779183E-2</v>
      </c>
      <c r="Q59" s="336">
        <f t="shared" si="85"/>
        <v>4.1925307637143354E-2</v>
      </c>
      <c r="R59" s="336">
        <f t="shared" si="85"/>
        <v>4.4188182003230346E-2</v>
      </c>
      <c r="S59" s="336">
        <f t="shared" si="85"/>
        <v>4.3297581149006968E-2</v>
      </c>
      <c r="T59" s="336">
        <f t="shared" si="85"/>
        <v>4.3470544419172634E-2</v>
      </c>
      <c r="U59" s="336">
        <f t="shared" si="85"/>
        <v>4.3497819927043054E-2</v>
      </c>
      <c r="V59" s="336">
        <f t="shared" si="85"/>
        <v>4.4338455399836392E-2</v>
      </c>
      <c r="W59" s="336">
        <f t="shared" si="85"/>
        <v>4.5589490444966782E-2</v>
      </c>
      <c r="X59" s="336">
        <f t="shared" si="85"/>
        <v>4.5497156647990505E-2</v>
      </c>
      <c r="Y59" s="336">
        <f t="shared" si="85"/>
        <v>4.5470586559912554E-2</v>
      </c>
      <c r="Z59" s="336">
        <f t="shared" si="85"/>
        <v>4.5530079635950231E-2</v>
      </c>
      <c r="AA59" s="336">
        <f t="shared" si="85"/>
        <v>4.5628822271875799E-2</v>
      </c>
      <c r="AB59" s="336">
        <f t="shared" si="85"/>
        <v>4.5779096946774379E-2</v>
      </c>
      <c r="AC59" s="336">
        <f t="shared" si="85"/>
        <v>4.5961382834909283E-2</v>
      </c>
      <c r="AD59" s="336">
        <f t="shared" si="85"/>
        <v>4.6151697330186384E-2</v>
      </c>
      <c r="AE59" s="336">
        <f t="shared" ref="AE59:AL59" si="86">AE12/AE$49</f>
        <v>4.6328141377326736E-2</v>
      </c>
      <c r="AF59" s="336">
        <f t="shared" si="86"/>
        <v>4.650022390866148E-2</v>
      </c>
      <c r="AG59" s="336">
        <f t="shared" si="86"/>
        <v>4.6675395613783643E-2</v>
      </c>
      <c r="AH59" s="336">
        <f t="shared" si="86"/>
        <v>4.6820365043548043E-2</v>
      </c>
      <c r="AI59" s="336">
        <f t="shared" si="86"/>
        <v>4.6973184443901903E-2</v>
      </c>
      <c r="AJ59" s="336">
        <f t="shared" si="86"/>
        <v>4.712801325378551E-2</v>
      </c>
      <c r="AK59" s="336">
        <f t="shared" si="86"/>
        <v>4.7293630306001436E-2</v>
      </c>
      <c r="AL59" s="336">
        <f t="shared" si="86"/>
        <v>4.7439130824873679E-2</v>
      </c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</row>
    <row r="60" spans="1:50" x14ac:dyDescent="0.2">
      <c r="L60" s="232" t="str">
        <f>'Occ T3'!A15</f>
        <v>24 Business, media and public service professionals</v>
      </c>
      <c r="M60" s="336">
        <f t="shared" ref="M60:AD60" si="87">M13/M$49</f>
        <v>7.3879521442415122E-2</v>
      </c>
      <c r="N60" s="336">
        <f t="shared" si="87"/>
        <v>6.8207800615316505E-2</v>
      </c>
      <c r="O60" s="336">
        <f t="shared" si="87"/>
        <v>6.7936599992834412E-2</v>
      </c>
      <c r="P60" s="336">
        <f t="shared" si="87"/>
        <v>7.1463256409071627E-2</v>
      </c>
      <c r="Q60" s="336">
        <f t="shared" si="87"/>
        <v>6.9593874423242427E-2</v>
      </c>
      <c r="R60" s="336">
        <f t="shared" si="87"/>
        <v>6.6748705801302544E-2</v>
      </c>
      <c r="S60" s="336">
        <f t="shared" si="87"/>
        <v>7.0878704099943901E-2</v>
      </c>
      <c r="T60" s="336">
        <f t="shared" si="87"/>
        <v>6.6488298030493817E-2</v>
      </c>
      <c r="U60" s="336">
        <f t="shared" si="87"/>
        <v>7.0813716726514417E-2</v>
      </c>
      <c r="V60" s="336">
        <f t="shared" si="87"/>
        <v>7.2629750139806035E-2</v>
      </c>
      <c r="W60" s="336">
        <f t="shared" si="87"/>
        <v>7.7861530338036292E-2</v>
      </c>
      <c r="X60" s="336">
        <f t="shared" si="87"/>
        <v>8.2287266155097114E-2</v>
      </c>
      <c r="Y60" s="336">
        <f t="shared" si="87"/>
        <v>8.2838059160788513E-2</v>
      </c>
      <c r="Z60" s="336">
        <f t="shared" si="87"/>
        <v>8.3434408557747142E-2</v>
      </c>
      <c r="AA60" s="336">
        <f t="shared" si="87"/>
        <v>8.4020142702325162E-2</v>
      </c>
      <c r="AB60" s="336">
        <f t="shared" si="87"/>
        <v>8.4627981403822272E-2</v>
      </c>
      <c r="AC60" s="336">
        <f t="shared" si="87"/>
        <v>8.5223026536697638E-2</v>
      </c>
      <c r="AD60" s="336">
        <f t="shared" si="87"/>
        <v>8.5809777489943367E-2</v>
      </c>
      <c r="AE60" s="336">
        <f t="shared" ref="AE60:AL60" si="88">AE13/AE$49</f>
        <v>8.6394393050328908E-2</v>
      </c>
      <c r="AF60" s="336">
        <f t="shared" si="88"/>
        <v>8.6957163210671193E-2</v>
      </c>
      <c r="AG60" s="336">
        <f t="shared" si="88"/>
        <v>8.7502533577431041E-2</v>
      </c>
      <c r="AH60" s="336">
        <f t="shared" si="88"/>
        <v>8.801507491952093E-2</v>
      </c>
      <c r="AI60" s="336">
        <f t="shared" si="88"/>
        <v>8.8514708776522233E-2</v>
      </c>
      <c r="AJ60" s="336">
        <f t="shared" si="88"/>
        <v>8.9056453882922409E-2</v>
      </c>
      <c r="AK60" s="336">
        <f t="shared" si="88"/>
        <v>8.9651609322810785E-2</v>
      </c>
      <c r="AL60" s="336">
        <f t="shared" si="88"/>
        <v>9.0226449503092609E-2</v>
      </c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</row>
    <row r="61" spans="1:50" x14ac:dyDescent="0.2">
      <c r="L61" s="232"/>
      <c r="M61" s="336"/>
      <c r="N61" s="336"/>
      <c r="O61" s="336"/>
      <c r="P61" s="336"/>
      <c r="Q61" s="336"/>
      <c r="R61" s="336"/>
      <c r="S61" s="336"/>
      <c r="T61" s="336"/>
      <c r="U61" s="336"/>
      <c r="V61" s="336"/>
      <c r="W61" s="336"/>
      <c r="X61" s="336"/>
      <c r="Y61" s="336"/>
      <c r="Z61" s="336"/>
      <c r="AA61" s="336"/>
      <c r="AB61" s="336"/>
      <c r="AC61" s="336"/>
      <c r="AD61" s="336"/>
      <c r="AE61" s="336"/>
      <c r="AF61" s="336"/>
      <c r="AG61" s="336"/>
      <c r="AH61" s="336"/>
      <c r="AI61" s="336"/>
      <c r="AJ61" s="336"/>
      <c r="AK61" s="336"/>
      <c r="AL61" s="336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</row>
    <row r="62" spans="1:50" x14ac:dyDescent="0.2">
      <c r="L62" s="17" t="str">
        <f>'Occ T3'!A17</f>
        <v>Associate professional occupations</v>
      </c>
      <c r="M62" s="337">
        <f t="shared" ref="M62:AD62" si="89">M15/M$49</f>
        <v>0.13245662817320245</v>
      </c>
      <c r="N62" s="337">
        <f t="shared" si="89"/>
        <v>0.13375785909349475</v>
      </c>
      <c r="O62" s="337">
        <f t="shared" si="89"/>
        <v>0.13557198915410257</v>
      </c>
      <c r="P62" s="337">
        <f t="shared" si="89"/>
        <v>0.13445278656036783</v>
      </c>
      <c r="Q62" s="337">
        <f t="shared" si="89"/>
        <v>0.13498751315880478</v>
      </c>
      <c r="R62" s="337">
        <f t="shared" si="89"/>
        <v>0.13648748003813452</v>
      </c>
      <c r="S62" s="337">
        <f t="shared" si="89"/>
        <v>0.13562769307484399</v>
      </c>
      <c r="T62" s="337">
        <f t="shared" si="89"/>
        <v>0.13761657416716463</v>
      </c>
      <c r="U62" s="337">
        <f t="shared" si="89"/>
        <v>0.13861983289454005</v>
      </c>
      <c r="V62" s="337">
        <f t="shared" si="89"/>
        <v>0.13604798162826509</v>
      </c>
      <c r="W62" s="337">
        <f t="shared" si="89"/>
        <v>0.14351136856491001</v>
      </c>
      <c r="X62" s="337">
        <f t="shared" si="89"/>
        <v>0.1357597479118019</v>
      </c>
      <c r="Y62" s="337">
        <f t="shared" si="89"/>
        <v>0.13621522127619526</v>
      </c>
      <c r="Z62" s="337">
        <f t="shared" si="89"/>
        <v>0.13658679847513952</v>
      </c>
      <c r="AA62" s="337">
        <f t="shared" si="89"/>
        <v>0.13699556799585533</v>
      </c>
      <c r="AB62" s="337">
        <f t="shared" si="89"/>
        <v>0.13738780649087731</v>
      </c>
      <c r="AC62" s="337">
        <f t="shared" si="89"/>
        <v>0.13778703327288436</v>
      </c>
      <c r="AD62" s="337">
        <f t="shared" si="89"/>
        <v>0.13814121047311301</v>
      </c>
      <c r="AE62" s="337">
        <f t="shared" ref="AE62:AL62" si="90">AE15/AE$49</f>
        <v>0.13851253216544354</v>
      </c>
      <c r="AF62" s="337">
        <f t="shared" si="90"/>
        <v>0.13889937998645704</v>
      </c>
      <c r="AG62" s="337">
        <f t="shared" si="90"/>
        <v>0.13927337498694872</v>
      </c>
      <c r="AH62" s="337">
        <f t="shared" si="90"/>
        <v>0.13960398105399105</v>
      </c>
      <c r="AI62" s="337">
        <f t="shared" si="90"/>
        <v>0.13996735561262455</v>
      </c>
      <c r="AJ62" s="337">
        <f t="shared" si="90"/>
        <v>0.14032050319172074</v>
      </c>
      <c r="AK62" s="337">
        <f t="shared" si="90"/>
        <v>0.1407154444909367</v>
      </c>
      <c r="AL62" s="337">
        <f t="shared" si="90"/>
        <v>0.14103702854425398</v>
      </c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</row>
    <row r="63" spans="1:50" x14ac:dyDescent="0.2">
      <c r="L63" s="232" t="str">
        <f>'Occ T3'!A18</f>
        <v>31 Science, engineering and technology associate professionals</v>
      </c>
      <c r="M63" s="336">
        <f t="shared" ref="M63:AD63" si="91">M16/M$49</f>
        <v>2.0093510203499199E-2</v>
      </c>
      <c r="N63" s="336">
        <f t="shared" si="91"/>
        <v>1.9338062539575828E-2</v>
      </c>
      <c r="O63" s="336">
        <f t="shared" si="91"/>
        <v>1.9386449262524953E-2</v>
      </c>
      <c r="P63" s="336">
        <f t="shared" si="91"/>
        <v>2.0014443320842141E-2</v>
      </c>
      <c r="Q63" s="336">
        <f t="shared" si="91"/>
        <v>1.82963992861126E-2</v>
      </c>
      <c r="R63" s="336">
        <f t="shared" si="91"/>
        <v>1.791338603714112E-2</v>
      </c>
      <c r="S63" s="336">
        <f t="shared" si="91"/>
        <v>1.8998223701197189E-2</v>
      </c>
      <c r="T63" s="336">
        <f t="shared" si="91"/>
        <v>1.9622709713945502E-2</v>
      </c>
      <c r="U63" s="336">
        <f t="shared" si="91"/>
        <v>2.0398000192808598E-2</v>
      </c>
      <c r="V63" s="336">
        <f t="shared" si="91"/>
        <v>1.9343396105211567E-2</v>
      </c>
      <c r="W63" s="336">
        <f t="shared" si="91"/>
        <v>2.1248535006861941E-2</v>
      </c>
      <c r="X63" s="336">
        <f t="shared" si="91"/>
        <v>1.8214586564379659E-2</v>
      </c>
      <c r="Y63" s="336">
        <f t="shared" si="91"/>
        <v>1.8244411391336431E-2</v>
      </c>
      <c r="Z63" s="336">
        <f t="shared" si="91"/>
        <v>1.8300704957908098E-2</v>
      </c>
      <c r="AA63" s="336">
        <f t="shared" si="91"/>
        <v>1.835592804891643E-2</v>
      </c>
      <c r="AB63" s="336">
        <f t="shared" si="91"/>
        <v>1.8417094110589914E-2</v>
      </c>
      <c r="AC63" s="336">
        <f t="shared" si="91"/>
        <v>1.8485281877477902E-2</v>
      </c>
      <c r="AD63" s="336">
        <f t="shared" si="91"/>
        <v>1.8547437124393145E-2</v>
      </c>
      <c r="AE63" s="336">
        <f t="shared" ref="AE63:AL63" si="92">AE16/AE$49</f>
        <v>1.8609887780633161E-2</v>
      </c>
      <c r="AF63" s="336">
        <f t="shared" si="92"/>
        <v>1.8686017619272608E-2</v>
      </c>
      <c r="AG63" s="336">
        <f t="shared" si="92"/>
        <v>1.875010363111302E-2</v>
      </c>
      <c r="AH63" s="336">
        <f t="shared" si="92"/>
        <v>1.8812789106924126E-2</v>
      </c>
      <c r="AI63" s="336">
        <f t="shared" si="92"/>
        <v>1.8874355207288231E-2</v>
      </c>
      <c r="AJ63" s="336">
        <f t="shared" si="92"/>
        <v>1.893086143164752E-2</v>
      </c>
      <c r="AK63" s="336">
        <f t="shared" si="92"/>
        <v>1.8985598423726182E-2</v>
      </c>
      <c r="AL63" s="336">
        <f t="shared" si="92"/>
        <v>1.9035239155821945E-2</v>
      </c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</row>
    <row r="64" spans="1:50" x14ac:dyDescent="0.2">
      <c r="L64" s="232" t="str">
        <f>'Occ T3'!A19</f>
        <v>32 Health and social care associate professionals</v>
      </c>
      <c r="M64" s="336">
        <f t="shared" ref="M64:AD64" si="93">M17/M$49</f>
        <v>1.2868451710507246E-2</v>
      </c>
      <c r="N64" s="336">
        <f t="shared" si="93"/>
        <v>1.5732722854356004E-2</v>
      </c>
      <c r="O64" s="336">
        <f t="shared" si="93"/>
        <v>1.5131333534088052E-2</v>
      </c>
      <c r="P64" s="336">
        <f t="shared" si="93"/>
        <v>1.4852841479790008E-2</v>
      </c>
      <c r="Q64" s="336">
        <f t="shared" si="93"/>
        <v>1.3871262345486449E-2</v>
      </c>
      <c r="R64" s="336">
        <f t="shared" si="93"/>
        <v>1.4690648515835491E-2</v>
      </c>
      <c r="S64" s="336">
        <f t="shared" si="93"/>
        <v>1.4566796421132554E-2</v>
      </c>
      <c r="T64" s="336">
        <f t="shared" si="93"/>
        <v>1.5119873960521045E-2</v>
      </c>
      <c r="U64" s="336">
        <f t="shared" si="93"/>
        <v>1.6000330046518435E-2</v>
      </c>
      <c r="V64" s="336">
        <f t="shared" si="93"/>
        <v>1.6370328873607582E-2</v>
      </c>
      <c r="W64" s="336">
        <f t="shared" si="93"/>
        <v>1.7004565319901414E-2</v>
      </c>
      <c r="X64" s="336">
        <f t="shared" si="93"/>
        <v>1.6405492820773779E-2</v>
      </c>
      <c r="Y64" s="336">
        <f t="shared" si="93"/>
        <v>1.6415739302123984E-2</v>
      </c>
      <c r="Z64" s="336">
        <f t="shared" si="93"/>
        <v>1.642933299928653E-2</v>
      </c>
      <c r="AA64" s="336">
        <f t="shared" si="93"/>
        <v>1.6450033270801464E-2</v>
      </c>
      <c r="AB64" s="336">
        <f t="shared" si="93"/>
        <v>1.6482400200250154E-2</v>
      </c>
      <c r="AC64" s="336">
        <f t="shared" si="93"/>
        <v>1.651611721164771E-2</v>
      </c>
      <c r="AD64" s="336">
        <f t="shared" si="93"/>
        <v>1.6549027925045829E-2</v>
      </c>
      <c r="AE64" s="336">
        <f t="shared" ref="AE64:AL64" si="94">AE17/AE$49</f>
        <v>1.6580843208473254E-2</v>
      </c>
      <c r="AF64" s="336">
        <f t="shared" si="94"/>
        <v>1.6614233586628738E-2</v>
      </c>
      <c r="AG64" s="336">
        <f t="shared" si="94"/>
        <v>1.6652691469261363E-2</v>
      </c>
      <c r="AH64" s="336">
        <f t="shared" si="94"/>
        <v>1.6674830061712435E-2</v>
      </c>
      <c r="AI64" s="336">
        <f t="shared" si="94"/>
        <v>1.6713620669075276E-2</v>
      </c>
      <c r="AJ64" s="336">
        <f t="shared" si="94"/>
        <v>1.6748413546887622E-2</v>
      </c>
      <c r="AK64" s="336">
        <f t="shared" si="94"/>
        <v>1.6786132832256537E-2</v>
      </c>
      <c r="AL64" s="336">
        <f t="shared" si="94"/>
        <v>1.6820789565898782E-2</v>
      </c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</row>
    <row r="65" spans="12:50" x14ac:dyDescent="0.2">
      <c r="L65" s="232" t="str">
        <f>'Occ T3'!A20</f>
        <v>33 Protective service occupations</v>
      </c>
      <c r="M65" s="336">
        <f t="shared" ref="M65:AD65" si="95">M18/M$49</f>
        <v>1.1420349583749632E-2</v>
      </c>
      <c r="N65" s="336">
        <f t="shared" si="95"/>
        <v>1.3090821895340709E-2</v>
      </c>
      <c r="O65" s="336">
        <f t="shared" si="95"/>
        <v>1.2886826086087093E-2</v>
      </c>
      <c r="P65" s="336">
        <f t="shared" si="95"/>
        <v>1.2077430099506403E-2</v>
      </c>
      <c r="Q65" s="336">
        <f t="shared" si="95"/>
        <v>1.1945122234654217E-2</v>
      </c>
      <c r="R65" s="336">
        <f t="shared" si="95"/>
        <v>1.1844125247126591E-2</v>
      </c>
      <c r="S65" s="336">
        <f t="shared" si="95"/>
        <v>1.2303147962271664E-2</v>
      </c>
      <c r="T65" s="336">
        <f t="shared" si="95"/>
        <v>1.1676353299711036E-2</v>
      </c>
      <c r="U65" s="336">
        <f t="shared" si="95"/>
        <v>1.1434776406025238E-2</v>
      </c>
      <c r="V65" s="336">
        <f t="shared" si="95"/>
        <v>1.0994694535652987E-2</v>
      </c>
      <c r="W65" s="336">
        <f t="shared" si="95"/>
        <v>1.1785704126455951E-2</v>
      </c>
      <c r="X65" s="336">
        <f t="shared" si="95"/>
        <v>1.3149209539729787E-2</v>
      </c>
      <c r="Y65" s="336">
        <f t="shared" si="95"/>
        <v>1.3347163635902689E-2</v>
      </c>
      <c r="Z65" s="336">
        <f t="shared" si="95"/>
        <v>1.3490489977746914E-2</v>
      </c>
      <c r="AA65" s="336">
        <f t="shared" si="95"/>
        <v>1.3633089496609121E-2</v>
      </c>
      <c r="AB65" s="336">
        <f t="shared" si="95"/>
        <v>1.3761380062001326E-2</v>
      </c>
      <c r="AC65" s="336">
        <f t="shared" si="95"/>
        <v>1.3893176933407045E-2</v>
      </c>
      <c r="AD65" s="336">
        <f t="shared" si="95"/>
        <v>1.4014883482656552E-2</v>
      </c>
      <c r="AE65" s="336">
        <f t="shared" ref="AE65:AL65" si="96">AE18/AE$49</f>
        <v>1.4144359260220875E-2</v>
      </c>
      <c r="AF65" s="336">
        <f t="shared" si="96"/>
        <v>1.4282115295521496E-2</v>
      </c>
      <c r="AG65" s="336">
        <f t="shared" si="96"/>
        <v>1.4432926773129707E-2</v>
      </c>
      <c r="AH65" s="336">
        <f t="shared" si="96"/>
        <v>1.4580745642384488E-2</v>
      </c>
      <c r="AI65" s="336">
        <f t="shared" si="96"/>
        <v>1.4724804782611674E-2</v>
      </c>
      <c r="AJ65" s="336">
        <f t="shared" si="96"/>
        <v>1.4850178042953282E-2</v>
      </c>
      <c r="AK65" s="336">
        <f t="shared" si="96"/>
        <v>1.4975861460120001E-2</v>
      </c>
      <c r="AL65" s="336">
        <f t="shared" si="96"/>
        <v>1.5091186018022401E-2</v>
      </c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</row>
    <row r="66" spans="12:50" x14ac:dyDescent="0.2">
      <c r="L66" s="232" t="str">
        <f>'Occ T3'!A21</f>
        <v>34 Culture, media and sports occupations</v>
      </c>
      <c r="M66" s="336">
        <f t="shared" ref="M66:AD66" si="97">M19/M$49</f>
        <v>1.8095595916231392E-2</v>
      </c>
      <c r="N66" s="336">
        <f t="shared" si="97"/>
        <v>2.1548698616037726E-2</v>
      </c>
      <c r="O66" s="336">
        <f t="shared" si="97"/>
        <v>2.2696836299597685E-2</v>
      </c>
      <c r="P66" s="336">
        <f t="shared" si="97"/>
        <v>2.1527049647123812E-2</v>
      </c>
      <c r="Q66" s="336">
        <f t="shared" si="97"/>
        <v>2.3312907312594611E-2</v>
      </c>
      <c r="R66" s="336">
        <f t="shared" si="97"/>
        <v>2.5951814139491547E-2</v>
      </c>
      <c r="S66" s="336">
        <f t="shared" si="97"/>
        <v>2.2551494344791534E-2</v>
      </c>
      <c r="T66" s="336">
        <f t="shared" si="97"/>
        <v>2.5225842310933114E-2</v>
      </c>
      <c r="U66" s="336">
        <f t="shared" si="97"/>
        <v>2.4046797708100084E-2</v>
      </c>
      <c r="V66" s="336">
        <f t="shared" si="97"/>
        <v>2.2503864019588569E-2</v>
      </c>
      <c r="W66" s="336">
        <f t="shared" si="97"/>
        <v>2.396725937946996E-2</v>
      </c>
      <c r="X66" s="336">
        <f t="shared" si="97"/>
        <v>2.2628168898114663E-2</v>
      </c>
      <c r="Y66" s="336">
        <f t="shared" si="97"/>
        <v>2.2806126190352719E-2</v>
      </c>
      <c r="Z66" s="336">
        <f t="shared" si="97"/>
        <v>2.2952599309739578E-2</v>
      </c>
      <c r="AA66" s="336">
        <f t="shared" si="97"/>
        <v>2.3099276190899447E-2</v>
      </c>
      <c r="AB66" s="336">
        <f t="shared" si="97"/>
        <v>2.3228280119402818E-2</v>
      </c>
      <c r="AC66" s="336">
        <f t="shared" si="97"/>
        <v>2.3364688074169131E-2</v>
      </c>
      <c r="AD66" s="336">
        <f t="shared" si="97"/>
        <v>2.3491865613888236E-2</v>
      </c>
      <c r="AE66" s="336">
        <f t="shared" ref="AE66:AL66" si="98">AE19/AE$49</f>
        <v>2.3634421041413126E-2</v>
      </c>
      <c r="AF66" s="336">
        <f t="shared" si="98"/>
        <v>2.3764326349655165E-2</v>
      </c>
      <c r="AG66" s="336">
        <f t="shared" si="98"/>
        <v>2.3880396663540738E-2</v>
      </c>
      <c r="AH66" s="336">
        <f t="shared" si="98"/>
        <v>2.3987376116757459E-2</v>
      </c>
      <c r="AI66" s="336">
        <f t="shared" si="98"/>
        <v>2.4130499507385529E-2</v>
      </c>
      <c r="AJ66" s="336">
        <f t="shared" si="98"/>
        <v>2.4261212878177785E-2</v>
      </c>
      <c r="AK66" s="336">
        <f t="shared" si="98"/>
        <v>2.4435219781730109E-2</v>
      </c>
      <c r="AL66" s="336">
        <f t="shared" si="98"/>
        <v>2.4569814708585699E-2</v>
      </c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</row>
    <row r="67" spans="12:50" x14ac:dyDescent="0.2">
      <c r="L67" s="232" t="str">
        <f>'Occ T3'!A22</f>
        <v>35 Business and public service associate professionals</v>
      </c>
      <c r="M67" s="336">
        <f t="shared" ref="M67:AD67" si="99">M20/M$49</f>
        <v>6.9978720759214963E-2</v>
      </c>
      <c r="N67" s="336">
        <f t="shared" si="99"/>
        <v>6.4047553188184489E-2</v>
      </c>
      <c r="O67" s="336">
        <f t="shared" si="99"/>
        <v>6.5470543971804782E-2</v>
      </c>
      <c r="P67" s="336">
        <f t="shared" si="99"/>
        <v>6.5981022013105448E-2</v>
      </c>
      <c r="Q67" s="336">
        <f t="shared" si="99"/>
        <v>6.7561821979956915E-2</v>
      </c>
      <c r="R67" s="336">
        <f t="shared" si="99"/>
        <v>6.6087506098539764E-2</v>
      </c>
      <c r="S67" s="336">
        <f t="shared" si="99"/>
        <v>6.7208030645451042E-2</v>
      </c>
      <c r="T67" s="336">
        <f t="shared" si="99"/>
        <v>6.5971794882053944E-2</v>
      </c>
      <c r="U67" s="336">
        <f t="shared" si="99"/>
        <v>6.6739928541087706E-2</v>
      </c>
      <c r="V67" s="336">
        <f t="shared" si="99"/>
        <v>6.6835698094204365E-2</v>
      </c>
      <c r="W67" s="336">
        <f t="shared" si="99"/>
        <v>6.950530473222076E-2</v>
      </c>
      <c r="X67" s="336">
        <f t="shared" si="99"/>
        <v>6.5362290088804009E-2</v>
      </c>
      <c r="Y67" s="336">
        <f t="shared" si="99"/>
        <v>6.5401780756479441E-2</v>
      </c>
      <c r="Z67" s="336">
        <f t="shared" si="99"/>
        <v>6.5413671230458395E-2</v>
      </c>
      <c r="AA67" s="336">
        <f t="shared" si="99"/>
        <v>6.5457240988628859E-2</v>
      </c>
      <c r="AB67" s="336">
        <f t="shared" si="99"/>
        <v>6.5498651998633112E-2</v>
      </c>
      <c r="AC67" s="336">
        <f t="shared" si="99"/>
        <v>6.5527769176182582E-2</v>
      </c>
      <c r="AD67" s="336">
        <f t="shared" si="99"/>
        <v>6.5537996327129269E-2</v>
      </c>
      <c r="AE67" s="336">
        <f t="shared" ref="AE67:AL67" si="100">AE20/AE$49</f>
        <v>6.5543020874703109E-2</v>
      </c>
      <c r="AF67" s="336">
        <f t="shared" si="100"/>
        <v>6.555268713537904E-2</v>
      </c>
      <c r="AG67" s="336">
        <f t="shared" si="100"/>
        <v>6.5557256449903886E-2</v>
      </c>
      <c r="AH67" s="336">
        <f t="shared" si="100"/>
        <v>6.5548240126212534E-2</v>
      </c>
      <c r="AI67" s="336">
        <f t="shared" si="100"/>
        <v>6.5524075446263846E-2</v>
      </c>
      <c r="AJ67" s="336">
        <f t="shared" si="100"/>
        <v>6.5529837292054527E-2</v>
      </c>
      <c r="AK67" s="336">
        <f t="shared" si="100"/>
        <v>6.5532631993103857E-2</v>
      </c>
      <c r="AL67" s="336">
        <f t="shared" si="100"/>
        <v>6.5519999095925152E-2</v>
      </c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</row>
    <row r="68" spans="12:50" x14ac:dyDescent="0.2">
      <c r="L68" s="232"/>
      <c r="M68" s="336"/>
      <c r="N68" s="336"/>
      <c r="O68" s="336"/>
      <c r="P68" s="336"/>
      <c r="Q68" s="336"/>
      <c r="R68" s="336"/>
      <c r="S68" s="336"/>
      <c r="T68" s="336"/>
      <c r="U68" s="336"/>
      <c r="V68" s="336"/>
      <c r="W68" s="336"/>
      <c r="X68" s="336"/>
      <c r="Y68" s="336"/>
      <c r="Z68" s="336"/>
      <c r="AA68" s="336"/>
      <c r="AB68" s="336"/>
      <c r="AC68" s="336"/>
      <c r="AD68" s="336"/>
      <c r="AE68" s="336"/>
      <c r="AF68" s="336"/>
      <c r="AG68" s="336"/>
      <c r="AH68" s="336"/>
      <c r="AI68" s="336"/>
      <c r="AJ68" s="336"/>
      <c r="AK68" s="336"/>
      <c r="AL68" s="336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</row>
    <row r="69" spans="12:50" x14ac:dyDescent="0.2">
      <c r="L69" s="17" t="str">
        <f>'Occ T3'!A24</f>
        <v>Administrative and secretarial occupations</v>
      </c>
      <c r="M69" s="337">
        <f t="shared" ref="M69:AD69" si="101">M22/M$49</f>
        <v>0.1208313094346362</v>
      </c>
      <c r="N69" s="337">
        <f t="shared" si="101"/>
        <v>0.11518894782391868</v>
      </c>
      <c r="O69" s="337">
        <f t="shared" si="101"/>
        <v>0.11342480876474141</v>
      </c>
      <c r="P69" s="337">
        <f t="shared" si="101"/>
        <v>0.11086188505381535</v>
      </c>
      <c r="Q69" s="337">
        <f t="shared" si="101"/>
        <v>0.10985482046605442</v>
      </c>
      <c r="R69" s="337">
        <f t="shared" si="101"/>
        <v>0.10863318185085941</v>
      </c>
      <c r="S69" s="337">
        <f t="shared" si="101"/>
        <v>0.10295136647464091</v>
      </c>
      <c r="T69" s="337">
        <f t="shared" si="101"/>
        <v>0.10491611600743134</v>
      </c>
      <c r="U69" s="337">
        <f t="shared" si="101"/>
        <v>0.10575605630741926</v>
      </c>
      <c r="V69" s="337">
        <f t="shared" si="101"/>
        <v>9.915601446674617E-2</v>
      </c>
      <c r="W69" s="337">
        <f t="shared" si="101"/>
        <v>0.1022151762843681</v>
      </c>
      <c r="X69" s="337">
        <f t="shared" si="101"/>
        <v>9.8308942816287812E-2</v>
      </c>
      <c r="Y69" s="337">
        <f t="shared" si="101"/>
        <v>9.6883590454022367E-2</v>
      </c>
      <c r="Z69" s="337">
        <f t="shared" si="101"/>
        <v>9.538751980387232E-2</v>
      </c>
      <c r="AA69" s="337">
        <f t="shared" si="101"/>
        <v>9.3922594911623053E-2</v>
      </c>
      <c r="AB69" s="337">
        <f t="shared" si="101"/>
        <v>9.2494569944382626E-2</v>
      </c>
      <c r="AC69" s="337">
        <f t="shared" si="101"/>
        <v>9.1097575755283031E-2</v>
      </c>
      <c r="AD69" s="337">
        <f t="shared" si="101"/>
        <v>8.9715537273142784E-2</v>
      </c>
      <c r="AE69" s="337">
        <f t="shared" ref="AE69:AL69" si="102">AE22/AE$49</f>
        <v>8.8339949391265202E-2</v>
      </c>
      <c r="AF69" s="337">
        <f t="shared" si="102"/>
        <v>8.6987101153213661E-2</v>
      </c>
      <c r="AG69" s="337">
        <f t="shared" si="102"/>
        <v>8.5720902717016711E-2</v>
      </c>
      <c r="AH69" s="337">
        <f t="shared" si="102"/>
        <v>8.455078919321582E-2</v>
      </c>
      <c r="AI69" s="337">
        <f t="shared" si="102"/>
        <v>8.3324499621989331E-2</v>
      </c>
      <c r="AJ69" s="337">
        <f t="shared" si="102"/>
        <v>8.2046841675478308E-2</v>
      </c>
      <c r="AK69" s="337">
        <f t="shared" si="102"/>
        <v>8.0487973987582742E-2</v>
      </c>
      <c r="AL69" s="337">
        <f t="shared" si="102"/>
        <v>7.9228848841572941E-2</v>
      </c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</row>
    <row r="70" spans="12:50" x14ac:dyDescent="0.2">
      <c r="L70" s="232" t="str">
        <f>'Occ T3'!A25</f>
        <v>41 Administrative occupations</v>
      </c>
      <c r="M70" s="336">
        <f t="shared" ref="M70:AD70" si="103">M23/M$49</f>
        <v>8.7895032179140381E-2</v>
      </c>
      <c r="N70" s="336">
        <f t="shared" si="103"/>
        <v>8.58764498605913E-2</v>
      </c>
      <c r="O70" s="336">
        <f t="shared" si="103"/>
        <v>8.5447671491429428E-2</v>
      </c>
      <c r="P70" s="336">
        <f t="shared" si="103"/>
        <v>8.2687214886484423E-2</v>
      </c>
      <c r="Q70" s="336">
        <f t="shared" si="103"/>
        <v>8.2855540406888806E-2</v>
      </c>
      <c r="R70" s="336">
        <f t="shared" si="103"/>
        <v>8.3428579684141427E-2</v>
      </c>
      <c r="S70" s="336">
        <f t="shared" si="103"/>
        <v>7.9803131682369466E-2</v>
      </c>
      <c r="T70" s="336">
        <f t="shared" si="103"/>
        <v>8.1099986626885209E-2</v>
      </c>
      <c r="U70" s="336">
        <f t="shared" si="103"/>
        <v>8.084076789319454E-2</v>
      </c>
      <c r="V70" s="336">
        <f t="shared" si="103"/>
        <v>7.7585169458961961E-2</v>
      </c>
      <c r="W70" s="336">
        <f t="shared" si="103"/>
        <v>8.0890127838745177E-2</v>
      </c>
      <c r="X70" s="336">
        <f t="shared" si="103"/>
        <v>7.4775395478016149E-2</v>
      </c>
      <c r="Y70" s="336">
        <f t="shared" si="103"/>
        <v>7.3972350412095822E-2</v>
      </c>
      <c r="Z70" s="336">
        <f t="shared" si="103"/>
        <v>7.3119274433228312E-2</v>
      </c>
      <c r="AA70" s="336">
        <f t="shared" si="103"/>
        <v>7.2308508934287627E-2</v>
      </c>
      <c r="AB70" s="336">
        <f t="shared" si="103"/>
        <v>7.1492418904605545E-2</v>
      </c>
      <c r="AC70" s="336">
        <f t="shared" si="103"/>
        <v>7.0675086064185766E-2</v>
      </c>
      <c r="AD70" s="336">
        <f t="shared" si="103"/>
        <v>6.9812554066107424E-2</v>
      </c>
      <c r="AE70" s="336">
        <f t="shared" ref="AE70:AL70" si="104">AE23/AE$49</f>
        <v>6.8952945273622127E-2</v>
      </c>
      <c r="AF70" s="336">
        <f t="shared" si="104"/>
        <v>6.8151992759180116E-2</v>
      </c>
      <c r="AG70" s="336">
        <f t="shared" si="104"/>
        <v>6.7359980092578459E-2</v>
      </c>
      <c r="AH70" s="336">
        <f t="shared" si="104"/>
        <v>6.6526864751164386E-2</v>
      </c>
      <c r="AI70" s="336">
        <f t="shared" si="104"/>
        <v>6.5657978079507212E-2</v>
      </c>
      <c r="AJ70" s="336">
        <f t="shared" si="104"/>
        <v>6.4775534216992489E-2</v>
      </c>
      <c r="AK70" s="336">
        <f t="shared" si="104"/>
        <v>6.3937064449083897E-2</v>
      </c>
      <c r="AL70" s="336">
        <f t="shared" si="104"/>
        <v>6.3152556511861899E-2</v>
      </c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</row>
    <row r="71" spans="12:50" x14ac:dyDescent="0.2">
      <c r="L71" s="232" t="str">
        <f>'Occ T3'!A26</f>
        <v>42 Secretarial and related occupations</v>
      </c>
      <c r="M71" s="336">
        <f t="shared" ref="M71:AD71" si="105">M24/M$49</f>
        <v>3.2936277255495826E-2</v>
      </c>
      <c r="N71" s="336">
        <f t="shared" si="105"/>
        <v>2.9312497963327386E-2</v>
      </c>
      <c r="O71" s="336">
        <f t="shared" si="105"/>
        <v>2.7977137273311966E-2</v>
      </c>
      <c r="P71" s="336">
        <f t="shared" si="105"/>
        <v>2.817467016733094E-2</v>
      </c>
      <c r="Q71" s="336">
        <f t="shared" si="105"/>
        <v>2.6999280059165635E-2</v>
      </c>
      <c r="R71" s="336">
        <f t="shared" si="105"/>
        <v>2.5204602166717997E-2</v>
      </c>
      <c r="S71" s="336">
        <f t="shared" si="105"/>
        <v>2.3148234792271457E-2</v>
      </c>
      <c r="T71" s="336">
        <f t="shared" si="105"/>
        <v>2.3816129380546121E-2</v>
      </c>
      <c r="U71" s="336">
        <f t="shared" si="105"/>
        <v>2.4915288414224714E-2</v>
      </c>
      <c r="V71" s="336">
        <f t="shared" si="105"/>
        <v>2.1570845007784212E-2</v>
      </c>
      <c r="W71" s="336">
        <f t="shared" si="105"/>
        <v>2.1325048445622927E-2</v>
      </c>
      <c r="X71" s="336">
        <f t="shared" si="105"/>
        <v>2.3533547338271663E-2</v>
      </c>
      <c r="Y71" s="336">
        <f t="shared" si="105"/>
        <v>2.2911240041926541E-2</v>
      </c>
      <c r="Z71" s="336">
        <f t="shared" si="105"/>
        <v>2.2268245370644028E-2</v>
      </c>
      <c r="AA71" s="336">
        <f t="shared" si="105"/>
        <v>2.1614085977335429E-2</v>
      </c>
      <c r="AB71" s="336">
        <f t="shared" si="105"/>
        <v>2.1002151039777078E-2</v>
      </c>
      <c r="AC71" s="336">
        <f t="shared" si="105"/>
        <v>2.0422489691097254E-2</v>
      </c>
      <c r="AD71" s="336">
        <f t="shared" si="105"/>
        <v>1.9902983207035346E-2</v>
      </c>
      <c r="AE71" s="336">
        <f t="shared" ref="AE71:AL71" si="106">AE24/AE$49</f>
        <v>1.9387004117643086E-2</v>
      </c>
      <c r="AF71" s="336">
        <f t="shared" si="106"/>
        <v>1.8835108394033549E-2</v>
      </c>
      <c r="AG71" s="336">
        <f t="shared" si="106"/>
        <v>1.8360922624438256E-2</v>
      </c>
      <c r="AH71" s="336">
        <f t="shared" si="106"/>
        <v>1.802392444205143E-2</v>
      </c>
      <c r="AI71" s="336">
        <f t="shared" si="106"/>
        <v>1.7666521542482109E-2</v>
      </c>
      <c r="AJ71" s="336">
        <f t="shared" si="106"/>
        <v>1.7271307458485815E-2</v>
      </c>
      <c r="AK71" s="336">
        <f t="shared" si="106"/>
        <v>1.6550909538498842E-2</v>
      </c>
      <c r="AL71" s="336">
        <f t="shared" si="106"/>
        <v>1.6076292329711032E-2</v>
      </c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</row>
    <row r="72" spans="12:50" x14ac:dyDescent="0.2">
      <c r="L72" s="232"/>
      <c r="M72" s="336"/>
      <c r="N72" s="336"/>
      <c r="O72" s="336"/>
      <c r="P72" s="336"/>
      <c r="Q72" s="336"/>
      <c r="R72" s="336"/>
      <c r="S72" s="336"/>
      <c r="T72" s="336"/>
      <c r="U72" s="336"/>
      <c r="V72" s="336"/>
      <c r="W72" s="336"/>
      <c r="X72" s="336"/>
      <c r="Y72" s="336"/>
      <c r="Z72" s="336"/>
      <c r="AA72" s="336"/>
      <c r="AB72" s="336"/>
      <c r="AC72" s="336"/>
      <c r="AD72" s="336"/>
      <c r="AE72" s="336"/>
      <c r="AF72" s="336"/>
      <c r="AG72" s="336"/>
      <c r="AH72" s="336"/>
      <c r="AI72" s="336"/>
      <c r="AJ72" s="336"/>
      <c r="AK72" s="336"/>
      <c r="AL72" s="336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</row>
    <row r="73" spans="12:50" x14ac:dyDescent="0.2">
      <c r="L73" s="17" t="str">
        <f>'Occ T3'!A28</f>
        <v>Skilled trades occupations</v>
      </c>
      <c r="M73" s="337">
        <f t="shared" ref="M73:AD73" si="107">M26/M$49</f>
        <v>9.6807693459175684E-2</v>
      </c>
      <c r="N73" s="337">
        <f t="shared" si="107"/>
        <v>9.4440996285262882E-2</v>
      </c>
      <c r="O73" s="337">
        <f t="shared" si="107"/>
        <v>9.1340160551058064E-2</v>
      </c>
      <c r="P73" s="337">
        <f t="shared" si="107"/>
        <v>9.1887598059657433E-2</v>
      </c>
      <c r="Q73" s="337">
        <f t="shared" si="107"/>
        <v>9.5944644327327008E-2</v>
      </c>
      <c r="R73" s="337">
        <f t="shared" si="107"/>
        <v>9.4117972478472908E-2</v>
      </c>
      <c r="S73" s="337">
        <f t="shared" si="107"/>
        <v>9.3724621743282846E-2</v>
      </c>
      <c r="T73" s="337">
        <f t="shared" si="107"/>
        <v>9.5571392751271078E-2</v>
      </c>
      <c r="U73" s="337">
        <f t="shared" si="107"/>
        <v>8.6742842709539553E-2</v>
      </c>
      <c r="V73" s="337">
        <f t="shared" si="107"/>
        <v>8.8211362974751753E-2</v>
      </c>
      <c r="W73" s="337">
        <f t="shared" si="107"/>
        <v>7.9250976547539875E-2</v>
      </c>
      <c r="X73" s="337">
        <f t="shared" si="107"/>
        <v>8.1239440976640306E-2</v>
      </c>
      <c r="Y73" s="337">
        <f t="shared" si="107"/>
        <v>8.1104547569375671E-2</v>
      </c>
      <c r="Z73" s="337">
        <f t="shared" si="107"/>
        <v>8.1144883735905587E-2</v>
      </c>
      <c r="AA73" s="337">
        <f t="shared" si="107"/>
        <v>8.1062971923766214E-2</v>
      </c>
      <c r="AB73" s="337">
        <f t="shared" si="107"/>
        <v>8.0796142670152143E-2</v>
      </c>
      <c r="AC73" s="337">
        <f t="shared" si="107"/>
        <v>8.0484613267198427E-2</v>
      </c>
      <c r="AD73" s="337">
        <f t="shared" si="107"/>
        <v>8.0122675888162298E-2</v>
      </c>
      <c r="AE73" s="337">
        <f t="shared" ref="AE73:AL73" si="108">AE26/AE$49</f>
        <v>7.9812504244404059E-2</v>
      </c>
      <c r="AF73" s="337">
        <f t="shared" si="108"/>
        <v>7.9495570959095846E-2</v>
      </c>
      <c r="AG73" s="337">
        <f t="shared" si="108"/>
        <v>7.9187720332258141E-2</v>
      </c>
      <c r="AH73" s="337">
        <f t="shared" si="108"/>
        <v>7.8865716917198778E-2</v>
      </c>
      <c r="AI73" s="337">
        <f t="shared" si="108"/>
        <v>7.8526799438893707E-2</v>
      </c>
      <c r="AJ73" s="337">
        <f t="shared" si="108"/>
        <v>7.8172082114733227E-2</v>
      </c>
      <c r="AK73" s="337">
        <f t="shared" si="108"/>
        <v>7.7886534749657718E-2</v>
      </c>
      <c r="AL73" s="337">
        <f t="shared" si="108"/>
        <v>7.7563610248888734E-2</v>
      </c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</row>
    <row r="74" spans="12:50" x14ac:dyDescent="0.2">
      <c r="L74" s="232" t="str">
        <f>'Occ T3'!A29</f>
        <v>51 Skilled agricultural and related trades</v>
      </c>
      <c r="M74" s="336">
        <f t="shared" ref="M74:AD74" si="109">M27/M$49</f>
        <v>7.5273527717088428E-3</v>
      </c>
      <c r="N74" s="336">
        <f t="shared" si="109"/>
        <v>8.472083596063041E-3</v>
      </c>
      <c r="O74" s="336">
        <f t="shared" si="109"/>
        <v>9.3755549281352331E-3</v>
      </c>
      <c r="P74" s="336">
        <f t="shared" si="109"/>
        <v>8.0198611674939871E-3</v>
      </c>
      <c r="Q74" s="336">
        <f t="shared" si="109"/>
        <v>1.1256986414080621E-2</v>
      </c>
      <c r="R74" s="336">
        <f t="shared" si="109"/>
        <v>9.715489587680759E-3</v>
      </c>
      <c r="S74" s="336">
        <f t="shared" si="109"/>
        <v>9.0980270413478677E-3</v>
      </c>
      <c r="T74" s="336">
        <f t="shared" si="109"/>
        <v>8.9501755721706541E-3</v>
      </c>
      <c r="U74" s="336">
        <f t="shared" si="109"/>
        <v>8.3341303065627582E-3</v>
      </c>
      <c r="V74" s="336">
        <f t="shared" si="109"/>
        <v>1.0058493071437403E-2</v>
      </c>
      <c r="W74" s="336">
        <f t="shared" si="109"/>
        <v>8.1322366384793954E-3</v>
      </c>
      <c r="X74" s="336">
        <f t="shared" si="109"/>
        <v>8.0538158791371127E-3</v>
      </c>
      <c r="Y74" s="336">
        <f t="shared" si="109"/>
        <v>8.1629856468153489E-3</v>
      </c>
      <c r="Z74" s="336">
        <f t="shared" si="109"/>
        <v>8.2845028232747826E-3</v>
      </c>
      <c r="AA74" s="336">
        <f t="shared" si="109"/>
        <v>8.3988457455636961E-3</v>
      </c>
      <c r="AB74" s="336">
        <f t="shared" si="109"/>
        <v>8.504925818202537E-3</v>
      </c>
      <c r="AC74" s="336">
        <f t="shared" si="109"/>
        <v>8.6106309437886924E-3</v>
      </c>
      <c r="AD74" s="336">
        <f t="shared" si="109"/>
        <v>8.7156965084798643E-3</v>
      </c>
      <c r="AE74" s="336">
        <f t="shared" ref="AE74:AL74" si="110">AE27/AE$49</f>
        <v>8.8136086011399162E-3</v>
      </c>
      <c r="AF74" s="336">
        <f t="shared" si="110"/>
        <v>8.9096323787099824E-3</v>
      </c>
      <c r="AG74" s="336">
        <f t="shared" si="110"/>
        <v>9.0210323676121768E-3</v>
      </c>
      <c r="AH74" s="336">
        <f t="shared" si="110"/>
        <v>9.1315479247516228E-3</v>
      </c>
      <c r="AI74" s="336">
        <f t="shared" si="110"/>
        <v>9.2415734643407233E-3</v>
      </c>
      <c r="AJ74" s="336">
        <f t="shared" si="110"/>
        <v>9.3557918127690799E-3</v>
      </c>
      <c r="AK74" s="336">
        <f t="shared" si="110"/>
        <v>9.4721742422621009E-3</v>
      </c>
      <c r="AL74" s="336">
        <f t="shared" si="110"/>
        <v>9.6007228867582995E-3</v>
      </c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</row>
    <row r="75" spans="12:50" x14ac:dyDescent="0.2">
      <c r="L75" s="232" t="str">
        <f>'Occ T3'!A30</f>
        <v>52 Skilled metal, electrical and electronic trades</v>
      </c>
      <c r="M75" s="336">
        <f t="shared" ref="M75:AD75" si="111">M28/M$49</f>
        <v>3.5276281697287339E-2</v>
      </c>
      <c r="N75" s="336">
        <f t="shared" si="111"/>
        <v>3.4822746251900252E-2</v>
      </c>
      <c r="O75" s="336">
        <f t="shared" si="111"/>
        <v>3.2137977821990509E-2</v>
      </c>
      <c r="P75" s="336">
        <f t="shared" si="111"/>
        <v>3.3487734300142465E-2</v>
      </c>
      <c r="Q75" s="336">
        <f t="shared" si="111"/>
        <v>3.4589781000127072E-2</v>
      </c>
      <c r="R75" s="336">
        <f t="shared" si="111"/>
        <v>3.3376082058840212E-2</v>
      </c>
      <c r="S75" s="336">
        <f t="shared" si="111"/>
        <v>3.3724714956622243E-2</v>
      </c>
      <c r="T75" s="336">
        <f t="shared" si="111"/>
        <v>3.365445170869695E-2</v>
      </c>
      <c r="U75" s="336">
        <f t="shared" si="111"/>
        <v>3.1898406961387932E-2</v>
      </c>
      <c r="V75" s="336">
        <f t="shared" si="111"/>
        <v>3.2758517239057233E-2</v>
      </c>
      <c r="W75" s="336">
        <f t="shared" si="111"/>
        <v>2.9061916888288363E-2</v>
      </c>
      <c r="X75" s="336">
        <f t="shared" si="111"/>
        <v>2.9702648578873225E-2</v>
      </c>
      <c r="Y75" s="336">
        <f t="shared" si="111"/>
        <v>2.9561350010293693E-2</v>
      </c>
      <c r="Z75" s="336">
        <f t="shared" si="111"/>
        <v>2.9458725640900216E-2</v>
      </c>
      <c r="AA75" s="336">
        <f t="shared" si="111"/>
        <v>2.9315821223034499E-2</v>
      </c>
      <c r="AB75" s="336">
        <f t="shared" si="111"/>
        <v>2.9128270938646957E-2</v>
      </c>
      <c r="AC75" s="336">
        <f t="shared" si="111"/>
        <v>2.8935787620983575E-2</v>
      </c>
      <c r="AD75" s="336">
        <f t="shared" si="111"/>
        <v>2.8737833907038528E-2</v>
      </c>
      <c r="AE75" s="336">
        <f t="shared" ref="AE75:AL75" si="112">AE28/AE$49</f>
        <v>2.8550355442783726E-2</v>
      </c>
      <c r="AF75" s="336">
        <f t="shared" si="112"/>
        <v>2.8363688642528626E-2</v>
      </c>
      <c r="AG75" s="336">
        <f t="shared" si="112"/>
        <v>2.8163131914192532E-2</v>
      </c>
      <c r="AH75" s="336">
        <f t="shared" si="112"/>
        <v>2.7958233354548279E-2</v>
      </c>
      <c r="AI75" s="336">
        <f t="shared" si="112"/>
        <v>2.775814881956188E-2</v>
      </c>
      <c r="AJ75" s="336">
        <f t="shared" si="112"/>
        <v>2.7563352420333684E-2</v>
      </c>
      <c r="AK75" s="336">
        <f t="shared" si="112"/>
        <v>2.7387263503563398E-2</v>
      </c>
      <c r="AL75" s="336">
        <f t="shared" si="112"/>
        <v>2.7186531501622143E-2</v>
      </c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</row>
    <row r="76" spans="12:50" x14ac:dyDescent="0.2">
      <c r="L76" s="232" t="str">
        <f>'Occ T3'!A31</f>
        <v>53 Skilled construction and building trades</v>
      </c>
      <c r="M76" s="336">
        <f t="shared" ref="M76:AD76" si="113">M29/M$49</f>
        <v>3.5216450207986923E-2</v>
      </c>
      <c r="N76" s="336">
        <f t="shared" si="113"/>
        <v>3.0846049976342344E-2</v>
      </c>
      <c r="O76" s="336">
        <f t="shared" si="113"/>
        <v>2.8324518794407564E-2</v>
      </c>
      <c r="P76" s="336">
        <f t="shared" si="113"/>
        <v>2.892057467745892E-2</v>
      </c>
      <c r="Q76" s="336">
        <f t="shared" si="113"/>
        <v>2.8630020677087826E-2</v>
      </c>
      <c r="R76" s="336">
        <f t="shared" si="113"/>
        <v>2.8349452614820185E-2</v>
      </c>
      <c r="S76" s="336">
        <f t="shared" si="113"/>
        <v>2.9293446325531023E-2</v>
      </c>
      <c r="T76" s="336">
        <f t="shared" si="113"/>
        <v>3.1340678600575704E-2</v>
      </c>
      <c r="U76" s="336">
        <f t="shared" si="113"/>
        <v>2.5664238931216901E-2</v>
      </c>
      <c r="V76" s="336">
        <f t="shared" si="113"/>
        <v>2.5787122051404137E-2</v>
      </c>
      <c r="W76" s="336">
        <f t="shared" si="113"/>
        <v>2.3615835802886214E-2</v>
      </c>
      <c r="X76" s="336">
        <f t="shared" si="113"/>
        <v>2.5241847106437565E-2</v>
      </c>
      <c r="Y76" s="336">
        <f t="shared" si="113"/>
        <v>2.5012361953411732E-2</v>
      </c>
      <c r="Z76" s="336">
        <f t="shared" si="113"/>
        <v>2.4958012241052468E-2</v>
      </c>
      <c r="AA76" s="336">
        <f t="shared" si="113"/>
        <v>2.4827340997744148E-2</v>
      </c>
      <c r="AB76" s="336">
        <f t="shared" si="113"/>
        <v>2.4570311585622902E-2</v>
      </c>
      <c r="AC76" s="336">
        <f t="shared" si="113"/>
        <v>2.4309024457119865E-2</v>
      </c>
      <c r="AD76" s="336">
        <f t="shared" si="113"/>
        <v>2.4044360405408756E-2</v>
      </c>
      <c r="AE76" s="336">
        <f t="shared" ref="AE76:AL76" si="114">AE29/AE$49</f>
        <v>2.3787561745276149E-2</v>
      </c>
      <c r="AF76" s="336">
        <f t="shared" si="114"/>
        <v>2.3527839582360446E-2</v>
      </c>
      <c r="AG76" s="336">
        <f t="shared" si="114"/>
        <v>2.3276653194376846E-2</v>
      </c>
      <c r="AH76" s="336">
        <f t="shared" si="114"/>
        <v>2.3023405171468028E-2</v>
      </c>
      <c r="AI76" s="336">
        <f t="shared" si="114"/>
        <v>2.2763322527761549E-2</v>
      </c>
      <c r="AJ76" s="336">
        <f t="shared" si="114"/>
        <v>2.249917079064492E-2</v>
      </c>
      <c r="AK76" s="336">
        <f t="shared" si="114"/>
        <v>2.2257907207834077E-2</v>
      </c>
      <c r="AL76" s="336">
        <f t="shared" si="114"/>
        <v>2.2000701775867239E-2</v>
      </c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</row>
    <row r="77" spans="12:50" x14ac:dyDescent="0.2">
      <c r="L77" s="232" t="str">
        <f>'Occ T3'!A32</f>
        <v>54 Textiles, printing and other skilled trades</v>
      </c>
      <c r="M77" s="336">
        <f t="shared" ref="M77:AD77" si="115">M30/M$49</f>
        <v>1.8787608782192579E-2</v>
      </c>
      <c r="N77" s="336">
        <f t="shared" si="115"/>
        <v>2.0300116460957258E-2</v>
      </c>
      <c r="O77" s="336">
        <f t="shared" si="115"/>
        <v>2.1502109006524765E-2</v>
      </c>
      <c r="P77" s="336">
        <f t="shared" si="115"/>
        <v>2.1459427914562065E-2</v>
      </c>
      <c r="Q77" s="336">
        <f t="shared" si="115"/>
        <v>2.1467856236031483E-2</v>
      </c>
      <c r="R77" s="336">
        <f t="shared" si="115"/>
        <v>2.2676948217131763E-2</v>
      </c>
      <c r="S77" s="336">
        <f t="shared" si="115"/>
        <v>2.1608433419781706E-2</v>
      </c>
      <c r="T77" s="336">
        <f t="shared" si="115"/>
        <v>2.1626086869827778E-2</v>
      </c>
      <c r="U77" s="336">
        <f t="shared" si="115"/>
        <v>2.0846066510371956E-2</v>
      </c>
      <c r="V77" s="336">
        <f t="shared" si="115"/>
        <v>1.9607230612852987E-2</v>
      </c>
      <c r="W77" s="336">
        <f t="shared" si="115"/>
        <v>1.8440987217885906E-2</v>
      </c>
      <c r="X77" s="336">
        <f t="shared" si="115"/>
        <v>1.824112941219239E-2</v>
      </c>
      <c r="Y77" s="336">
        <f t="shared" si="115"/>
        <v>1.8367849958854893E-2</v>
      </c>
      <c r="Z77" s="336">
        <f t="shared" si="115"/>
        <v>1.8443643030678129E-2</v>
      </c>
      <c r="AA77" s="336">
        <f t="shared" si="115"/>
        <v>1.8520963957423871E-2</v>
      </c>
      <c r="AB77" s="336">
        <f t="shared" si="115"/>
        <v>1.8592634327679748E-2</v>
      </c>
      <c r="AC77" s="336">
        <f t="shared" si="115"/>
        <v>1.8629170245306283E-2</v>
      </c>
      <c r="AD77" s="336">
        <f t="shared" si="115"/>
        <v>1.8624785067235156E-2</v>
      </c>
      <c r="AE77" s="336">
        <f t="shared" ref="AE77:AL77" si="116">AE30/AE$49</f>
        <v>1.8660978455204258E-2</v>
      </c>
      <c r="AF77" s="336">
        <f t="shared" si="116"/>
        <v>1.8694410355496793E-2</v>
      </c>
      <c r="AG77" s="336">
        <f t="shared" si="116"/>
        <v>1.8726902856076588E-2</v>
      </c>
      <c r="AH77" s="336">
        <f t="shared" si="116"/>
        <v>1.8752530466430842E-2</v>
      </c>
      <c r="AI77" s="336">
        <f t="shared" si="116"/>
        <v>1.8763754627229561E-2</v>
      </c>
      <c r="AJ77" s="336">
        <f t="shared" si="116"/>
        <v>1.875376709098554E-2</v>
      </c>
      <c r="AK77" s="336">
        <f t="shared" si="116"/>
        <v>1.8769189795998155E-2</v>
      </c>
      <c r="AL77" s="336">
        <f t="shared" si="116"/>
        <v>1.8775654084641033E-2</v>
      </c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</row>
    <row r="78" spans="12:50" x14ac:dyDescent="0.2">
      <c r="L78" s="232"/>
      <c r="M78" s="336"/>
      <c r="N78" s="336"/>
      <c r="O78" s="336"/>
      <c r="P78" s="336"/>
      <c r="Q78" s="336"/>
      <c r="R78" s="336"/>
      <c r="S78" s="336"/>
      <c r="T78" s="336"/>
      <c r="U78" s="336"/>
      <c r="V78" s="336"/>
      <c r="W78" s="336"/>
      <c r="X78" s="336"/>
      <c r="Y78" s="336"/>
      <c r="Z78" s="336"/>
      <c r="AA78" s="336"/>
      <c r="AB78" s="336"/>
      <c r="AC78" s="336"/>
      <c r="AD78" s="336"/>
      <c r="AE78" s="336"/>
      <c r="AF78" s="336"/>
      <c r="AG78" s="336"/>
      <c r="AH78" s="336"/>
      <c r="AI78" s="336"/>
      <c r="AJ78" s="336"/>
      <c r="AK78" s="336"/>
      <c r="AL78" s="336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</row>
    <row r="79" spans="12:50" x14ac:dyDescent="0.2">
      <c r="L79" s="17" t="str">
        <f>'Occ T3'!A34</f>
        <v>Caring, leisure and other service occupations</v>
      </c>
      <c r="M79" s="337">
        <f t="shared" ref="M79:AD79" si="117">M32/M$49</f>
        <v>8.9966096533010478E-2</v>
      </c>
      <c r="N79" s="337">
        <f t="shared" si="117"/>
        <v>8.952575821052472E-2</v>
      </c>
      <c r="O79" s="337">
        <f t="shared" si="117"/>
        <v>8.7713820284434835E-2</v>
      </c>
      <c r="P79" s="337">
        <f t="shared" si="117"/>
        <v>8.9362531444119764E-2</v>
      </c>
      <c r="Q79" s="337">
        <f t="shared" si="117"/>
        <v>8.8850223584918051E-2</v>
      </c>
      <c r="R79" s="337">
        <f t="shared" si="117"/>
        <v>9.4268025382926418E-2</v>
      </c>
      <c r="S79" s="337">
        <f t="shared" si="117"/>
        <v>9.1237938714646138E-2</v>
      </c>
      <c r="T79" s="337">
        <f t="shared" si="117"/>
        <v>9.4694396036951928E-2</v>
      </c>
      <c r="U79" s="337">
        <f t="shared" si="117"/>
        <v>9.1943717157802182E-2</v>
      </c>
      <c r="V79" s="337">
        <f t="shared" si="117"/>
        <v>9.4286887314788723E-2</v>
      </c>
      <c r="W79" s="337">
        <f t="shared" si="117"/>
        <v>9.1284499741779157E-2</v>
      </c>
      <c r="X79" s="337">
        <f t="shared" si="117"/>
        <v>9.3362601742177559E-2</v>
      </c>
      <c r="Y79" s="337">
        <f t="shared" si="117"/>
        <v>9.3427000755595291E-2</v>
      </c>
      <c r="Z79" s="337">
        <f t="shared" si="117"/>
        <v>9.3472868671752016E-2</v>
      </c>
      <c r="AA79" s="337">
        <f t="shared" si="117"/>
        <v>9.3573215800336049E-2</v>
      </c>
      <c r="AB79" s="337">
        <f t="shared" si="117"/>
        <v>9.3783994453388184E-2</v>
      </c>
      <c r="AC79" s="337">
        <f t="shared" si="117"/>
        <v>9.3985210074122513E-2</v>
      </c>
      <c r="AD79" s="337">
        <f t="shared" si="117"/>
        <v>9.4197441047720418E-2</v>
      </c>
      <c r="AE79" s="337">
        <f t="shared" ref="AE79:AL79" si="118">AE32/AE$49</f>
        <v>9.4398118310411658E-2</v>
      </c>
      <c r="AF79" s="337">
        <f t="shared" si="118"/>
        <v>9.4608566272260122E-2</v>
      </c>
      <c r="AG79" s="337">
        <f t="shared" si="118"/>
        <v>9.4804548212782835E-2</v>
      </c>
      <c r="AH79" s="337">
        <f t="shared" si="118"/>
        <v>9.4977476832746793E-2</v>
      </c>
      <c r="AI79" s="337">
        <f t="shared" si="118"/>
        <v>9.51642850673899E-2</v>
      </c>
      <c r="AJ79" s="337">
        <f t="shared" si="118"/>
        <v>9.5349641269549562E-2</v>
      </c>
      <c r="AK79" s="337">
        <f t="shared" si="118"/>
        <v>9.5519441888642045E-2</v>
      </c>
      <c r="AL79" s="337">
        <f t="shared" si="118"/>
        <v>9.5681326283261273E-2</v>
      </c>
      <c r="AM79" s="11"/>
      <c r="AN79" s="11"/>
      <c r="AO79" s="11"/>
      <c r="AP79" s="11"/>
      <c r="AQ79" s="11"/>
      <c r="AR79" s="11"/>
      <c r="AS79" s="11"/>
      <c r="AT79" s="11"/>
      <c r="AU79" s="11"/>
      <c r="AV79" s="11"/>
      <c r="AW79" s="11"/>
      <c r="AX79" s="11"/>
    </row>
    <row r="80" spans="12:50" x14ac:dyDescent="0.2">
      <c r="L80" s="232" t="str">
        <f>'Occ T3'!A35</f>
        <v>61 Caring personal service occupations</v>
      </c>
      <c r="M80" s="336">
        <f t="shared" ref="M80:AD80" si="119">M33/M$49</f>
        <v>6.6340754112396219E-2</v>
      </c>
      <c r="N80" s="336">
        <f t="shared" si="119"/>
        <v>6.3285652019014746E-2</v>
      </c>
      <c r="O80" s="336">
        <f t="shared" si="119"/>
        <v>6.2074824279352701E-2</v>
      </c>
      <c r="P80" s="336">
        <f t="shared" si="119"/>
        <v>6.4061283341617981E-2</v>
      </c>
      <c r="Q80" s="336">
        <f t="shared" si="119"/>
        <v>6.3155616337872436E-2</v>
      </c>
      <c r="R80" s="336">
        <f t="shared" si="119"/>
        <v>6.7203086418588465E-2</v>
      </c>
      <c r="S80" s="336">
        <f t="shared" si="119"/>
        <v>6.6503757303454272E-2</v>
      </c>
      <c r="T80" s="336">
        <f t="shared" si="119"/>
        <v>6.9094411576890391E-2</v>
      </c>
      <c r="U80" s="336">
        <f t="shared" si="119"/>
        <v>6.6611460334889516E-2</v>
      </c>
      <c r="V80" s="336">
        <f t="shared" si="119"/>
        <v>6.7639866086244588E-2</v>
      </c>
      <c r="W80" s="336">
        <f t="shared" si="119"/>
        <v>6.5913375241598335E-2</v>
      </c>
      <c r="X80" s="336">
        <f t="shared" si="119"/>
        <v>6.8406350742711786E-2</v>
      </c>
      <c r="Y80" s="336">
        <f t="shared" si="119"/>
        <v>6.8587027180528906E-2</v>
      </c>
      <c r="Z80" s="336">
        <f t="shared" si="119"/>
        <v>6.8686756753471176E-2</v>
      </c>
      <c r="AA80" s="336">
        <f t="shared" si="119"/>
        <v>6.8820456347211997E-2</v>
      </c>
      <c r="AB80" s="336">
        <f t="shared" si="119"/>
        <v>6.9045624664547445E-2</v>
      </c>
      <c r="AC80" s="336">
        <f t="shared" si="119"/>
        <v>6.9257292858448366E-2</v>
      </c>
      <c r="AD80" s="336">
        <f t="shared" si="119"/>
        <v>6.9479595934869368E-2</v>
      </c>
      <c r="AE80" s="336">
        <f t="shared" ref="AE80:AL80" si="120">AE33/AE$49</f>
        <v>6.9681337742850694E-2</v>
      </c>
      <c r="AF80" s="336">
        <f t="shared" si="120"/>
        <v>6.9899539274893702E-2</v>
      </c>
      <c r="AG80" s="336">
        <f t="shared" si="120"/>
        <v>7.0128516115841671E-2</v>
      </c>
      <c r="AH80" s="336">
        <f t="shared" si="120"/>
        <v>7.034950711219104E-2</v>
      </c>
      <c r="AI80" s="336">
        <f t="shared" si="120"/>
        <v>7.0573458429246741E-2</v>
      </c>
      <c r="AJ80" s="336">
        <f t="shared" si="120"/>
        <v>7.079429569611824E-2</v>
      </c>
      <c r="AK80" s="336">
        <f t="shared" si="120"/>
        <v>7.0996597324021762E-2</v>
      </c>
      <c r="AL80" s="336">
        <f t="shared" si="120"/>
        <v>7.1184120360578279E-2</v>
      </c>
      <c r="AM80" s="11"/>
      <c r="AN80" s="11"/>
      <c r="AO80" s="11"/>
      <c r="AP80" s="11"/>
      <c r="AQ80" s="11"/>
      <c r="AR80" s="11"/>
      <c r="AS80" s="11"/>
      <c r="AT80" s="11"/>
      <c r="AU80" s="11"/>
      <c r="AV80" s="11"/>
      <c r="AW80" s="11"/>
      <c r="AX80" s="11"/>
    </row>
    <row r="81" spans="12:50" x14ac:dyDescent="0.2">
      <c r="L81" s="232" t="str">
        <f>'Occ T3'!A36</f>
        <v>62 Leisure, travel and related personal service occupations</v>
      </c>
      <c r="M81" s="336">
        <f t="shared" ref="M81:AD81" si="121">M34/M$49</f>
        <v>2.1986319939943544E-2</v>
      </c>
      <c r="N81" s="336">
        <f t="shared" si="121"/>
        <v>2.5051241410962086E-2</v>
      </c>
      <c r="O81" s="336">
        <f t="shared" si="121"/>
        <v>2.4482709463326469E-2</v>
      </c>
      <c r="P81" s="336">
        <f t="shared" si="121"/>
        <v>2.4275436585872529E-2</v>
      </c>
      <c r="Q81" s="336">
        <f t="shared" si="121"/>
        <v>2.4531087565025207E-2</v>
      </c>
      <c r="R81" s="336">
        <f t="shared" si="121"/>
        <v>2.599760637619563E-2</v>
      </c>
      <c r="S81" s="336">
        <f t="shared" si="121"/>
        <v>2.3847146648116685E-2</v>
      </c>
      <c r="T81" s="336">
        <f t="shared" si="121"/>
        <v>2.4666920921397179E-2</v>
      </c>
      <c r="U81" s="336">
        <f t="shared" si="121"/>
        <v>2.4383991247639084E-2</v>
      </c>
      <c r="V81" s="336">
        <f t="shared" si="121"/>
        <v>2.5797057707328524E-2</v>
      </c>
      <c r="W81" s="336">
        <f t="shared" si="121"/>
        <v>2.4283420198438769E-2</v>
      </c>
      <c r="X81" s="336">
        <f t="shared" si="121"/>
        <v>2.411641631238828E-2</v>
      </c>
      <c r="Y81" s="336">
        <f t="shared" si="121"/>
        <v>2.3993340140491679E-2</v>
      </c>
      <c r="Z81" s="336">
        <f t="shared" si="121"/>
        <v>2.3936582362931398E-2</v>
      </c>
      <c r="AA81" s="336">
        <f t="shared" si="121"/>
        <v>2.3900375183824443E-2</v>
      </c>
      <c r="AB81" s="336">
        <f t="shared" si="121"/>
        <v>2.3884284141741222E-2</v>
      </c>
      <c r="AC81" s="336">
        <f t="shared" si="121"/>
        <v>2.3871858661678926E-2</v>
      </c>
      <c r="AD81" s="336">
        <f t="shared" si="121"/>
        <v>2.386038144581621E-2</v>
      </c>
      <c r="AE81" s="336">
        <f t="shared" ref="AE81:AL81" si="122">AE34/AE$49</f>
        <v>2.3858087678872483E-2</v>
      </c>
      <c r="AF81" s="336">
        <f t="shared" si="122"/>
        <v>2.3849077262899396E-2</v>
      </c>
      <c r="AG81" s="336">
        <f t="shared" si="122"/>
        <v>2.3814749438400524E-2</v>
      </c>
      <c r="AH81" s="336">
        <f t="shared" si="122"/>
        <v>2.3765598085931445E-2</v>
      </c>
      <c r="AI81" s="336">
        <f t="shared" si="122"/>
        <v>2.3727312456668412E-2</v>
      </c>
      <c r="AJ81" s="336">
        <f t="shared" si="122"/>
        <v>2.3691253246626187E-2</v>
      </c>
      <c r="AK81" s="336">
        <f t="shared" si="122"/>
        <v>2.3658195816796609E-2</v>
      </c>
      <c r="AL81" s="336">
        <f t="shared" si="122"/>
        <v>2.363269948256121E-2</v>
      </c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</row>
    <row r="82" spans="12:50" x14ac:dyDescent="0.2">
      <c r="L82" s="232" t="str">
        <f>'Occ T3'!A37</f>
        <v>63 Community and civil enforcement occupations</v>
      </c>
      <c r="M82" s="336">
        <f t="shared" ref="M82:AD82" si="123">M35/M$49</f>
        <v>1.6390224806707022E-3</v>
      </c>
      <c r="N82" s="336">
        <f t="shared" si="123"/>
        <v>1.1888647805478882E-3</v>
      </c>
      <c r="O82" s="336">
        <f t="shared" si="123"/>
        <v>1.1562865417556443E-3</v>
      </c>
      <c r="P82" s="336">
        <f t="shared" si="123"/>
        <v>1.0258115166292541E-3</v>
      </c>
      <c r="Q82" s="336">
        <f t="shared" si="123"/>
        <v>1.163519682020407E-3</v>
      </c>
      <c r="R82" s="336">
        <f t="shared" si="123"/>
        <v>1.0673325881423263E-3</v>
      </c>
      <c r="S82" s="336">
        <f t="shared" si="123"/>
        <v>8.870347630751741E-4</v>
      </c>
      <c r="T82" s="336">
        <f t="shared" si="123"/>
        <v>9.330635386643587E-4</v>
      </c>
      <c r="U82" s="336">
        <f t="shared" si="123"/>
        <v>9.4826557527359081E-4</v>
      </c>
      <c r="V82" s="336">
        <f t="shared" si="123"/>
        <v>8.499635212156219E-4</v>
      </c>
      <c r="W82" s="336">
        <f t="shared" si="123"/>
        <v>1.0877043017420507E-3</v>
      </c>
      <c r="X82" s="336">
        <f t="shared" si="123"/>
        <v>8.398346870774722E-4</v>
      </c>
      <c r="Y82" s="336">
        <f t="shared" si="123"/>
        <v>8.4663343457470365E-4</v>
      </c>
      <c r="Z82" s="336">
        <f t="shared" si="123"/>
        <v>8.4952955534943323E-4</v>
      </c>
      <c r="AA82" s="336">
        <f t="shared" si="123"/>
        <v>8.5238426929960711E-4</v>
      </c>
      <c r="AB82" s="336">
        <f t="shared" si="123"/>
        <v>8.5408564709950102E-4</v>
      </c>
      <c r="AC82" s="336">
        <f t="shared" si="123"/>
        <v>8.5605855399522636E-4</v>
      </c>
      <c r="AD82" s="336">
        <f t="shared" si="123"/>
        <v>8.5746366703484136E-4</v>
      </c>
      <c r="AE82" s="336">
        <f t="shared" ref="AE82:AL82" si="124">AE35/AE$49</f>
        <v>8.5869288868848205E-4</v>
      </c>
      <c r="AF82" s="336">
        <f t="shared" si="124"/>
        <v>8.5994973446702164E-4</v>
      </c>
      <c r="AG82" s="336">
        <f t="shared" si="124"/>
        <v>8.6128265854065517E-4</v>
      </c>
      <c r="AH82" s="336">
        <f t="shared" si="124"/>
        <v>8.6237163462430559E-4</v>
      </c>
      <c r="AI82" s="336">
        <f t="shared" si="124"/>
        <v>8.6351418147473987E-4</v>
      </c>
      <c r="AJ82" s="336">
        <f t="shared" si="124"/>
        <v>8.6409232680513157E-4</v>
      </c>
      <c r="AK82" s="336">
        <f t="shared" si="124"/>
        <v>8.6464874782365639E-4</v>
      </c>
      <c r="AL82" s="336">
        <f t="shared" si="124"/>
        <v>8.6450644012178062E-4</v>
      </c>
      <c r="AM82" s="11"/>
      <c r="AN82" s="11"/>
      <c r="AO82" s="11"/>
      <c r="AP82" s="11"/>
      <c r="AQ82" s="11"/>
      <c r="AR82" s="11"/>
      <c r="AS82" s="11"/>
      <c r="AT82" s="11"/>
      <c r="AU82" s="11"/>
      <c r="AV82" s="11"/>
      <c r="AW82" s="11"/>
      <c r="AX82" s="11"/>
    </row>
    <row r="83" spans="12:50" x14ac:dyDescent="0.2">
      <c r="L83" s="232"/>
      <c r="M83" s="336"/>
      <c r="N83" s="336"/>
      <c r="O83" s="336"/>
      <c r="P83" s="336"/>
      <c r="Q83" s="336"/>
      <c r="R83" s="336"/>
      <c r="S83" s="336"/>
      <c r="T83" s="336"/>
      <c r="U83" s="336"/>
      <c r="V83" s="336"/>
      <c r="W83" s="336"/>
      <c r="X83" s="336"/>
      <c r="Y83" s="336"/>
      <c r="Z83" s="336"/>
      <c r="AA83" s="336"/>
      <c r="AB83" s="336"/>
      <c r="AC83" s="336"/>
      <c r="AD83" s="336"/>
      <c r="AE83" s="336"/>
      <c r="AF83" s="336"/>
      <c r="AG83" s="336"/>
      <c r="AH83" s="336"/>
      <c r="AI83" s="336"/>
      <c r="AJ83" s="336"/>
      <c r="AK83" s="336"/>
      <c r="AL83" s="336"/>
      <c r="AM83" s="11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</row>
    <row r="84" spans="12:50" x14ac:dyDescent="0.2">
      <c r="L84" s="17" t="str">
        <f>'Occ T3'!A39</f>
        <v>Sales and customer service occupations</v>
      </c>
      <c r="M84" s="337">
        <f t="shared" ref="M84:AD84" si="125">M37/M$49</f>
        <v>7.5940372826865041E-2</v>
      </c>
      <c r="N84" s="337">
        <f t="shared" si="125"/>
        <v>8.071627728902607E-2</v>
      </c>
      <c r="O84" s="337">
        <f t="shared" si="125"/>
        <v>8.3033804333151925E-2</v>
      </c>
      <c r="P84" s="337">
        <f t="shared" si="125"/>
        <v>8.2538375085055543E-2</v>
      </c>
      <c r="Q84" s="337">
        <f t="shared" si="125"/>
        <v>7.927325608625542E-2</v>
      </c>
      <c r="R84" s="337">
        <f t="shared" si="125"/>
        <v>7.8207770537260093E-2</v>
      </c>
      <c r="S84" s="337">
        <f t="shared" si="125"/>
        <v>7.8537880112670946E-2</v>
      </c>
      <c r="T84" s="337">
        <f t="shared" si="125"/>
        <v>7.622913922377042E-2</v>
      </c>
      <c r="U84" s="337">
        <f t="shared" si="125"/>
        <v>7.6534488433334172E-2</v>
      </c>
      <c r="V84" s="337">
        <f t="shared" si="125"/>
        <v>7.4865145161508093E-2</v>
      </c>
      <c r="W84" s="337">
        <f t="shared" si="125"/>
        <v>7.6511201533016771E-2</v>
      </c>
      <c r="X84" s="337">
        <f t="shared" si="125"/>
        <v>7.5753979466088972E-2</v>
      </c>
      <c r="Y84" s="337">
        <f t="shared" si="125"/>
        <v>7.5409766346403853E-2</v>
      </c>
      <c r="Z84" s="337">
        <f t="shared" si="125"/>
        <v>7.5060155338492307E-2</v>
      </c>
      <c r="AA84" s="337">
        <f t="shared" si="125"/>
        <v>7.4751364350352789E-2</v>
      </c>
      <c r="AB84" s="337">
        <f t="shared" si="125"/>
        <v>7.4489484063197622E-2</v>
      </c>
      <c r="AC84" s="337">
        <f t="shared" si="125"/>
        <v>7.4203836652671634E-2</v>
      </c>
      <c r="AD84" s="337">
        <f t="shared" si="125"/>
        <v>7.3921959167956741E-2</v>
      </c>
      <c r="AE84" s="337">
        <f t="shared" ref="AE84:AL84" si="126">AE37/AE$49</f>
        <v>7.3656811678920742E-2</v>
      </c>
      <c r="AF84" s="337">
        <f t="shared" si="126"/>
        <v>7.3390544406996036E-2</v>
      </c>
      <c r="AG84" s="337">
        <f t="shared" si="126"/>
        <v>7.3080933789598623E-2</v>
      </c>
      <c r="AH84" s="337">
        <f t="shared" si="126"/>
        <v>7.2818199273820675E-2</v>
      </c>
      <c r="AI84" s="337">
        <f t="shared" si="126"/>
        <v>7.2517591907600348E-2</v>
      </c>
      <c r="AJ84" s="337">
        <f t="shared" si="126"/>
        <v>7.2223362900796298E-2</v>
      </c>
      <c r="AK84" s="337">
        <f t="shared" si="126"/>
        <v>7.1927287927098335E-2</v>
      </c>
      <c r="AL84" s="337">
        <f t="shared" si="126"/>
        <v>7.1655971932444093E-2</v>
      </c>
      <c r="AM84" s="11"/>
      <c r="AN84" s="11"/>
      <c r="AO84" s="11"/>
      <c r="AP84" s="11"/>
      <c r="AQ84" s="11"/>
      <c r="AR84" s="11"/>
      <c r="AS84" s="11"/>
      <c r="AT84" s="11"/>
      <c r="AU84" s="11"/>
      <c r="AV84" s="11"/>
      <c r="AW84" s="11"/>
      <c r="AX84" s="11"/>
    </row>
    <row r="85" spans="12:50" x14ac:dyDescent="0.2">
      <c r="L85" s="232" t="str">
        <f>'Occ T3'!A40</f>
        <v>71 Sales occupations</v>
      </c>
      <c r="M85" s="336">
        <f t="shared" ref="M85:AD85" si="127">M38/M$49</f>
        <v>6.0766987143342763E-2</v>
      </c>
      <c r="N85" s="336">
        <f t="shared" si="127"/>
        <v>6.562091764216943E-2</v>
      </c>
      <c r="O85" s="336">
        <f t="shared" si="127"/>
        <v>6.7916749336979082E-2</v>
      </c>
      <c r="P85" s="336">
        <f t="shared" si="127"/>
        <v>6.7623505609945164E-2</v>
      </c>
      <c r="Q85" s="336">
        <f t="shared" si="127"/>
        <v>6.5046968599703672E-2</v>
      </c>
      <c r="R85" s="336">
        <f t="shared" si="127"/>
        <v>6.2979940685765345E-2</v>
      </c>
      <c r="S85" s="336">
        <f t="shared" si="127"/>
        <v>6.3838286599800217E-2</v>
      </c>
      <c r="T85" s="336">
        <f t="shared" si="127"/>
        <v>6.0638337777346292E-2</v>
      </c>
      <c r="U85" s="336">
        <f t="shared" si="127"/>
        <v>6.0713785838998467E-2</v>
      </c>
      <c r="V85" s="336">
        <f t="shared" si="127"/>
        <v>5.9541578033786513E-2</v>
      </c>
      <c r="W85" s="336">
        <f t="shared" si="127"/>
        <v>6.0590248838975215E-2</v>
      </c>
      <c r="X85" s="336">
        <f t="shared" si="127"/>
        <v>5.6700738933180242E-2</v>
      </c>
      <c r="Y85" s="336">
        <f t="shared" si="127"/>
        <v>5.6211269546977326E-2</v>
      </c>
      <c r="Z85" s="336">
        <f t="shared" si="127"/>
        <v>5.5703119939500174E-2</v>
      </c>
      <c r="AA85" s="336">
        <f t="shared" si="127"/>
        <v>5.5221222414628408E-2</v>
      </c>
      <c r="AB85" s="336">
        <f t="shared" si="127"/>
        <v>5.4771329798502869E-2</v>
      </c>
      <c r="AC85" s="336">
        <f t="shared" si="127"/>
        <v>5.4302096677983587E-2</v>
      </c>
      <c r="AD85" s="336">
        <f t="shared" si="127"/>
        <v>5.3839619893031626E-2</v>
      </c>
      <c r="AE85" s="336">
        <f t="shared" ref="AE85:AL85" si="128">AE38/AE$49</f>
        <v>5.3401332987879857E-2</v>
      </c>
      <c r="AF85" s="336">
        <f t="shared" si="128"/>
        <v>5.2951505048837243E-2</v>
      </c>
      <c r="AG85" s="336">
        <f t="shared" si="128"/>
        <v>5.2462298609622635E-2</v>
      </c>
      <c r="AH85" s="336">
        <f t="shared" si="128"/>
        <v>5.2031572304632893E-2</v>
      </c>
      <c r="AI85" s="336">
        <f t="shared" si="128"/>
        <v>5.1563497715392044E-2</v>
      </c>
      <c r="AJ85" s="336">
        <f t="shared" si="128"/>
        <v>5.1091192994649627E-2</v>
      </c>
      <c r="AK85" s="336">
        <f t="shared" si="128"/>
        <v>5.0624668959462729E-2</v>
      </c>
      <c r="AL85" s="336">
        <f t="shared" si="128"/>
        <v>5.0182354302917287E-2</v>
      </c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  <c r="AX85" s="11"/>
    </row>
    <row r="86" spans="12:50" x14ac:dyDescent="0.2">
      <c r="L86" s="232" t="str">
        <f>'Occ T3'!A41</f>
        <v>72 Customer service occupations</v>
      </c>
      <c r="M86" s="336">
        <f t="shared" ref="M86:AD86" si="129">M39/M$49</f>
        <v>1.5173385683522271E-2</v>
      </c>
      <c r="N86" s="336">
        <f t="shared" si="129"/>
        <v>1.5095359646856644E-2</v>
      </c>
      <c r="O86" s="336">
        <f t="shared" si="129"/>
        <v>1.511705499617285E-2</v>
      </c>
      <c r="P86" s="336">
        <f t="shared" si="129"/>
        <v>1.4914869475110388E-2</v>
      </c>
      <c r="Q86" s="336">
        <f t="shared" si="129"/>
        <v>1.4226287486551741E-2</v>
      </c>
      <c r="R86" s="336">
        <f t="shared" si="129"/>
        <v>1.5227829851494753E-2</v>
      </c>
      <c r="S86" s="336">
        <f t="shared" si="129"/>
        <v>1.4699593512870731E-2</v>
      </c>
      <c r="T86" s="336">
        <f t="shared" si="129"/>
        <v>1.5590801446424116E-2</v>
      </c>
      <c r="U86" s="336">
        <f t="shared" si="129"/>
        <v>1.5820702594335708E-2</v>
      </c>
      <c r="V86" s="336">
        <f t="shared" si="129"/>
        <v>1.5323567127721593E-2</v>
      </c>
      <c r="W86" s="336">
        <f t="shared" si="129"/>
        <v>1.5920952694041566E-2</v>
      </c>
      <c r="X86" s="336">
        <f t="shared" si="129"/>
        <v>1.9053240532908713E-2</v>
      </c>
      <c r="Y86" s="336">
        <f t="shared" si="129"/>
        <v>1.9198496799426531E-2</v>
      </c>
      <c r="Z86" s="336">
        <f t="shared" si="129"/>
        <v>1.9357035398992129E-2</v>
      </c>
      <c r="AA86" s="336">
        <f t="shared" si="129"/>
        <v>1.9530141935724391E-2</v>
      </c>
      <c r="AB86" s="336">
        <f t="shared" si="129"/>
        <v>1.971815426469475E-2</v>
      </c>
      <c r="AC86" s="336">
        <f t="shared" si="129"/>
        <v>1.9901739974688051E-2</v>
      </c>
      <c r="AD86" s="336">
        <f t="shared" si="129"/>
        <v>2.0082339274925119E-2</v>
      </c>
      <c r="AE86" s="336">
        <f t="shared" ref="AE86:AL86" si="130">AE39/AE$49</f>
        <v>2.0255478691040892E-2</v>
      </c>
      <c r="AF86" s="336">
        <f t="shared" si="130"/>
        <v>2.04390393581588E-2</v>
      </c>
      <c r="AG86" s="336">
        <f t="shared" si="130"/>
        <v>2.0618635179975996E-2</v>
      </c>
      <c r="AH86" s="336">
        <f t="shared" si="130"/>
        <v>2.0786626969187781E-2</v>
      </c>
      <c r="AI86" s="336">
        <f t="shared" si="130"/>
        <v>2.0954094192208304E-2</v>
      </c>
      <c r="AJ86" s="336">
        <f t="shared" si="130"/>
        <v>2.113216990614666E-2</v>
      </c>
      <c r="AK86" s="336">
        <f t="shared" si="130"/>
        <v>2.1302618967635616E-2</v>
      </c>
      <c r="AL86" s="336">
        <f t="shared" si="130"/>
        <v>2.1473617629526806E-2</v>
      </c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</row>
    <row r="87" spans="12:50" x14ac:dyDescent="0.2">
      <c r="L87" s="232"/>
      <c r="M87" s="336"/>
      <c r="N87" s="336"/>
      <c r="O87" s="336"/>
      <c r="P87" s="336"/>
      <c r="Q87" s="336"/>
      <c r="R87" s="336"/>
      <c r="S87" s="336"/>
      <c r="T87" s="336"/>
      <c r="U87" s="336"/>
      <c r="V87" s="336"/>
      <c r="W87" s="336"/>
      <c r="X87" s="336"/>
      <c r="Y87" s="336"/>
      <c r="Z87" s="336"/>
      <c r="AA87" s="336"/>
      <c r="AB87" s="336"/>
      <c r="AC87" s="336"/>
      <c r="AD87" s="336"/>
      <c r="AE87" s="336"/>
      <c r="AF87" s="336"/>
      <c r="AG87" s="336"/>
      <c r="AH87" s="336"/>
      <c r="AI87" s="336"/>
      <c r="AJ87" s="336"/>
      <c r="AK87" s="336"/>
      <c r="AL87" s="336"/>
      <c r="AM87" s="11"/>
      <c r="AN87" s="11"/>
      <c r="AO87" s="11"/>
      <c r="AP87" s="11"/>
      <c r="AQ87" s="11"/>
      <c r="AR87" s="11"/>
      <c r="AS87" s="11"/>
      <c r="AT87" s="11"/>
      <c r="AU87" s="11"/>
      <c r="AV87" s="11"/>
      <c r="AW87" s="11"/>
      <c r="AX87" s="11"/>
    </row>
    <row r="88" spans="12:50" x14ac:dyDescent="0.2">
      <c r="L88" s="17" t="str">
        <f>'Occ T3'!A43</f>
        <v>Process, plant and machine operatives</v>
      </c>
      <c r="M88" s="337">
        <f t="shared" ref="M88:AD88" si="131">M41/M$49</f>
        <v>4.7032156273053273E-2</v>
      </c>
      <c r="N88" s="337">
        <f t="shared" si="131"/>
        <v>4.6166006511578192E-2</v>
      </c>
      <c r="O88" s="337">
        <f t="shared" si="131"/>
        <v>4.5174860849926217E-2</v>
      </c>
      <c r="P88" s="337">
        <f t="shared" si="131"/>
        <v>4.2785106292485053E-2</v>
      </c>
      <c r="Q88" s="337">
        <f t="shared" si="131"/>
        <v>4.5954134107634131E-2</v>
      </c>
      <c r="R88" s="337">
        <f t="shared" si="131"/>
        <v>4.3772791636321771E-2</v>
      </c>
      <c r="S88" s="337">
        <f t="shared" si="131"/>
        <v>4.6037642087017688E-2</v>
      </c>
      <c r="T88" s="337">
        <f t="shared" si="131"/>
        <v>4.5956378787251284E-2</v>
      </c>
      <c r="U88" s="337">
        <f t="shared" si="131"/>
        <v>4.6616084977893359E-2</v>
      </c>
      <c r="V88" s="337">
        <f t="shared" si="131"/>
        <v>4.5035513225560625E-2</v>
      </c>
      <c r="W88" s="337">
        <f t="shared" si="131"/>
        <v>3.8910222941959449E-2</v>
      </c>
      <c r="X88" s="337">
        <f t="shared" si="131"/>
        <v>4.3570662004575725E-2</v>
      </c>
      <c r="Y88" s="337">
        <f t="shared" si="131"/>
        <v>4.3262362781863621E-2</v>
      </c>
      <c r="Z88" s="337">
        <f t="shared" si="131"/>
        <v>4.3103327574895288E-2</v>
      </c>
      <c r="AA88" s="337">
        <f t="shared" si="131"/>
        <v>4.2934317070195384E-2</v>
      </c>
      <c r="AB88" s="337">
        <f t="shared" si="131"/>
        <v>4.2706140385466544E-2</v>
      </c>
      <c r="AC88" s="337">
        <f t="shared" si="131"/>
        <v>4.2484879055607938E-2</v>
      </c>
      <c r="AD88" s="337">
        <f t="shared" si="131"/>
        <v>4.2305284278499583E-2</v>
      </c>
      <c r="AE88" s="337">
        <f t="shared" ref="AE88:AL88" si="132">AE41/AE$49</f>
        <v>4.2125368486731714E-2</v>
      </c>
      <c r="AF88" s="337">
        <f t="shared" si="132"/>
        <v>4.194534993765716E-2</v>
      </c>
      <c r="AG88" s="337">
        <f t="shared" si="132"/>
        <v>4.1759033719199326E-2</v>
      </c>
      <c r="AH88" s="337">
        <f t="shared" si="132"/>
        <v>4.1569128531240278E-2</v>
      </c>
      <c r="AI88" s="337">
        <f t="shared" si="132"/>
        <v>4.1403303177996953E-2</v>
      </c>
      <c r="AJ88" s="337">
        <f t="shared" si="132"/>
        <v>4.1267738988806583E-2</v>
      </c>
      <c r="AK88" s="337">
        <f t="shared" si="132"/>
        <v>4.1189841928821865E-2</v>
      </c>
      <c r="AL88" s="337">
        <f t="shared" si="132"/>
        <v>4.1112532396272591E-2</v>
      </c>
      <c r="AM88" s="11"/>
      <c r="AN88" s="11"/>
      <c r="AO88" s="11"/>
      <c r="AP88" s="11"/>
      <c r="AQ88" s="11"/>
      <c r="AR88" s="11"/>
      <c r="AS88" s="11"/>
      <c r="AT88" s="11"/>
      <c r="AU88" s="11"/>
      <c r="AV88" s="11"/>
      <c r="AW88" s="11"/>
      <c r="AX88" s="11"/>
    </row>
    <row r="89" spans="12:50" x14ac:dyDescent="0.2">
      <c r="L89" s="232" t="str">
        <f>'Occ T3'!A44</f>
        <v>81 Process, plant and machine operatives</v>
      </c>
      <c r="M89" s="336">
        <f t="shared" ref="M89:AD89" si="133">M42/M$49</f>
        <v>1.64530417490069E-2</v>
      </c>
      <c r="N89" s="336">
        <f t="shared" si="133"/>
        <v>1.5634627789560936E-2</v>
      </c>
      <c r="O89" s="336">
        <f t="shared" si="133"/>
        <v>1.511470974802253E-2</v>
      </c>
      <c r="P89" s="336">
        <f t="shared" si="133"/>
        <v>1.4992968208419666E-2</v>
      </c>
      <c r="Q89" s="336">
        <f t="shared" si="133"/>
        <v>1.5290452194348035E-2</v>
      </c>
      <c r="R89" s="336">
        <f t="shared" si="133"/>
        <v>1.4732819522219056E-2</v>
      </c>
      <c r="S89" s="336">
        <f t="shared" si="133"/>
        <v>1.4718119166042631E-2</v>
      </c>
      <c r="T89" s="336">
        <f t="shared" si="133"/>
        <v>1.5856993583126006E-2</v>
      </c>
      <c r="U89" s="336">
        <f t="shared" si="133"/>
        <v>1.5416050047587964E-2</v>
      </c>
      <c r="V89" s="336">
        <f t="shared" si="133"/>
        <v>1.4161799564450295E-2</v>
      </c>
      <c r="W89" s="336">
        <f t="shared" si="133"/>
        <v>1.2652237965572572E-2</v>
      </c>
      <c r="X89" s="336">
        <f t="shared" si="133"/>
        <v>1.534503410363609E-2</v>
      </c>
      <c r="Y89" s="336">
        <f t="shared" si="133"/>
        <v>1.5244818704022728E-2</v>
      </c>
      <c r="Z89" s="336">
        <f t="shared" si="133"/>
        <v>1.5222840790106008E-2</v>
      </c>
      <c r="AA89" s="336">
        <f t="shared" si="133"/>
        <v>1.5186018023066744E-2</v>
      </c>
      <c r="AB89" s="336">
        <f t="shared" si="133"/>
        <v>1.5110754832311684E-2</v>
      </c>
      <c r="AC89" s="336">
        <f t="shared" si="133"/>
        <v>1.5010583617639279E-2</v>
      </c>
      <c r="AD89" s="336">
        <f t="shared" si="133"/>
        <v>1.4937515073881108E-2</v>
      </c>
      <c r="AE89" s="336">
        <f t="shared" ref="AE89:AL89" si="134">AE42/AE$49</f>
        <v>1.4873667011869027E-2</v>
      </c>
      <c r="AF89" s="336">
        <f t="shared" si="134"/>
        <v>1.4804439567368891E-2</v>
      </c>
      <c r="AG89" s="336">
        <f t="shared" si="134"/>
        <v>1.4731351934513167E-2</v>
      </c>
      <c r="AH89" s="336">
        <f t="shared" si="134"/>
        <v>1.4664942918894357E-2</v>
      </c>
      <c r="AI89" s="336">
        <f t="shared" si="134"/>
        <v>1.4591808282829723E-2</v>
      </c>
      <c r="AJ89" s="336">
        <f t="shared" si="134"/>
        <v>1.4534390241357893E-2</v>
      </c>
      <c r="AK89" s="336">
        <f t="shared" si="134"/>
        <v>1.4518472450265722E-2</v>
      </c>
      <c r="AL89" s="336">
        <f t="shared" si="134"/>
        <v>1.4499275568574495E-2</v>
      </c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</row>
    <row r="90" spans="12:50" x14ac:dyDescent="0.2">
      <c r="L90" s="232" t="str">
        <f>'Occ T3'!A45</f>
        <v>82 Transport and mobile machine drivers and operatives</v>
      </c>
      <c r="M90" s="336">
        <f t="shared" ref="M90:AD90" si="135">M43/M$49</f>
        <v>3.057911452404638E-2</v>
      </c>
      <c r="N90" s="336">
        <f t="shared" si="135"/>
        <v>3.0531378722017256E-2</v>
      </c>
      <c r="O90" s="336">
        <f t="shared" si="135"/>
        <v>3.0060151101903691E-2</v>
      </c>
      <c r="P90" s="336">
        <f t="shared" si="135"/>
        <v>2.7792138084065391E-2</v>
      </c>
      <c r="Q90" s="336">
        <f t="shared" si="135"/>
        <v>3.0663681913286098E-2</v>
      </c>
      <c r="R90" s="336">
        <f t="shared" si="135"/>
        <v>2.9039972114102718E-2</v>
      </c>
      <c r="S90" s="336">
        <f t="shared" si="135"/>
        <v>3.1319522920975056E-2</v>
      </c>
      <c r="T90" s="336">
        <f t="shared" si="135"/>
        <v>3.0099385204125279E-2</v>
      </c>
      <c r="U90" s="336">
        <f t="shared" si="135"/>
        <v>3.1200034930305393E-2</v>
      </c>
      <c r="V90" s="336">
        <f t="shared" si="135"/>
        <v>3.0873713661110327E-2</v>
      </c>
      <c r="W90" s="336">
        <f t="shared" si="135"/>
        <v>2.6257984976386883E-2</v>
      </c>
      <c r="X90" s="336">
        <f t="shared" si="135"/>
        <v>2.8225627900939628E-2</v>
      </c>
      <c r="Y90" s="336">
        <f t="shared" si="135"/>
        <v>2.8017544077840888E-2</v>
      </c>
      <c r="Z90" s="336">
        <f t="shared" si="135"/>
        <v>2.7880486784789278E-2</v>
      </c>
      <c r="AA90" s="336">
        <f t="shared" si="135"/>
        <v>2.7748299047128642E-2</v>
      </c>
      <c r="AB90" s="336">
        <f t="shared" si="135"/>
        <v>2.7595385553154859E-2</v>
      </c>
      <c r="AC90" s="336">
        <f t="shared" si="135"/>
        <v>2.7474295437968661E-2</v>
      </c>
      <c r="AD90" s="336">
        <f t="shared" si="135"/>
        <v>2.7367769204618475E-2</v>
      </c>
      <c r="AE90" s="336">
        <f t="shared" ref="AE90:AL90" si="136">AE43/AE$49</f>
        <v>2.7251701474862691E-2</v>
      </c>
      <c r="AF90" s="336">
        <f t="shared" si="136"/>
        <v>2.7140910370288266E-2</v>
      </c>
      <c r="AG90" s="336">
        <f t="shared" si="136"/>
        <v>2.7027681784686161E-2</v>
      </c>
      <c r="AH90" s="336">
        <f t="shared" si="136"/>
        <v>2.6904185612345921E-2</v>
      </c>
      <c r="AI90" s="336">
        <f t="shared" si="136"/>
        <v>2.681149489516723E-2</v>
      </c>
      <c r="AJ90" s="336">
        <f t="shared" si="136"/>
        <v>2.6733348747448694E-2</v>
      </c>
      <c r="AK90" s="336">
        <f t="shared" si="136"/>
        <v>2.6671369478556146E-2</v>
      </c>
      <c r="AL90" s="336">
        <f t="shared" si="136"/>
        <v>2.6613256827698096E-2</v>
      </c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</row>
    <row r="91" spans="12:50" x14ac:dyDescent="0.2">
      <c r="L91" s="232"/>
      <c r="M91" s="336"/>
      <c r="N91" s="336"/>
      <c r="O91" s="336"/>
      <c r="P91" s="336"/>
      <c r="Q91" s="336"/>
      <c r="R91" s="336"/>
      <c r="S91" s="336"/>
      <c r="T91" s="336"/>
      <c r="U91" s="336"/>
      <c r="V91" s="336"/>
      <c r="W91" s="336"/>
      <c r="X91" s="336"/>
      <c r="Y91" s="336"/>
      <c r="Z91" s="336"/>
      <c r="AA91" s="336"/>
      <c r="AB91" s="336"/>
      <c r="AC91" s="336"/>
      <c r="AD91" s="336"/>
      <c r="AE91" s="336"/>
      <c r="AF91" s="336"/>
      <c r="AG91" s="336"/>
      <c r="AH91" s="336"/>
      <c r="AI91" s="336"/>
      <c r="AJ91" s="336"/>
      <c r="AK91" s="336"/>
      <c r="AL91" s="336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</row>
    <row r="92" spans="12:50" x14ac:dyDescent="0.2">
      <c r="L92" s="17" t="str">
        <f>'Occ T3'!A47</f>
        <v>Elementary occupations</v>
      </c>
      <c r="M92" s="337">
        <f t="shared" ref="M92:AD92" si="137">M45/M$49</f>
        <v>0.11304884464800288</v>
      </c>
      <c r="N92" s="337">
        <f t="shared" si="137"/>
        <v>0.11472314532568098</v>
      </c>
      <c r="O92" s="337">
        <f t="shared" si="137"/>
        <v>0.11738178854962977</v>
      </c>
      <c r="P92" s="337">
        <f t="shared" si="137"/>
        <v>0.11111998720145126</v>
      </c>
      <c r="Q92" s="337">
        <f t="shared" si="137"/>
        <v>0.11433813594918971</v>
      </c>
      <c r="R92" s="337">
        <f t="shared" si="137"/>
        <v>0.11245905962498079</v>
      </c>
      <c r="S92" s="337">
        <f t="shared" si="137"/>
        <v>0.10917423379016918</v>
      </c>
      <c r="T92" s="337">
        <f t="shared" si="137"/>
        <v>0.10895642096782027</v>
      </c>
      <c r="U92" s="337">
        <f t="shared" si="137"/>
        <v>0.10656353795940747</v>
      </c>
      <c r="V92" s="337">
        <f t="shared" si="137"/>
        <v>0.10554959894220516</v>
      </c>
      <c r="W92" s="337">
        <f t="shared" si="137"/>
        <v>9.8092061594795416E-2</v>
      </c>
      <c r="X92" s="337">
        <f t="shared" si="137"/>
        <v>9.8866823722897165E-2</v>
      </c>
      <c r="Y92" s="337">
        <f t="shared" si="137"/>
        <v>9.8537337140635936E-2</v>
      </c>
      <c r="Z92" s="337">
        <f t="shared" si="137"/>
        <v>9.7930524230088203E-2</v>
      </c>
      <c r="AA92" s="337">
        <f t="shared" si="137"/>
        <v>9.7320769137840574E-2</v>
      </c>
      <c r="AB92" s="337">
        <f t="shared" si="137"/>
        <v>9.6701477035516764E-2</v>
      </c>
      <c r="AC92" s="337">
        <f t="shared" si="137"/>
        <v>9.6066787154284988E-2</v>
      </c>
      <c r="AD92" s="337">
        <f t="shared" si="137"/>
        <v>9.5430474005258392E-2</v>
      </c>
      <c r="AE92" s="337">
        <f t="shared" ref="AE92:AL92" si="138">AE45/AE$49</f>
        <v>9.4779223101235335E-2</v>
      </c>
      <c r="AF92" s="337">
        <f t="shared" si="138"/>
        <v>9.413425311489218E-2</v>
      </c>
      <c r="AG92" s="337">
        <f t="shared" si="138"/>
        <v>9.346969413486042E-2</v>
      </c>
      <c r="AH92" s="337">
        <f t="shared" si="138"/>
        <v>9.2821163387533212E-2</v>
      </c>
      <c r="AI92" s="337">
        <f t="shared" si="138"/>
        <v>9.2163153693413116E-2</v>
      </c>
      <c r="AJ92" s="337">
        <f t="shared" si="138"/>
        <v>9.1548597041604243E-2</v>
      </c>
      <c r="AK92" s="337">
        <f t="shared" si="138"/>
        <v>9.0887400232725554E-2</v>
      </c>
      <c r="AL92" s="337">
        <f t="shared" si="138"/>
        <v>9.0167658589540123E-2</v>
      </c>
      <c r="AM92" s="11"/>
      <c r="AN92" s="11"/>
      <c r="AO92" s="11"/>
      <c r="AP92" s="11"/>
      <c r="AQ92" s="11"/>
      <c r="AR92" s="11"/>
      <c r="AS92" s="11"/>
      <c r="AT92" s="11"/>
      <c r="AU92" s="11"/>
      <c r="AV92" s="11"/>
      <c r="AW92" s="11"/>
      <c r="AX92" s="11"/>
    </row>
    <row r="93" spans="12:50" x14ac:dyDescent="0.2">
      <c r="L93" s="232" t="str">
        <f>'Occ T3'!A48</f>
        <v>91 Elementary trades and related occupations</v>
      </c>
      <c r="M93" s="336">
        <f t="shared" ref="M93:AD93" si="139">M46/M$49</f>
        <v>1.3368912762412914E-2</v>
      </c>
      <c r="N93" s="336">
        <f t="shared" si="139"/>
        <v>1.3324775324688072E-2</v>
      </c>
      <c r="O93" s="336">
        <f t="shared" si="139"/>
        <v>1.277470552485226E-2</v>
      </c>
      <c r="P93" s="336">
        <f t="shared" si="139"/>
        <v>1.2113366831886147E-2</v>
      </c>
      <c r="Q93" s="336">
        <f t="shared" si="139"/>
        <v>1.3577349285714659E-2</v>
      </c>
      <c r="R93" s="336">
        <f t="shared" si="139"/>
        <v>1.2960366422809219E-2</v>
      </c>
      <c r="S93" s="336">
        <f t="shared" si="139"/>
        <v>1.3040753041286116E-2</v>
      </c>
      <c r="T93" s="336">
        <f t="shared" si="139"/>
        <v>1.2302190397272868E-2</v>
      </c>
      <c r="U93" s="336">
        <f t="shared" si="139"/>
        <v>1.1681921848797946E-2</v>
      </c>
      <c r="V93" s="336">
        <f t="shared" si="139"/>
        <v>1.1091773913172105E-2</v>
      </c>
      <c r="W93" s="336">
        <f t="shared" si="139"/>
        <v>1.0083049963294333E-2</v>
      </c>
      <c r="X93" s="336">
        <f t="shared" si="139"/>
        <v>8.6163089343768082E-3</v>
      </c>
      <c r="Y93" s="336">
        <f t="shared" si="139"/>
        <v>8.5395564802188406E-3</v>
      </c>
      <c r="Z93" s="336">
        <f t="shared" si="139"/>
        <v>8.4794905523533984E-3</v>
      </c>
      <c r="AA93" s="336">
        <f t="shared" si="139"/>
        <v>8.4127301351479729E-3</v>
      </c>
      <c r="AB93" s="336">
        <f t="shared" si="139"/>
        <v>8.3276496270667556E-3</v>
      </c>
      <c r="AC93" s="336">
        <f t="shared" si="139"/>
        <v>8.2524444754435919E-3</v>
      </c>
      <c r="AD93" s="336">
        <f t="shared" si="139"/>
        <v>8.1809413170966967E-3</v>
      </c>
      <c r="AE93" s="336">
        <f t="shared" ref="AE93:AL93" si="140">AE46/AE$49</f>
        <v>8.1161491347406002E-3</v>
      </c>
      <c r="AF93" s="336">
        <f t="shared" si="140"/>
        <v>8.0511045568549371E-3</v>
      </c>
      <c r="AG93" s="336">
        <f t="shared" si="140"/>
        <v>7.9795350784097156E-3</v>
      </c>
      <c r="AH93" s="336">
        <f t="shared" si="140"/>
        <v>7.9082637766282309E-3</v>
      </c>
      <c r="AI93" s="336">
        <f t="shared" si="140"/>
        <v>7.8389125075583772E-3</v>
      </c>
      <c r="AJ93" s="336">
        <f t="shared" si="140"/>
        <v>7.7702274466386577E-3</v>
      </c>
      <c r="AK93" s="336">
        <f t="shared" si="140"/>
        <v>7.6991920663310705E-3</v>
      </c>
      <c r="AL93" s="336">
        <f t="shared" si="140"/>
        <v>7.6283535098419022E-3</v>
      </c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</row>
    <row r="94" spans="12:50" x14ac:dyDescent="0.2">
      <c r="L94" s="232" t="str">
        <f>'Occ T3'!A49</f>
        <v>92 Elementary administration and service occupations</v>
      </c>
      <c r="M94" s="336">
        <f t="shared" ref="M94:AD94" si="141">M47/M$49</f>
        <v>9.9679931885589962E-2</v>
      </c>
      <c r="N94" s="336">
        <f t="shared" si="141"/>
        <v>0.10139837000099292</v>
      </c>
      <c r="O94" s="336">
        <f t="shared" si="141"/>
        <v>0.1046070830247775</v>
      </c>
      <c r="P94" s="336">
        <f t="shared" si="141"/>
        <v>9.9006620369565118E-2</v>
      </c>
      <c r="Q94" s="336">
        <f t="shared" si="141"/>
        <v>0.10076078666347504</v>
      </c>
      <c r="R94" s="336">
        <f t="shared" si="141"/>
        <v>9.9498693202171556E-2</v>
      </c>
      <c r="S94" s="336">
        <f t="shared" si="141"/>
        <v>9.613348074888306E-2</v>
      </c>
      <c r="T94" s="336">
        <f t="shared" si="141"/>
        <v>9.6654230570547409E-2</v>
      </c>
      <c r="U94" s="336">
        <f t="shared" si="141"/>
        <v>9.4881616110609523E-2</v>
      </c>
      <c r="V94" s="336">
        <f t="shared" si="141"/>
        <v>9.4457825029033049E-2</v>
      </c>
      <c r="W94" s="336">
        <f t="shared" si="141"/>
        <v>8.8009011631501086E-2</v>
      </c>
      <c r="X94" s="336">
        <f t="shared" si="141"/>
        <v>9.0250514788520364E-2</v>
      </c>
      <c r="Y94" s="336">
        <f t="shared" si="141"/>
        <v>8.9997780660417109E-2</v>
      </c>
      <c r="Z94" s="336">
        <f t="shared" si="141"/>
        <v>8.9451033677734812E-2</v>
      </c>
      <c r="AA94" s="336">
        <f t="shared" si="141"/>
        <v>8.890803900269259E-2</v>
      </c>
      <c r="AB94" s="336">
        <f t="shared" si="141"/>
        <v>8.8373827408450012E-2</v>
      </c>
      <c r="AC94" s="336">
        <f t="shared" si="141"/>
        <v>8.7814342678841389E-2</v>
      </c>
      <c r="AD94" s="336">
        <f t="shared" si="141"/>
        <v>8.7249532688161699E-2</v>
      </c>
      <c r="AE94" s="336">
        <f t="shared" ref="AE94:AL94" si="142">AE47/AE$49</f>
        <v>8.6663073966494725E-2</v>
      </c>
      <c r="AF94" s="336">
        <f t="shared" si="142"/>
        <v>8.608314855803724E-2</v>
      </c>
      <c r="AG94" s="336">
        <f t="shared" si="142"/>
        <v>8.5490159056450701E-2</v>
      </c>
      <c r="AH94" s="336">
        <f t="shared" si="142"/>
        <v>8.4912899610904979E-2</v>
      </c>
      <c r="AI94" s="336">
        <f t="shared" si="142"/>
        <v>8.4324241185854742E-2</v>
      </c>
      <c r="AJ94" s="336">
        <f t="shared" si="142"/>
        <v>8.3778369594965582E-2</v>
      </c>
      <c r="AK94" s="336">
        <f t="shared" si="142"/>
        <v>8.3188208166394495E-2</v>
      </c>
      <c r="AL94" s="336">
        <f t="shared" si="142"/>
        <v>8.2539305079698227E-2</v>
      </c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</row>
    <row r="95" spans="12:50" x14ac:dyDescent="0.2">
      <c r="L95" s="232"/>
      <c r="M95" s="336"/>
      <c r="N95" s="336"/>
      <c r="O95" s="336"/>
      <c r="P95" s="336"/>
      <c r="Q95" s="336"/>
      <c r="R95" s="336"/>
      <c r="S95" s="336"/>
      <c r="T95" s="336"/>
      <c r="U95" s="336"/>
      <c r="V95" s="336"/>
      <c r="W95" s="336"/>
      <c r="X95" s="336"/>
      <c r="Y95" s="336"/>
      <c r="Z95" s="336"/>
      <c r="AA95" s="336"/>
      <c r="AB95" s="336"/>
      <c r="AC95" s="336"/>
      <c r="AD95" s="336"/>
      <c r="AE95" s="336"/>
      <c r="AF95" s="336"/>
      <c r="AG95" s="336"/>
      <c r="AH95" s="336"/>
      <c r="AI95" s="336"/>
      <c r="AJ95" s="336"/>
      <c r="AK95" s="336"/>
      <c r="AL95" s="336"/>
      <c r="AM95" s="11"/>
      <c r="AN95" s="11"/>
      <c r="AO95" s="11"/>
      <c r="AP95" s="11"/>
      <c r="AQ95" s="11"/>
      <c r="AR95" s="11"/>
      <c r="AS95" s="11"/>
      <c r="AT95" s="11"/>
      <c r="AU95" s="11"/>
      <c r="AV95" s="11"/>
      <c r="AW95" s="11"/>
      <c r="AX95" s="11"/>
    </row>
    <row r="96" spans="12:50" x14ac:dyDescent="0.2">
      <c r="L96" s="17" t="str">
        <f>'Occ T3'!A51</f>
        <v>All occupations</v>
      </c>
      <c r="M96" s="337">
        <f t="shared" ref="M96:AD96" si="143">M49/M$49</f>
        <v>1</v>
      </c>
      <c r="N96" s="337">
        <f t="shared" si="143"/>
        <v>1</v>
      </c>
      <c r="O96" s="337">
        <f t="shared" si="143"/>
        <v>1</v>
      </c>
      <c r="P96" s="337">
        <f t="shared" si="143"/>
        <v>1</v>
      </c>
      <c r="Q96" s="337">
        <f t="shared" si="143"/>
        <v>1</v>
      </c>
      <c r="R96" s="337">
        <f t="shared" si="143"/>
        <v>1</v>
      </c>
      <c r="S96" s="337">
        <f t="shared" si="143"/>
        <v>1</v>
      </c>
      <c r="T96" s="337">
        <f t="shared" si="143"/>
        <v>1</v>
      </c>
      <c r="U96" s="337">
        <f t="shared" si="143"/>
        <v>1</v>
      </c>
      <c r="V96" s="337">
        <f t="shared" si="143"/>
        <v>1</v>
      </c>
      <c r="W96" s="337">
        <f t="shared" si="143"/>
        <v>1</v>
      </c>
      <c r="X96" s="337">
        <f t="shared" si="143"/>
        <v>1</v>
      </c>
      <c r="Y96" s="337">
        <f t="shared" si="143"/>
        <v>1</v>
      </c>
      <c r="Z96" s="337">
        <f t="shared" si="143"/>
        <v>1</v>
      </c>
      <c r="AA96" s="337">
        <f t="shared" si="143"/>
        <v>1</v>
      </c>
      <c r="AB96" s="337">
        <f t="shared" si="143"/>
        <v>1</v>
      </c>
      <c r="AC96" s="337">
        <f t="shared" si="143"/>
        <v>1</v>
      </c>
      <c r="AD96" s="337">
        <f t="shared" si="143"/>
        <v>1</v>
      </c>
      <c r="AE96" s="337">
        <f t="shared" ref="AE96:AL96" si="144">AE49/AE$49</f>
        <v>1</v>
      </c>
      <c r="AF96" s="337">
        <f t="shared" si="144"/>
        <v>1</v>
      </c>
      <c r="AG96" s="337">
        <f t="shared" si="144"/>
        <v>1</v>
      </c>
      <c r="AH96" s="337">
        <f t="shared" si="144"/>
        <v>1</v>
      </c>
      <c r="AI96" s="337">
        <f t="shared" si="144"/>
        <v>1</v>
      </c>
      <c r="AJ96" s="337">
        <f t="shared" si="144"/>
        <v>1</v>
      </c>
      <c r="AK96" s="337">
        <f t="shared" si="144"/>
        <v>1</v>
      </c>
      <c r="AL96" s="337">
        <f t="shared" si="144"/>
        <v>1</v>
      </c>
      <c r="AM96" s="11"/>
      <c r="AN96" s="11"/>
      <c r="AO96" s="11"/>
      <c r="AP96" s="11"/>
      <c r="AQ96" s="11"/>
      <c r="AR96" s="11"/>
      <c r="AS96" s="11"/>
      <c r="AT96" s="11"/>
      <c r="AU96" s="11"/>
      <c r="AV96" s="11"/>
      <c r="AW96" s="11"/>
      <c r="AX96" s="11"/>
    </row>
    <row r="97" spans="12:53" x14ac:dyDescent="0.2">
      <c r="L97" s="13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  <c r="AP97" s="11"/>
      <c r="AQ97" s="11"/>
      <c r="AR97" s="11"/>
      <c r="AS97" s="11"/>
      <c r="AT97" s="11"/>
      <c r="AU97" s="11"/>
      <c r="AV97" s="11"/>
      <c r="AW97" s="11"/>
      <c r="AX97" s="11"/>
      <c r="AY97" s="11"/>
      <c r="AZ97" s="11"/>
      <c r="BA97" s="11"/>
    </row>
    <row r="98" spans="12:53" x14ac:dyDescent="0.2">
      <c r="L98" s="13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  <c r="AP98" s="11"/>
      <c r="AQ98" s="11"/>
      <c r="AR98" s="11"/>
      <c r="AS98" s="11"/>
      <c r="AT98" s="11"/>
      <c r="AU98" s="11"/>
      <c r="AV98" s="11"/>
      <c r="AW98" s="11"/>
      <c r="AX98" s="11"/>
      <c r="AY98" s="11"/>
      <c r="AZ98" s="11"/>
      <c r="BA98" s="11"/>
    </row>
    <row r="99" spans="12:53" x14ac:dyDescent="0.2">
      <c r="L99" s="13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  <c r="AP99" s="11"/>
      <c r="AQ99" s="11"/>
      <c r="AR99" s="11"/>
      <c r="AS99" s="11"/>
      <c r="AT99" s="11"/>
      <c r="AU99" s="11"/>
      <c r="AV99" s="11"/>
      <c r="AW99" s="11"/>
      <c r="AX99" s="11"/>
      <c r="AY99" s="11"/>
      <c r="AZ99" s="11"/>
      <c r="BA99" s="11"/>
    </row>
    <row r="100" spans="12:53" x14ac:dyDescent="0.2">
      <c r="L100" s="13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1"/>
      <c r="AY100" s="11"/>
      <c r="AZ100" s="11"/>
      <c r="BA100" s="11"/>
    </row>
    <row r="101" spans="12:53" x14ac:dyDescent="0.2">
      <c r="L101" s="13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</row>
    <row r="102" spans="12:53" x14ac:dyDescent="0.2">
      <c r="L102" s="13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1"/>
      <c r="AQ102" s="11"/>
      <c r="AR102" s="11"/>
      <c r="AS102" s="11"/>
      <c r="AT102" s="11"/>
      <c r="AU102" s="11"/>
      <c r="AV102" s="11"/>
      <c r="AW102" s="11"/>
      <c r="AX102" s="11"/>
      <c r="AY102" s="11"/>
      <c r="AZ102" s="11"/>
      <c r="BA102" s="11"/>
    </row>
    <row r="103" spans="12:53" x14ac:dyDescent="0.2">
      <c r="L103" s="13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  <c r="AP103" s="11"/>
      <c r="AQ103" s="11"/>
      <c r="AR103" s="11"/>
      <c r="AS103" s="11"/>
      <c r="AT103" s="11"/>
      <c r="AU103" s="11"/>
      <c r="AV103" s="11"/>
      <c r="AW103" s="11"/>
      <c r="AX103" s="11"/>
      <c r="AY103" s="11"/>
      <c r="AZ103" s="11"/>
      <c r="BA103" s="11"/>
    </row>
    <row r="104" spans="12:53" x14ac:dyDescent="0.2">
      <c r="L104" s="13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  <c r="AZ104" s="11"/>
      <c r="BA104" s="11"/>
    </row>
    <row r="105" spans="12:53" x14ac:dyDescent="0.2">
      <c r="L105" s="13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</row>
    <row r="106" spans="12:53" x14ac:dyDescent="0.2">
      <c r="L106" s="13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</row>
    <row r="107" spans="12:53" x14ac:dyDescent="0.2">
      <c r="L107" s="13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</row>
    <row r="108" spans="12:53" x14ac:dyDescent="0.2">
      <c r="L108" s="13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</row>
    <row r="109" spans="12:53" x14ac:dyDescent="0.2">
      <c r="L109" s="13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</row>
    <row r="110" spans="12:53" x14ac:dyDescent="0.2">
      <c r="L110" s="13"/>
      <c r="M110" s="11"/>
      <c r="N110" s="11"/>
      <c r="O110" s="11"/>
      <c r="P110" s="11"/>
    </row>
    <row r="111" spans="12:53" x14ac:dyDescent="0.2">
      <c r="L111" s="13"/>
      <c r="M111" s="11"/>
      <c r="N111" s="11"/>
      <c r="O111" s="11"/>
      <c r="P111" s="11"/>
    </row>
    <row r="112" spans="12:53" x14ac:dyDescent="0.2">
      <c r="L112" s="13"/>
      <c r="M112" s="11"/>
      <c r="N112" s="11"/>
      <c r="O112" s="11"/>
      <c r="P112" s="11"/>
    </row>
    <row r="113" spans="1:16" x14ac:dyDescent="0.2">
      <c r="L113" s="13"/>
      <c r="M113" s="11"/>
      <c r="N113" s="11"/>
      <c r="O113" s="11"/>
      <c r="P113" s="11"/>
    </row>
    <row r="114" spans="1:16" x14ac:dyDescent="0.2">
      <c r="L114" s="13"/>
      <c r="M114" s="11"/>
      <c r="N114" s="11"/>
      <c r="O114" s="11"/>
      <c r="P114" s="11"/>
    </row>
    <row r="115" spans="1:16" x14ac:dyDescent="0.2">
      <c r="L115" s="13"/>
      <c r="M115" s="11"/>
      <c r="N115" s="11"/>
      <c r="O115" s="11"/>
      <c r="P115" s="11"/>
    </row>
    <row r="116" spans="1:16" ht="15.75" x14ac:dyDescent="0.25">
      <c r="A116" s="80" t="str">
        <f>CONCATENATE("Occupation Figure 2.2  Employment by Occupation, ",$M$2,"-",$O$2,", ",Info!B5)</f>
        <v>Occupation Figure 2.2  Employment by Occupation, 2010-2035, Enterprise M3</v>
      </c>
      <c r="L116" s="13"/>
      <c r="M116" s="11"/>
      <c r="N116" s="11"/>
      <c r="O116" s="11"/>
      <c r="P116" s="11"/>
    </row>
    <row r="117" spans="1:16" x14ac:dyDescent="0.2">
      <c r="L117" s="13"/>
    </row>
    <row r="143" spans="12:63" s="81" customFormat="1" x14ac:dyDescent="0.2"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</row>
    <row r="162" spans="1:1" ht="15.75" x14ac:dyDescent="0.25">
      <c r="A162" s="80" t="str">
        <f>CONCATENATE("Occupation Figure 2.3  Change in Employment in ",$L$5,", ",$M$2,"-",$O$2,", ",Info!B5)</f>
        <v>Occupation Figure 2.3  Change in Employment in Managers, directors and senior officials, 2010-2035, Enterprise M3</v>
      </c>
    </row>
    <row r="178" spans="12:63" s="81" customFormat="1" x14ac:dyDescent="0.2"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</row>
    <row r="197" spans="1:1" ht="15.75" x14ac:dyDescent="0.25">
      <c r="A197" s="80" t="str">
        <f>CONCATENATE("Occupation Figure 2.4  Change in Employment in ",$L$9,", ",$M$2,"-",$O$2,", ",Info!B5)</f>
        <v>Occupation Figure 2.4  Change in Employment in Professional occupations, 2010-2035, Enterprise M3</v>
      </c>
    </row>
    <row r="213" spans="12:63" s="81" customFormat="1" x14ac:dyDescent="0.2"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</row>
    <row r="232" spans="1:1" ht="15.75" x14ac:dyDescent="0.25">
      <c r="A232" s="80" t="str">
        <f>CONCATENATE("Occupation Figure 2.5  Change in Employment in ",$L$15,", ",$M$2,"-",$O$2,", ",Info!B5)</f>
        <v>Occupation Figure 2.5  Change in Employment in Associate professional occupations, 2010-2035, Enterprise M3</v>
      </c>
    </row>
    <row r="248" spans="12:63" s="81" customFormat="1" x14ac:dyDescent="0.2"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</row>
    <row r="267" spans="1:1" ht="15.75" x14ac:dyDescent="0.25">
      <c r="A267" s="80" t="str">
        <f>CONCATENATE("Occupation Figure 2.6  Change in Employment in ",$L$22,", ",$M$2,"-",$O$2,", ",Info!B5)</f>
        <v>Occupation Figure 2.6  Change in Employment in Administrative and secretarial occupations, 2010-2035, Enterprise M3</v>
      </c>
    </row>
    <row r="283" spans="12:63" s="81" customFormat="1" x14ac:dyDescent="0.2"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</row>
    <row r="302" spans="1:1" ht="15.75" x14ac:dyDescent="0.25">
      <c r="A302" s="80" t="str">
        <f>CONCATENATE("Occupation Figure 2.7  Change in Employment in ",$L$26,", ",$M$2,"- ",$O$2,", ",Info!B5)</f>
        <v>Occupation Figure 2.7  Change in Employment in Skilled trades occupations, 2010- 2035, Enterprise M3</v>
      </c>
    </row>
    <row r="318" spans="12:63" s="81" customFormat="1" x14ac:dyDescent="0.2"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</row>
    <row r="337" spans="1:1" ht="15.75" x14ac:dyDescent="0.25">
      <c r="A337" s="80" t="str">
        <f>CONCATENATE("Occupation Figure 2.8  Change in Employment in ",$L$32,", ",$M$2,"-",$O$2,", ",Info!B5)</f>
        <v>Occupation Figure 2.8  Change in Employment in Caring, leisure and other service occupations, 2010-2035, Enterprise M3</v>
      </c>
    </row>
    <row r="353" spans="12:63" s="81" customFormat="1" x14ac:dyDescent="0.2"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</row>
    <row r="372" spans="1:1" ht="15.75" x14ac:dyDescent="0.25">
      <c r="A372" s="80" t="str">
        <f>CONCATENATE("Occupation Figure 2.9  Change in Employment in ",$L$37,", ",$M$2,"-",$O$2,", ",Info!B5)</f>
        <v>Occupation Figure 2.9  Change in Employment in Sales and customer service occupations, 2010-2035, Enterprise M3</v>
      </c>
    </row>
    <row r="388" spans="12:63" s="81" customFormat="1" x14ac:dyDescent="0.2"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</row>
    <row r="407" spans="1:1" ht="15.75" x14ac:dyDescent="0.25">
      <c r="A407" s="80" t="str">
        <f>CONCATENATE("Occupation Figure 2.10  Change in Employment in ",$L$41,", ",$M$2,"-",$O$2,", ",Info!B5)</f>
        <v>Occupation Figure 2.10  Change in Employment in Process, plant and machine operatives, 2010-2035, Enterprise M3</v>
      </c>
    </row>
    <row r="442" spans="1:1" ht="15.75" x14ac:dyDescent="0.25">
      <c r="A442" s="80" t="str">
        <f>CONCATENATE("Occupation Figure 2.11  Change in Employment in ",$L$45,", ",$M$2,"-",$O$2,", ",Info!B5)</f>
        <v>Occupation Figure 2.11  Change in Employment in Elementary occupations, 2010-2035, Enterprise M3</v>
      </c>
    </row>
    <row r="477" spans="1:12" ht="15.75" x14ac:dyDescent="0.25">
      <c r="A477" s="80" t="str">
        <f>CONCATENATE("Occupation Figure 2.12  Employment Level by Occupation (SOC 2020), ",'Occ T1'!D6," and ",'Occ T1'!F6," (000s)",", ",Info!B5)</f>
        <v>Occupation Figure 2.12  Employment Level by Occupation (SOC 2020), 2020 and 2035 (000s), Enterprise M3</v>
      </c>
    </row>
    <row r="479" spans="1:12" x14ac:dyDescent="0.2">
      <c r="L479" s="46" t="s">
        <v>412</v>
      </c>
    </row>
    <row r="480" spans="1:12" x14ac:dyDescent="0.2">
      <c r="L480" s="30" t="s">
        <v>413</v>
      </c>
    </row>
    <row r="505" spans="1:12" ht="15.75" x14ac:dyDescent="0.25">
      <c r="A505" s="80" t="str">
        <f>CONCATENATE("Occupation Figure 2.13  Employment Share by Occupation (SOC 2020), ",'Occ T1'!B24,", ",'Occ T1'!D24," and ",'Occ T1'!F24," (%)",", ",Info!B5)</f>
        <v>Occupation Figure 2.13  Employment Share by Occupation (SOC 2020), 2015, 2020 and 2035 (%), Enterprise M3</v>
      </c>
    </row>
    <row r="507" spans="1:12" x14ac:dyDescent="0.2">
      <c r="L507" s="46" t="s">
        <v>414</v>
      </c>
    </row>
    <row r="508" spans="1:12" x14ac:dyDescent="0.2">
      <c r="L508" s="30" t="s">
        <v>413</v>
      </c>
    </row>
  </sheetData>
  <conditionalFormatting sqref="L4:AM4 L51:AL51">
    <cfRule type="cellIs" dxfId="7" priority="2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8" manualBreakCount="8">
    <brk id="57" max="9" man="1"/>
    <brk id="115" max="9" man="1"/>
    <brk id="161" max="9" man="1"/>
    <brk id="231" max="9" man="1"/>
    <brk id="301" max="9" man="1"/>
    <brk id="371" max="9" man="1"/>
    <brk id="441" max="9" man="1"/>
    <brk id="476" max="9" man="1"/>
  </rowBreak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8"/>
  <dimension ref="A1:AC28"/>
  <sheetViews>
    <sheetView showGridLines="0" zoomScale="75" zoomScaleNormal="75" workbookViewId="0"/>
  </sheetViews>
  <sheetFormatPr defaultRowHeight="12.75" x14ac:dyDescent="0.2"/>
  <cols>
    <col min="18" max="18" width="9" customWidth="1"/>
    <col min="19" max="22" width="16" customWidth="1"/>
    <col min="23" max="23" width="42.42578125" customWidth="1"/>
    <col min="24" max="29" width="11.42578125" customWidth="1"/>
  </cols>
  <sheetData>
    <row r="1" spans="1:29" ht="15.75" x14ac:dyDescent="0.25">
      <c r="A1" s="80" t="str">
        <f>CONCATENATE("Occupation Figure 3  Changes in Occupational Employment Structure (000s) (SOC 2020), ",$W$1,"-",$X$1,", ",Info!B5)</f>
        <v>Occupation Figure 3  Changes in Occupational Employment Structure (000s) (SOC 2020), 2015-2035, Enterprise M3</v>
      </c>
      <c r="W1" t="str">
        <f>LEFT(X3,4)</f>
        <v>2015</v>
      </c>
      <c r="X1" t="str">
        <f>RIGHT(AC3,4)</f>
        <v>2035</v>
      </c>
    </row>
    <row r="2" spans="1:29" x14ac:dyDescent="0.2">
      <c r="A2" s="364" t="s">
        <v>519</v>
      </c>
      <c r="X2" t="s">
        <v>416</v>
      </c>
    </row>
    <row r="3" spans="1:29" x14ac:dyDescent="0.2">
      <c r="W3" s="1" t="s">
        <v>0</v>
      </c>
      <c r="X3" s="10" t="str">
        <f>'Occ T1'!B6&amp;"-"&amp;'Occ T1'!C6</f>
        <v>2015-2019</v>
      </c>
      <c r="Y3" s="10" t="str">
        <f>'Occ T1'!C6&amp;"-"&amp;'Occ T1'!D6</f>
        <v>2019-2020</v>
      </c>
      <c r="Z3" s="10" t="str">
        <f>'Occ T1'!D6&amp;"-"&amp;'Occ T1'!E6</f>
        <v>2020-2025</v>
      </c>
      <c r="AA3" s="10" t="str">
        <f>'Occ T1'!E6&amp;"-"&amp;'Occ T1'!F6</f>
        <v>2025-2035</v>
      </c>
      <c r="AB3" s="10" t="str">
        <f>'Occ T1'!B6&amp;"-"&amp;'Occ T1'!D6</f>
        <v>2015-2020</v>
      </c>
      <c r="AC3" s="10" t="str">
        <f>'Occ T1'!D6&amp;"-"&amp;'Occ T1'!F6</f>
        <v>2020-2035</v>
      </c>
    </row>
    <row r="4" spans="1:29" x14ac:dyDescent="0.2">
      <c r="W4" s="10" t="str">
        <f>name!E4</f>
        <v>Managers, directors and senior officials</v>
      </c>
      <c r="X4" s="11">
        <f>'Occ T1'!C8-'Occ T1'!B8</f>
        <v>10.091163239085105</v>
      </c>
      <c r="Y4" s="11">
        <f>'Occ T1'!D8-'Occ T1'!C8</f>
        <v>1.5376875986945038E-2</v>
      </c>
      <c r="Z4" s="11">
        <f>'Occ T1'!E8-'Occ T1'!D8</f>
        <v>3.7624070478643858</v>
      </c>
      <c r="AA4" s="11">
        <f>'Occ T1'!F8-'Occ T1'!E8</f>
        <v>13.257096381874433</v>
      </c>
      <c r="AB4" s="11">
        <f>'Occ T1'!D8-'Occ T1'!B8</f>
        <v>10.10654011507205</v>
      </c>
      <c r="AC4" s="11">
        <f>'Occ T1'!F8-'Occ T1'!D8</f>
        <v>17.019503429738819</v>
      </c>
    </row>
    <row r="5" spans="1:29" x14ac:dyDescent="0.2">
      <c r="W5" s="10" t="str">
        <f>name!E5</f>
        <v>Professional occupations</v>
      </c>
      <c r="X5" s="11">
        <f>'Occ T1'!C9-'Occ T1'!B9</f>
        <v>17.580426282407842</v>
      </c>
      <c r="Y5" s="11">
        <f>'Occ T1'!D9-'Occ T1'!C9</f>
        <v>5.1958123211304894</v>
      </c>
      <c r="Z5" s="11">
        <f>'Occ T1'!E9-'Occ T1'!D9</f>
        <v>15.778997308827172</v>
      </c>
      <c r="AA5" s="11">
        <f>'Occ T1'!F9-'Occ T1'!E9</f>
        <v>20.57003858563408</v>
      </c>
      <c r="AB5" s="11">
        <f>'Occ T1'!D9-'Occ T1'!B9</f>
        <v>22.776238603538332</v>
      </c>
      <c r="AC5" s="11">
        <f>'Occ T1'!F9-'Occ T1'!D9</f>
        <v>36.349035894461252</v>
      </c>
    </row>
    <row r="6" spans="1:29" x14ac:dyDescent="0.2">
      <c r="W6" s="10" t="str">
        <f>name!E6</f>
        <v>Associate professional occupations</v>
      </c>
      <c r="X6" s="11">
        <f>'Occ T1'!C10-'Occ T1'!B10</f>
        <v>1.9930526694944319</v>
      </c>
      <c r="Y6" s="11">
        <f>'Occ T1'!D10-'Occ T1'!C10</f>
        <v>4.0302643760827834</v>
      </c>
      <c r="Z6" s="11">
        <f>'Occ T1'!E10-'Occ T1'!D10</f>
        <v>-1.8132696952128242</v>
      </c>
      <c r="AA6" s="11">
        <f>'Occ T1'!F10-'Occ T1'!E10</f>
        <v>8.2542670823281696</v>
      </c>
      <c r="AB6" s="11">
        <f>'Occ T1'!D10-'Occ T1'!B10</f>
        <v>6.0233170455772154</v>
      </c>
      <c r="AC6" s="11">
        <f>'Occ T1'!F10-'Occ T1'!D10</f>
        <v>6.4409973871153454</v>
      </c>
    </row>
    <row r="7" spans="1:29" x14ac:dyDescent="0.2">
      <c r="W7" s="10" t="str">
        <f>name!E7</f>
        <v>Administrative and secretarial occupations</v>
      </c>
      <c r="X7" s="11">
        <f>'Occ T1'!C11-'Occ T1'!B11</f>
        <v>-6.4681196567368886</v>
      </c>
      <c r="Y7" s="11">
        <f>'Occ T1'!D11-'Occ T1'!C11</f>
        <v>0.8792042123502597</v>
      </c>
      <c r="Z7" s="11">
        <f>'Occ T1'!E11-'Occ T1'!D11</f>
        <v>-6.0610126634144024</v>
      </c>
      <c r="AA7" s="11">
        <f>'Occ T1'!F11-'Occ T1'!E11</f>
        <v>-8.9937607909003532</v>
      </c>
      <c r="AB7" s="11">
        <f>'Occ T1'!D11-'Occ T1'!B11</f>
        <v>-5.5889154443866289</v>
      </c>
      <c r="AC7" s="11">
        <f>'Occ T1'!F11-'Occ T1'!D11</f>
        <v>-15.054773454314756</v>
      </c>
    </row>
    <row r="8" spans="1:29" x14ac:dyDescent="0.2">
      <c r="W8" s="10" t="str">
        <f>name!E8</f>
        <v>Skilled trades occupations</v>
      </c>
      <c r="X8" s="11">
        <f>'Occ T1'!C12-'Occ T1'!B12</f>
        <v>-3.5704877380347</v>
      </c>
      <c r="Y8" s="11">
        <f>'Occ T1'!D12-'Occ T1'!C12</f>
        <v>-9.3184646836419063</v>
      </c>
      <c r="Z8" s="11">
        <f>'Occ T1'!E12-'Occ T1'!D12</f>
        <v>3.3833866915171171</v>
      </c>
      <c r="AA8" s="11">
        <f>'Occ T1'!F12-'Occ T1'!E12</f>
        <v>-0.12353616766091591</v>
      </c>
      <c r="AB8" s="11">
        <f>'Occ T1'!D12-'Occ T1'!B12</f>
        <v>-12.888952421676606</v>
      </c>
      <c r="AC8" s="11">
        <f>'Occ T1'!F12-'Occ T1'!D12</f>
        <v>3.2598505238562012</v>
      </c>
    </row>
    <row r="9" spans="1:29" x14ac:dyDescent="0.2">
      <c r="W9" s="10" t="str">
        <f>name!E9</f>
        <v>Caring, leisure and other service occupations</v>
      </c>
      <c r="X9" s="11">
        <f>'Occ T1'!C13-'Occ T1'!B13</f>
        <v>1.6610561276897897</v>
      </c>
      <c r="Y9" s="11">
        <f>'Occ T1'!D13-'Occ T1'!C13</f>
        <v>-4.2751395673161454</v>
      </c>
      <c r="Z9" s="11">
        <f>'Occ T1'!E13-'Occ T1'!D13</f>
        <v>4.5376495268944552</v>
      </c>
      <c r="AA9" s="11">
        <f>'Occ T1'!F13-'Occ T1'!E13</f>
        <v>5.0850831023537211</v>
      </c>
      <c r="AB9" s="11">
        <f>'Occ T1'!D13-'Occ T1'!B13</f>
        <v>-2.6140834396263557</v>
      </c>
      <c r="AC9" s="11">
        <f>'Occ T1'!F13-'Occ T1'!D13</f>
        <v>9.6227326292481763</v>
      </c>
    </row>
    <row r="10" spans="1:29" x14ac:dyDescent="0.2">
      <c r="W10" s="10" t="str">
        <f>name!E10</f>
        <v>Sales and customer service occupations</v>
      </c>
      <c r="X10" s="11">
        <f>'Occ T1'!C14-'Occ T1'!B14</f>
        <v>-1.5854400709549594</v>
      </c>
      <c r="Y10" s="11">
        <f>'Occ T1'!D14-'Occ T1'!C14</f>
        <v>8.9972810879899612E-2</v>
      </c>
      <c r="Z10" s="11">
        <f>'Occ T1'!E14-'Occ T1'!D14</f>
        <v>0.13950573305697844</v>
      </c>
      <c r="AA10" s="11">
        <f>'Occ T1'!F14-'Occ T1'!E14</f>
        <v>2.1874565529927281E-2</v>
      </c>
      <c r="AB10" s="11">
        <f>'Occ T1'!D14-'Occ T1'!B14</f>
        <v>-1.4954672600750598</v>
      </c>
      <c r="AC10" s="11">
        <f>'Occ T1'!F14-'Occ T1'!D14</f>
        <v>0.16138029858690572</v>
      </c>
    </row>
    <row r="11" spans="1:29" x14ac:dyDescent="0.2">
      <c r="W11" s="10" t="str">
        <f>name!E11</f>
        <v>Process, plant and machine operatives</v>
      </c>
      <c r="X11" s="11">
        <f>'Occ T1'!C15-'Occ T1'!B15</f>
        <v>1.8778599810062602</v>
      </c>
      <c r="Y11" s="11">
        <f>'Occ T1'!D15-'Occ T1'!C15</f>
        <v>-6.0982084458469643</v>
      </c>
      <c r="Z11" s="11">
        <f>'Occ T1'!E15-'Occ T1'!D15</f>
        <v>4.3642756557216842</v>
      </c>
      <c r="AA11" s="11">
        <f>'Occ T1'!F15-'Occ T1'!E15</f>
        <v>4.113343678007908E-2</v>
      </c>
      <c r="AB11" s="11">
        <f>'Occ T1'!D15-'Occ T1'!B15</f>
        <v>-4.2203484648407041</v>
      </c>
      <c r="AC11" s="11">
        <f>'Occ T1'!F15-'Occ T1'!D15</f>
        <v>4.4054090925017633</v>
      </c>
    </row>
    <row r="12" spans="1:29" x14ac:dyDescent="0.2">
      <c r="W12" s="10" t="str">
        <f>name!E12</f>
        <v>Elementary occupations</v>
      </c>
      <c r="X12" s="11">
        <f>'Occ T1'!C16-'Occ T1'!B16</f>
        <v>-4.135510833956431</v>
      </c>
      <c r="Y12" s="11">
        <f>'Occ T1'!D16-'Occ T1'!C16</f>
        <v>-8.3278178996261829</v>
      </c>
      <c r="Z12" s="11">
        <f>'Occ T1'!E16-'Occ T1'!D16</f>
        <v>1.2480603947452806</v>
      </c>
      <c r="AA12" s="11">
        <f>'Occ T1'!F16-'Occ T1'!E16</f>
        <v>-2.6141961959387316</v>
      </c>
      <c r="AB12" s="11">
        <f>'Occ T1'!D16-'Occ T1'!B16</f>
        <v>-12.463328733582614</v>
      </c>
      <c r="AC12" s="11">
        <f>'Occ T1'!F16-'Occ T1'!D16</f>
        <v>-1.366135801193451</v>
      </c>
    </row>
    <row r="14" spans="1:29" x14ac:dyDescent="0.2">
      <c r="W14" s="10" t="str">
        <f>name!E3</f>
        <v>All occupations</v>
      </c>
      <c r="X14" s="11">
        <f>'Occ T1'!C18-'Occ T1'!B18</f>
        <v>17.444000000000642</v>
      </c>
      <c r="Y14" s="11">
        <f>'Occ T1'!D18-'Occ T1'!C18</f>
        <v>-17.809000000000879</v>
      </c>
      <c r="Z14" s="11">
        <f>'Occ T1'!E18-'Occ T1'!D18</f>
        <v>25.339999999999804</v>
      </c>
      <c r="AA14" s="11">
        <f>'Occ T1'!F18-'Occ T1'!E18</f>
        <v>35.498000000000616</v>
      </c>
      <c r="AB14" s="11">
        <f>'Occ T1'!D18-'Occ T1'!B18</f>
        <v>-0.36500000000023647</v>
      </c>
      <c r="AC14" s="11">
        <f>'Occ T1'!F18-'Occ T1'!D18</f>
        <v>60.83800000000042</v>
      </c>
    </row>
    <row r="17" spans="23:26" x14ac:dyDescent="0.2">
      <c r="Y17" s="83" t="s">
        <v>440</v>
      </c>
      <c r="Z17" s="83" t="s">
        <v>441</v>
      </c>
    </row>
    <row r="18" spans="23:26" x14ac:dyDescent="0.2">
      <c r="W18" s="83" t="s">
        <v>438</v>
      </c>
      <c r="X18">
        <f>CEILING(MAX(X4:AA12),IF(MAX(X4:AA12)&lt;100,10,IF(MAX(X4:AA12)&lt;1000,100,1000)))</f>
        <v>30</v>
      </c>
      <c r="Y18">
        <f>MAX(X18,(X19*-1))</f>
        <v>30</v>
      </c>
      <c r="Z18">
        <f>IF(Y18&gt;1000,1000,IF(Y18&gt;500,500,IF(Y18&gt;100,100,IF(Y18&gt;40,20,10))))</f>
        <v>10</v>
      </c>
    </row>
    <row r="19" spans="23:26" x14ac:dyDescent="0.2">
      <c r="W19" s="83" t="s">
        <v>439</v>
      </c>
      <c r="X19">
        <f>FLOOR(MIN(X4:AA12),IF(MIN(X4:AA12)&gt;-100,10,IF(MIN(X4:AA12)&gt;-1000,100,1000)))</f>
        <v>-10</v>
      </c>
      <c r="Y19">
        <f>Y18*-1</f>
        <v>-30</v>
      </c>
    </row>
    <row r="26" spans="23:26" x14ac:dyDescent="0.2">
      <c r="Z26" s="83"/>
    </row>
    <row r="27" spans="23:26" x14ac:dyDescent="0.2">
      <c r="Z27" s="83"/>
    </row>
    <row r="28" spans="23:26" x14ac:dyDescent="0.2">
      <c r="Z28" s="83"/>
    </row>
  </sheetData>
  <pageMargins left="0.7" right="0.7" top="0.75" bottom="0.75" header="0.3" footer="0.3"/>
  <pageSetup paperSize="9" scale="74" orientation="landscape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61"/>
  <dimension ref="A1:P13"/>
  <sheetViews>
    <sheetView showGridLines="0" zoomScale="75" zoomScaleNormal="75" workbookViewId="0"/>
  </sheetViews>
  <sheetFormatPr defaultRowHeight="12.75" x14ac:dyDescent="0.2"/>
  <cols>
    <col min="13" max="13" width="36" customWidth="1"/>
  </cols>
  <sheetData>
    <row r="1" spans="1:16" ht="15.75" x14ac:dyDescent="0.25">
      <c r="A1" s="80" t="str">
        <f>CONCATENATE("Occupation Figure 4  Occupational Change by Gender (000s) (SOC 2020), ",N1,", ",Info!B5)</f>
        <v>Occupation Figure 4  Occupational Change by Gender (000s) (SOC 2020), 2020-2035, Enterprise M3</v>
      </c>
      <c r="M1" s="83" t="s">
        <v>19</v>
      </c>
      <c r="N1" t="str">
        <f>'Occ T1'!F62</f>
        <v>2020-2035</v>
      </c>
    </row>
    <row r="2" spans="1:16" x14ac:dyDescent="0.2">
      <c r="A2" s="364" t="s">
        <v>519</v>
      </c>
      <c r="M2" s="1" t="s">
        <v>0</v>
      </c>
      <c r="N2" s="83" t="s">
        <v>33</v>
      </c>
      <c r="O2" s="83" t="s">
        <v>105</v>
      </c>
      <c r="P2" s="83" t="s">
        <v>104</v>
      </c>
    </row>
    <row r="3" spans="1:16" x14ac:dyDescent="0.2">
      <c r="M3" s="10" t="str">
        <f>name!E4</f>
        <v>Managers, directors and senior officials</v>
      </c>
      <c r="N3" s="11">
        <f>'Occ T1'!F64</f>
        <v>17.019503429738819</v>
      </c>
      <c r="O3" s="11">
        <f>'Occ T1'!AB64</f>
        <v>10.915385786982192</v>
      </c>
      <c r="P3" s="11">
        <f>'Occ T1'!Q64</f>
        <v>6.1041176427568473</v>
      </c>
    </row>
    <row r="4" spans="1:16" x14ac:dyDescent="0.2">
      <c r="M4" s="10" t="str">
        <f>name!E5</f>
        <v>Professional occupations</v>
      </c>
      <c r="N4" s="11">
        <f>'Occ T1'!F65</f>
        <v>36.349035894461252</v>
      </c>
      <c r="O4" s="11">
        <f>'Occ T1'!AB65</f>
        <v>19.038975147997206</v>
      </c>
      <c r="P4" s="11">
        <f>'Occ T1'!Q65</f>
        <v>17.310060746463961</v>
      </c>
    </row>
    <row r="5" spans="1:16" x14ac:dyDescent="0.2">
      <c r="M5" s="10" t="str">
        <f>name!E6</f>
        <v>Associate professional occupations</v>
      </c>
      <c r="N5" s="11">
        <f>'Occ T1'!F66</f>
        <v>6.4409973871153454</v>
      </c>
      <c r="O5" s="11">
        <f>'Occ T1'!AB66</f>
        <v>7.0074477762902845</v>
      </c>
      <c r="P5" s="11">
        <f>'Occ T1'!Q66</f>
        <v>-0.56645038917497459</v>
      </c>
    </row>
    <row r="6" spans="1:16" x14ac:dyDescent="0.2">
      <c r="M6" s="10" t="str">
        <f>name!E7</f>
        <v>Administrative and secretarial occupations</v>
      </c>
      <c r="N6" s="11">
        <f>'Occ T1'!F67</f>
        <v>-15.054773454314756</v>
      </c>
      <c r="O6" s="11">
        <f>'Occ T1'!AB67</f>
        <v>-15.255330294286274</v>
      </c>
      <c r="P6" s="11">
        <f>'Occ T1'!Q67</f>
        <v>0.20055683997145124</v>
      </c>
    </row>
    <row r="7" spans="1:16" x14ac:dyDescent="0.2">
      <c r="M7" s="10" t="str">
        <f>name!E8</f>
        <v>Skilled trades occupations</v>
      </c>
      <c r="N7" s="11">
        <f>'Occ T1'!F68</f>
        <v>3.2598505238562012</v>
      </c>
      <c r="O7" s="11">
        <f>'Occ T1'!AB68</f>
        <v>3.4279571205683421</v>
      </c>
      <c r="P7" s="11">
        <f>'Occ T1'!Q68</f>
        <v>-0.1681065967121711</v>
      </c>
    </row>
    <row r="8" spans="1:16" x14ac:dyDescent="0.2">
      <c r="M8" s="10" t="str">
        <f>name!E9</f>
        <v>Caring, leisure and other service occupations</v>
      </c>
      <c r="N8" s="11">
        <f>'Occ T1'!F69</f>
        <v>9.6227326292481763</v>
      </c>
      <c r="O8" s="11">
        <f>'Occ T1'!AB69</f>
        <v>3.9992312773614742</v>
      </c>
      <c r="P8" s="11">
        <f>'Occ T1'!Q69</f>
        <v>5.6235013518867305</v>
      </c>
    </row>
    <row r="9" spans="1:16" x14ac:dyDescent="0.2">
      <c r="M9" s="10" t="str">
        <f>name!E10</f>
        <v>Sales and customer service occupations</v>
      </c>
      <c r="N9" s="11">
        <f>'Occ T1'!F70</f>
        <v>0.16138029858690572</v>
      </c>
      <c r="O9" s="11">
        <f>'Occ T1'!AB70</f>
        <v>-1.7505029106308001</v>
      </c>
      <c r="P9" s="11">
        <f>'Occ T1'!Q70</f>
        <v>1.9118832092178302</v>
      </c>
    </row>
    <row r="10" spans="1:16" x14ac:dyDescent="0.2">
      <c r="M10" s="10" t="str">
        <f>name!E11</f>
        <v>Process, plant and machine operatives</v>
      </c>
      <c r="N10" s="11">
        <f>'Occ T1'!F71</f>
        <v>4.4054090925017633</v>
      </c>
      <c r="O10" s="11">
        <f>'Occ T1'!AB71</f>
        <v>1.7970737644178549</v>
      </c>
      <c r="P10" s="11">
        <f>'Occ T1'!Q71</f>
        <v>2.6083353280838608</v>
      </c>
    </row>
    <row r="11" spans="1:16" x14ac:dyDescent="0.2">
      <c r="M11" s="10" t="str">
        <f>name!E12</f>
        <v>Elementary occupations</v>
      </c>
      <c r="N11" s="11">
        <f>'Occ T1'!F72</f>
        <v>-1.366135801193451</v>
      </c>
      <c r="O11" s="11">
        <f>'Occ T1'!AB72</f>
        <v>-0.74369131233027019</v>
      </c>
      <c r="P11" s="11">
        <f>'Occ T1'!Q72</f>
        <v>-0.6224444888632874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T1'!F74</f>
        <v>60.83800000000042</v>
      </c>
      <c r="O13" s="11">
        <f>'Occ T1'!AB74</f>
        <v>28.436546356370059</v>
      </c>
      <c r="P13" s="11">
        <f>'Occ T1'!Q74</f>
        <v>32.401453643630305</v>
      </c>
    </row>
  </sheetData>
  <pageMargins left="0.7" right="0.7" top="0.75" bottom="0.75" header="0.3" footer="0.3"/>
  <pageSetup paperSize="9" scale="97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62"/>
  <dimension ref="A1:P79"/>
  <sheetViews>
    <sheetView showGridLines="0" zoomScale="75" zoomScaleNormal="75" workbookViewId="0"/>
  </sheetViews>
  <sheetFormatPr defaultColWidth="9.140625" defaultRowHeight="12.75" x14ac:dyDescent="0.2"/>
  <cols>
    <col min="12" max="12" width="24.7109375" customWidth="1"/>
    <col min="13" max="13" width="36" customWidth="1"/>
    <col min="14" max="14" width="19.5703125" customWidth="1"/>
  </cols>
  <sheetData>
    <row r="1" spans="1:16" ht="15.75" x14ac:dyDescent="0.25">
      <c r="A1" s="80" t="str">
        <f>CONCATENATE("Occupation Figure 5  Occupational Change by Status (000s) (SOC 2020), ",N1,", ",Info!B5)</f>
        <v>Occupation Figure 5  Occupational Change by Status (000s) (SOC 2020), 2020-2035, Enterprise M3</v>
      </c>
      <c r="M1" s="83" t="s">
        <v>19</v>
      </c>
      <c r="N1" t="str">
        <f>'Ind Occ T2'!G6&amp;"-"&amp;'Ind Occ T2'!L6</f>
        <v>2020-2035</v>
      </c>
    </row>
    <row r="2" spans="1:16" x14ac:dyDescent="0.2">
      <c r="A2" s="364" t="s">
        <v>519</v>
      </c>
      <c r="M2" s="1" t="s">
        <v>337</v>
      </c>
      <c r="N2" s="83" t="s">
        <v>344</v>
      </c>
      <c r="O2" s="83" t="s">
        <v>421</v>
      </c>
      <c r="P2" s="83" t="s">
        <v>422</v>
      </c>
    </row>
    <row r="3" spans="1:16" x14ac:dyDescent="0.2">
      <c r="M3" s="10" t="str">
        <f>name!E4</f>
        <v>Managers, directors and senior officials</v>
      </c>
      <c r="N3" s="11">
        <f>'Occ T5'!I44</f>
        <v>2.8585814969356065</v>
      </c>
      <c r="O3" s="11">
        <f>'Occ T5'!H44</f>
        <v>4.367295321918105</v>
      </c>
      <c r="P3" s="11">
        <f>'Occ T5'!G44</f>
        <v>9.7936266108853403</v>
      </c>
    </row>
    <row r="4" spans="1:16" x14ac:dyDescent="0.2">
      <c r="M4" s="10" t="str">
        <f>name!E5</f>
        <v>Professional occupations</v>
      </c>
      <c r="N4" s="11">
        <f>'Occ T5'!I45</f>
        <v>2.7521487084335661E-2</v>
      </c>
      <c r="O4" s="11">
        <f>'Occ T5'!H45</f>
        <v>7.7361809716360455</v>
      </c>
      <c r="P4" s="11">
        <f>'Occ T5'!G45</f>
        <v>28.585333435740921</v>
      </c>
    </row>
    <row r="5" spans="1:16" x14ac:dyDescent="0.2">
      <c r="M5" s="10" t="str">
        <f>name!E6</f>
        <v>Associate professional occupations</v>
      </c>
      <c r="N5" s="11">
        <f>'Occ T5'!I46</f>
        <v>1.4824863202248828</v>
      </c>
      <c r="O5" s="11">
        <f>'Occ T5'!H46</f>
        <v>0.76845210291484634</v>
      </c>
      <c r="P5" s="11">
        <f>'Occ T5'!G46</f>
        <v>4.1900589639755736</v>
      </c>
    </row>
    <row r="6" spans="1:16" x14ac:dyDescent="0.2">
      <c r="M6" s="10" t="str">
        <f>name!E7</f>
        <v>Administrative and secretarial occupations</v>
      </c>
      <c r="N6" s="11">
        <f>'Occ T5'!I47</f>
        <v>0.42172367577232261</v>
      </c>
      <c r="O6" s="11">
        <f>'Occ T5'!H47</f>
        <v>-6.6469590312170119</v>
      </c>
      <c r="P6" s="11">
        <f>'Occ T5'!G47</f>
        <v>-8.8295380988700884</v>
      </c>
    </row>
    <row r="7" spans="1:16" x14ac:dyDescent="0.2">
      <c r="M7" s="10" t="str">
        <f>name!E8</f>
        <v>Skilled trades occupations</v>
      </c>
      <c r="N7" s="11">
        <f>'Occ T5'!I48</f>
        <v>4.5370051805516489</v>
      </c>
      <c r="O7" s="11">
        <f>'Occ T5'!H48</f>
        <v>1.806025691058279</v>
      </c>
      <c r="P7" s="11">
        <f>'Occ T5'!G48</f>
        <v>-3.0831803477537605</v>
      </c>
    </row>
    <row r="8" spans="1:16" x14ac:dyDescent="0.2">
      <c r="M8" s="10" t="str">
        <f>name!E9</f>
        <v>Caring, leisure and other service occupations</v>
      </c>
      <c r="N8" s="11">
        <f>'Occ T5'!I49</f>
        <v>1.5507661455927337</v>
      </c>
      <c r="O8" s="11">
        <f>'Occ T5'!H49</f>
        <v>1.5421782737895029</v>
      </c>
      <c r="P8" s="11">
        <f>'Occ T5'!G49</f>
        <v>6.5297882098659272</v>
      </c>
    </row>
    <row r="9" spans="1:16" x14ac:dyDescent="0.2">
      <c r="M9" s="10" t="str">
        <f>name!E10</f>
        <v>Sales and customer service occupations</v>
      </c>
      <c r="N9" s="11">
        <f>'Occ T5'!I50</f>
        <v>-0.26906322142557437</v>
      </c>
      <c r="O9" s="11">
        <f>'Occ T5'!H50</f>
        <v>-0.10501058092879845</v>
      </c>
      <c r="P9" s="11">
        <f>'Occ T5'!G50</f>
        <v>0.53545410094136159</v>
      </c>
    </row>
    <row r="10" spans="1:16" x14ac:dyDescent="0.2">
      <c r="M10" s="10" t="str">
        <f>name!E11</f>
        <v>Process, plant and machine operatives</v>
      </c>
      <c r="N10" s="11">
        <f>'Occ T5'!I51</f>
        <v>1.6291282806964862</v>
      </c>
      <c r="O10" s="11">
        <f>'Occ T5'!H51</f>
        <v>2.5395621355446485</v>
      </c>
      <c r="P10" s="11">
        <f>'Occ T5'!G51</f>
        <v>0.23671867626049448</v>
      </c>
    </row>
    <row r="11" spans="1:16" x14ac:dyDescent="0.2">
      <c r="M11" s="10" t="str">
        <f>name!E12</f>
        <v>Elementary occupations</v>
      </c>
      <c r="N11" s="11">
        <f>'Occ T5'!I52</f>
        <v>1.3972603625682751</v>
      </c>
      <c r="O11" s="11">
        <f>'Occ T5'!H52</f>
        <v>-1.8261013612966437</v>
      </c>
      <c r="P11" s="11">
        <f>'Occ T5'!G52</f>
        <v>-0.9372948024652068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T5'!I54</f>
        <v>13.63540972800071</v>
      </c>
      <c r="O13" s="11">
        <f>'Occ T5'!H54</f>
        <v>10.181623523418949</v>
      </c>
      <c r="P13" s="11">
        <f>'Occ T5'!G54</f>
        <v>37.020966748580577</v>
      </c>
    </row>
    <row r="16" spans="1:16" x14ac:dyDescent="0.2">
      <c r="M16" s="83" t="s">
        <v>19</v>
      </c>
      <c r="N16" t="str">
        <f>N1</f>
        <v>2020-2035</v>
      </c>
    </row>
    <row r="17" spans="13:16" x14ac:dyDescent="0.2">
      <c r="M17" s="1" t="s">
        <v>105</v>
      </c>
      <c r="N17" s="83" t="s">
        <v>344</v>
      </c>
      <c r="O17" s="83" t="s">
        <v>421</v>
      </c>
      <c r="P17" s="83" t="s">
        <v>422</v>
      </c>
    </row>
    <row r="18" spans="13:16" x14ac:dyDescent="0.2">
      <c r="M18" s="10" t="str">
        <f>M3</f>
        <v>Managers, directors and senior officials</v>
      </c>
      <c r="N18" s="11">
        <f>'Occ T5'!AO44</f>
        <v>0.79448644822576941</v>
      </c>
      <c r="O18" s="11">
        <f>'Occ T5'!AN44</f>
        <v>2.773627492747865</v>
      </c>
      <c r="P18" s="11">
        <f>'Occ T5'!AM44</f>
        <v>7.3472718460085744</v>
      </c>
    </row>
    <row r="19" spans="13:16" x14ac:dyDescent="0.2">
      <c r="M19" s="10" t="str">
        <f t="shared" ref="M19:M28" si="0">M4</f>
        <v>Professional occupations</v>
      </c>
      <c r="N19" s="11">
        <f>'Occ T5'!AO45</f>
        <v>0.65907791407844663</v>
      </c>
      <c r="O19" s="11">
        <f>'Occ T5'!AN45</f>
        <v>4.1814367765158487</v>
      </c>
      <c r="P19" s="11">
        <f>'Occ T5'!AM45</f>
        <v>14.198460457402973</v>
      </c>
    </row>
    <row r="20" spans="13:16" x14ac:dyDescent="0.2">
      <c r="M20" s="10" t="str">
        <f t="shared" si="0"/>
        <v>Associate professional occupations</v>
      </c>
      <c r="N20" s="11">
        <f>'Occ T5'!AO46</f>
        <v>1.0644344439619591</v>
      </c>
      <c r="O20" s="11">
        <f>'Occ T5'!AN46</f>
        <v>1.2934470187849278</v>
      </c>
      <c r="P20" s="11">
        <f>'Occ T5'!AM46</f>
        <v>4.6495663135434029</v>
      </c>
    </row>
    <row r="21" spans="13:16" x14ac:dyDescent="0.2">
      <c r="M21" s="10" t="str">
        <f t="shared" si="0"/>
        <v>Administrative and secretarial occupations</v>
      </c>
      <c r="N21" s="11">
        <f>'Occ T5'!AO47</f>
        <v>-5.9824891321374807E-2</v>
      </c>
      <c r="O21" s="11">
        <f>'Occ T5'!AN47</f>
        <v>-5.9730579655104705</v>
      </c>
      <c r="P21" s="11">
        <f>'Occ T5'!AM47</f>
        <v>-9.222447437454413</v>
      </c>
    </row>
    <row r="22" spans="13:16" x14ac:dyDescent="0.2">
      <c r="M22" s="10" t="str">
        <f t="shared" si="0"/>
        <v>Skilled trades occupations</v>
      </c>
      <c r="N22" s="11">
        <f>'Occ T5'!AO48</f>
        <v>1.2109764893837163</v>
      </c>
      <c r="O22" s="11">
        <f>'Occ T5'!AN48</f>
        <v>0.75932915746183527</v>
      </c>
      <c r="P22" s="11">
        <f>'Occ T5'!AM48</f>
        <v>1.4576514737227857</v>
      </c>
    </row>
    <row r="23" spans="13:16" x14ac:dyDescent="0.2">
      <c r="M23" s="10" t="str">
        <f t="shared" si="0"/>
        <v>Caring, leisure and other service occupations</v>
      </c>
      <c r="N23" s="11">
        <f>'Occ T5'!AO49</f>
        <v>0.93626387105807574</v>
      </c>
      <c r="O23" s="11">
        <f>'Occ T5'!AN49</f>
        <v>0.10688272867419357</v>
      </c>
      <c r="P23" s="11">
        <f>'Occ T5'!AM49</f>
        <v>2.9560846776291854</v>
      </c>
    </row>
    <row r="24" spans="13:16" x14ac:dyDescent="0.2">
      <c r="M24" s="10" t="str">
        <f t="shared" si="0"/>
        <v>Sales and customer service occupations</v>
      </c>
      <c r="N24" s="11">
        <f>'Occ T5'!AO50</f>
        <v>-0.1248295486109674</v>
      </c>
      <c r="O24" s="11">
        <f>'Occ T5'!AN50</f>
        <v>-1.0143716982979889</v>
      </c>
      <c r="P24" s="11">
        <f>'Occ T5'!AM50</f>
        <v>-0.61130166372186245</v>
      </c>
    </row>
    <row r="25" spans="13:16" x14ac:dyDescent="0.2">
      <c r="M25" s="10" t="str">
        <f t="shared" si="0"/>
        <v>Process, plant and machine operatives</v>
      </c>
      <c r="N25" s="11">
        <f>'Occ T5'!AO51</f>
        <v>0.24898217496521302</v>
      </c>
      <c r="O25" s="11">
        <f>'Occ T5'!AN51</f>
        <v>1.3117478276098673</v>
      </c>
      <c r="P25" s="11">
        <f>'Occ T5'!AM51</f>
        <v>0.23634376184277306</v>
      </c>
    </row>
    <row r="26" spans="13:16" x14ac:dyDescent="0.2">
      <c r="M26" s="10" t="str">
        <f t="shared" si="0"/>
        <v>Elementary occupations</v>
      </c>
      <c r="N26" s="11">
        <f>'Occ T5'!AO52</f>
        <v>0.23504765308557718</v>
      </c>
      <c r="O26" s="11">
        <f>'Occ T5'!AN52</f>
        <v>-1.9806727844920218</v>
      </c>
      <c r="P26" s="11">
        <f>'Occ T5'!AM52</f>
        <v>1.0019338190761804</v>
      </c>
    </row>
    <row r="27" spans="13:16" x14ac:dyDescent="0.2">
      <c r="M27" s="10"/>
      <c r="N27" s="11"/>
      <c r="O27" s="11"/>
      <c r="P27" s="11"/>
    </row>
    <row r="28" spans="13:16" x14ac:dyDescent="0.2">
      <c r="M28" s="10" t="str">
        <f t="shared" si="0"/>
        <v>All occupations</v>
      </c>
      <c r="N28" s="11">
        <f>'Occ T5'!AO54</f>
        <v>4.9646145548264187</v>
      </c>
      <c r="O28" s="11">
        <f>'Occ T5'!AN54</f>
        <v>1.45836855349404</v>
      </c>
      <c r="P28" s="11">
        <f>'Occ T5'!AM54</f>
        <v>22.013563248049593</v>
      </c>
    </row>
    <row r="31" spans="13:16" x14ac:dyDescent="0.2">
      <c r="M31" s="83" t="s">
        <v>19</v>
      </c>
      <c r="N31" t="str">
        <f>N1</f>
        <v>2020-2035</v>
      </c>
    </row>
    <row r="32" spans="13:16" x14ac:dyDescent="0.2">
      <c r="M32" s="1" t="s">
        <v>104</v>
      </c>
      <c r="N32" s="83" t="s">
        <v>344</v>
      </c>
      <c r="O32" s="83" t="s">
        <v>421</v>
      </c>
      <c r="P32" s="83" t="s">
        <v>422</v>
      </c>
    </row>
    <row r="33" spans="1:16" x14ac:dyDescent="0.2">
      <c r="M33" s="10" t="str">
        <f>M3</f>
        <v>Managers, directors and senior officials</v>
      </c>
      <c r="N33" s="11">
        <f>'Occ T5'!Y44</f>
        <v>2.0640950487098273</v>
      </c>
      <c r="O33" s="11">
        <f>'Occ T5'!X44</f>
        <v>1.5936678291702444</v>
      </c>
      <c r="P33" s="11">
        <f>'Occ T5'!W44</f>
        <v>2.4463547648767801</v>
      </c>
    </row>
    <row r="34" spans="1:16" x14ac:dyDescent="0.2">
      <c r="M34" s="10" t="str">
        <f t="shared" ref="M34:M43" si="1">M4</f>
        <v>Professional occupations</v>
      </c>
      <c r="N34" s="11">
        <f>'Occ T5'!Y45</f>
        <v>-0.63155642699411807</v>
      </c>
      <c r="O34" s="11">
        <f>'Occ T5'!X45</f>
        <v>3.5547441951202057</v>
      </c>
      <c r="P34" s="11">
        <f>'Occ T5'!W45</f>
        <v>14.386872978337877</v>
      </c>
    </row>
    <row r="35" spans="1:16" x14ac:dyDescent="0.2">
      <c r="M35" s="10" t="str">
        <f t="shared" si="1"/>
        <v>Associate professional occupations</v>
      </c>
      <c r="N35" s="11">
        <f>'Occ T5'!Y46</f>
        <v>0.41805187626293261</v>
      </c>
      <c r="O35" s="11">
        <f>'Occ T5'!X46</f>
        <v>-0.52499491587008773</v>
      </c>
      <c r="P35" s="11">
        <f>'Occ T5'!W46</f>
        <v>-0.45950734956780792</v>
      </c>
    </row>
    <row r="36" spans="1:16" x14ac:dyDescent="0.2">
      <c r="M36" s="10" t="str">
        <f t="shared" si="1"/>
        <v>Administrative and secretarial occupations</v>
      </c>
      <c r="N36" s="11">
        <f>'Occ T5'!Y47</f>
        <v>0.4815485670936972</v>
      </c>
      <c r="O36" s="11">
        <f>'Occ T5'!X47</f>
        <v>-0.6739010657065454</v>
      </c>
      <c r="P36" s="11">
        <f>'Occ T5'!W47</f>
        <v>0.39290933858430854</v>
      </c>
    </row>
    <row r="37" spans="1:16" x14ac:dyDescent="0.2">
      <c r="M37" s="10" t="str">
        <f t="shared" si="1"/>
        <v>Skilled trades occupations</v>
      </c>
      <c r="N37" s="11">
        <f>'Occ T5'!Y48</f>
        <v>3.3260286911679309</v>
      </c>
      <c r="O37" s="11">
        <f>'Occ T5'!X48</f>
        <v>1.0466965335964442</v>
      </c>
      <c r="P37" s="11">
        <f>'Occ T5'!W48</f>
        <v>-4.5408318214765373</v>
      </c>
    </row>
    <row r="38" spans="1:16" x14ac:dyDescent="0.2">
      <c r="M38" s="10" t="str">
        <f t="shared" si="1"/>
        <v>Caring, leisure and other service occupations</v>
      </c>
      <c r="N38" s="11">
        <f>'Occ T5'!Y49</f>
        <v>0.61450227453465844</v>
      </c>
      <c r="O38" s="11">
        <f>'Occ T5'!X49</f>
        <v>1.4352955451153013</v>
      </c>
      <c r="P38" s="11">
        <f>'Occ T5'!W49</f>
        <v>3.5737035322367667</v>
      </c>
    </row>
    <row r="39" spans="1:16" x14ac:dyDescent="0.2">
      <c r="M39" s="10" t="str">
        <f t="shared" si="1"/>
        <v>Sales and customer service occupations</v>
      </c>
      <c r="N39" s="11">
        <f>'Occ T5'!Y50</f>
        <v>-0.14423367281461008</v>
      </c>
      <c r="O39" s="11">
        <f>'Occ T5'!X50</f>
        <v>0.90936111736922776</v>
      </c>
      <c r="P39" s="11">
        <f>'Occ T5'!W50</f>
        <v>1.1467557646632169</v>
      </c>
    </row>
    <row r="40" spans="1:16" ht="15.75" x14ac:dyDescent="0.25">
      <c r="A40" s="80" t="str">
        <f>CONCATENATE("Occupation Figure 5.1 Females:  Occupational Change by Status (000s) (SOC 2020), ",N1,", ",Info!B5)</f>
        <v>Occupation Figure 5.1 Females:  Occupational Change by Status (000s) (SOC 2020), 2020-2035, Enterprise M3</v>
      </c>
      <c r="M40" s="10" t="str">
        <f t="shared" si="1"/>
        <v>Process, plant and machine operatives</v>
      </c>
      <c r="N40" s="11">
        <f>'Occ T5'!Y51</f>
        <v>1.3801461057312769</v>
      </c>
      <c r="O40" s="11">
        <f>'Occ T5'!X51</f>
        <v>1.2278143079347874</v>
      </c>
      <c r="P40" s="11">
        <f>'Occ T5'!W51</f>
        <v>3.7491441773340739E-4</v>
      </c>
    </row>
    <row r="41" spans="1:16" x14ac:dyDescent="0.2">
      <c r="M41" s="10" t="str">
        <f t="shared" si="1"/>
        <v>Elementary occupations</v>
      </c>
      <c r="N41" s="11">
        <f>'Occ T5'!Y52</f>
        <v>1.1622127094826982</v>
      </c>
      <c r="O41" s="11">
        <f>'Occ T5'!X52</f>
        <v>0.15457142319540651</v>
      </c>
      <c r="P41" s="11">
        <f>'Occ T5'!W52</f>
        <v>-1.9392286215413712</v>
      </c>
    </row>
    <row r="42" spans="1:16" x14ac:dyDescent="0.2">
      <c r="M42" s="10"/>
      <c r="N42" s="11"/>
      <c r="O42" s="11"/>
      <c r="P42" s="11"/>
    </row>
    <row r="43" spans="1:16" x14ac:dyDescent="0.2">
      <c r="M43" s="10" t="str">
        <f t="shared" si="1"/>
        <v>All occupations</v>
      </c>
      <c r="N43" s="11">
        <f>'Occ T5'!Y54</f>
        <v>8.6707951731742838</v>
      </c>
      <c r="O43" s="11">
        <f>'Occ T5'!X54</f>
        <v>8.723254969924966</v>
      </c>
      <c r="P43" s="11">
        <f>'Occ T5'!W54</f>
        <v>15.007403500530927</v>
      </c>
    </row>
    <row r="79" spans="1:1" ht="15.75" x14ac:dyDescent="0.25">
      <c r="A79" s="80" t="str">
        <f>CONCATENATE("Occupation Figure 5.2 Males:  Occupational Change by Status (000s) (SOC 2020), ",N1,", ",Info!B5)</f>
        <v>Occupation Figure 5.2 Males:  Occupational Change by Status (000s) (SOC 2020), 2020-2035, Enterprise M3</v>
      </c>
    </row>
  </sheetData>
  <pageMargins left="0.7" right="0.7" top="0.75" bottom="0.75" header="0.3" footer="0.3"/>
  <pageSetup paperSize="9" scale="76" orientation="portrait" r:id="rId1"/>
  <rowBreaks count="1" manualBreakCount="1">
    <brk id="39" max="9" man="1"/>
  </rowBreak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32"/>
  <dimension ref="A1:G57"/>
  <sheetViews>
    <sheetView showGridLines="0" zoomScale="85" zoomScaleNormal="85" workbookViewId="0"/>
  </sheetViews>
  <sheetFormatPr defaultRowHeight="12.75" x14ac:dyDescent="0.2"/>
  <cols>
    <col min="1" max="1" width="36.7109375" customWidth="1"/>
    <col min="2" max="6" width="11.7109375" customWidth="1"/>
  </cols>
  <sheetData>
    <row r="1" spans="1:7" ht="15.75" x14ac:dyDescent="0.25">
      <c r="A1" s="19" t="str">
        <f>CONCATENATE("Qualification Table 1  Employment by Qualification, ",B$3,"-",F$3,", ",Info!B5,", ",Info!B5)</f>
        <v>Qualification Table 1  Employment by Qualification, 2015-2035, Enterprise M3, Enterprise M3</v>
      </c>
    </row>
    <row r="2" spans="1:7" x14ac:dyDescent="0.2">
      <c r="A2" s="1" t="s">
        <v>522</v>
      </c>
    </row>
    <row r="3" spans="1:7" x14ac:dyDescent="0.2">
      <c r="A3" s="22"/>
      <c r="B3" s="23">
        <f>'Occ T3'!B5</f>
        <v>2015</v>
      </c>
      <c r="C3" s="23">
        <f>'Occ T3'!C5</f>
        <v>2019</v>
      </c>
      <c r="D3" s="23">
        <f>'Occ T3'!D5</f>
        <v>2020</v>
      </c>
      <c r="E3" s="23">
        <f>'Occ T3'!E5</f>
        <v>2025</v>
      </c>
      <c r="F3" s="23">
        <f>'Occ T3'!F5</f>
        <v>2035</v>
      </c>
      <c r="G3" s="10"/>
    </row>
    <row r="4" spans="1:7" x14ac:dyDescent="0.2">
      <c r="A4" s="1" t="s">
        <v>13</v>
      </c>
      <c r="C4" s="10"/>
      <c r="D4" s="10"/>
      <c r="E4" s="10"/>
      <c r="F4" s="10"/>
    </row>
    <row r="5" spans="1:7" x14ac:dyDescent="0.2">
      <c r="A5" t="str">
        <f>name!F4</f>
        <v>RQF8 Doctorate</v>
      </c>
      <c r="B5" s="11">
        <f>HLOOKUP(B$3,'Qual F1'!$M$4:$BW$14,11,FALSE)</f>
        <v>11.931101696696773</v>
      </c>
      <c r="C5" s="11">
        <f>HLOOKUP(C$3,'Qual F1'!$M$4:$BW$14,11,FALSE)</f>
        <v>14.416236960357105</v>
      </c>
      <c r="D5" s="11">
        <f>HLOOKUP(D$3,'Qual F1'!$M$4:$BW$14,11,FALSE)</f>
        <v>15.530347057630051</v>
      </c>
      <c r="E5" s="11">
        <f>HLOOKUP(E$3,'Qual F1'!$M$4:$BW$14,11,FALSE)</f>
        <v>17.917250790315162</v>
      </c>
      <c r="F5" s="11">
        <f>HLOOKUP(F$3,'Qual F1'!$M$4:$BW$14,11,FALSE)</f>
        <v>22.716025092912208</v>
      </c>
      <c r="G5" s="11"/>
    </row>
    <row r="6" spans="1:7" x14ac:dyDescent="0.2">
      <c r="A6" t="str">
        <f>name!F5</f>
        <v>RQF7 Other higher degree</v>
      </c>
      <c r="B6" s="11">
        <f>HLOOKUP(B$3,'Qual F1'!$M$4:$BW$14,10,FALSE)</f>
        <v>85.344949672341116</v>
      </c>
      <c r="C6" s="11">
        <f>HLOOKUP(C$3,'Qual F1'!$M$4:$BW$14,10,FALSE)</f>
        <v>104.16972003141201</v>
      </c>
      <c r="D6" s="11">
        <f>HLOOKUP(D$3,'Qual F1'!$M$4:$BW$14,10,FALSE)</f>
        <v>112.22082333054639</v>
      </c>
      <c r="E6" s="11">
        <f>HLOOKUP(E$3,'Qual F1'!$M$4:$BW$14,10,FALSE)</f>
        <v>130.30734335170911</v>
      </c>
      <c r="F6" s="11">
        <f>HLOOKUP(F$3,'Qual F1'!$M$4:$BW$14,10,FALSE)</f>
        <v>166.1003625353504</v>
      </c>
      <c r="G6" s="11"/>
    </row>
    <row r="7" spans="1:7" x14ac:dyDescent="0.2">
      <c r="A7" t="str">
        <f>name!F6</f>
        <v>RQF6 First degree</v>
      </c>
      <c r="B7" s="11">
        <f>HLOOKUP(B$3,'Qual F1'!$M$4:$BW$14,9,FALSE)</f>
        <v>182.47766837630712</v>
      </c>
      <c r="C7" s="11">
        <f>HLOOKUP(C$3,'Qual F1'!$M$4:$BW$14,9,FALSE)</f>
        <v>199.86492090407953</v>
      </c>
      <c r="D7" s="11">
        <f>HLOOKUP(D$3,'Qual F1'!$M$4:$BW$14,9,FALSE)</f>
        <v>197.82415999570529</v>
      </c>
      <c r="E7" s="11">
        <f>HLOOKUP(E$3,'Qual F1'!$M$4:$BW$14,9,FALSE)</f>
        <v>211.92887378761631</v>
      </c>
      <c r="F7" s="11">
        <f>HLOOKUP(F$3,'Qual F1'!$M$4:$BW$14,9,FALSE)</f>
        <v>242.62905477633512</v>
      </c>
      <c r="G7" s="11"/>
    </row>
    <row r="8" spans="1:7" x14ac:dyDescent="0.2">
      <c r="A8" t="str">
        <f>name!F7</f>
        <v>RQF5 Foundation degree;Nursing;Teaching</v>
      </c>
      <c r="B8" s="11">
        <f>HLOOKUP(B$3,'Qual F1'!$M$4:$BW$14,8,FALSE)</f>
        <v>49.613369511822555</v>
      </c>
      <c r="C8" s="11">
        <f>HLOOKUP(C$3,'Qual F1'!$M$4:$BW$14,8,FALSE)</f>
        <v>51.89792614223925</v>
      </c>
      <c r="D8" s="11">
        <f>HLOOKUP(D$3,'Qual F1'!$M$4:$BW$14,8,FALSE)</f>
        <v>51.553613281971352</v>
      </c>
      <c r="E8" s="11">
        <f>HLOOKUP(E$3,'Qual F1'!$M$4:$BW$14,8,FALSE)</f>
        <v>52.067001713959804</v>
      </c>
      <c r="F8" s="11">
        <f>HLOOKUP(F$3,'Qual F1'!$M$4:$BW$14,8,FALSE)</f>
        <v>58.27968679136648</v>
      </c>
      <c r="G8" s="11"/>
    </row>
    <row r="9" spans="1:7" x14ac:dyDescent="0.2">
      <c r="A9" t="str">
        <f>name!F8</f>
        <v>RQF4 HE below degree level</v>
      </c>
      <c r="B9" s="11">
        <f>HLOOKUP(B$3,'Qual F1'!$M$4:$BW$14,7,FALSE)</f>
        <v>50.119931817120531</v>
      </c>
      <c r="C9" s="11">
        <f>HLOOKUP(C$3,'Qual F1'!$M$4:$BW$14,7,FALSE)</f>
        <v>54.168072164576657</v>
      </c>
      <c r="D9" s="11">
        <f>HLOOKUP(D$3,'Qual F1'!$M$4:$BW$14,7,FALSE)</f>
        <v>54.070509554076139</v>
      </c>
      <c r="E9" s="11">
        <f>HLOOKUP(E$3,'Qual F1'!$M$4:$BW$14,7,FALSE)</f>
        <v>55.774144986221359</v>
      </c>
      <c r="F9" s="11">
        <f>HLOOKUP(F$3,'Qual F1'!$M$4:$BW$14,7,FALSE)</f>
        <v>63.457427221431814</v>
      </c>
      <c r="G9" s="11"/>
    </row>
    <row r="10" spans="1:7" x14ac:dyDescent="0.2">
      <c r="A10" t="str">
        <f>name!F9</f>
        <v>RQF3 A level &amp; equivalent</v>
      </c>
      <c r="B10" s="11">
        <f>HLOOKUP(B$3,'Qual F1'!$M$4:$BW$14,6,FALSE)</f>
        <v>173.17585672265182</v>
      </c>
      <c r="C10" s="11">
        <f>HLOOKUP(C$3,'Qual F1'!$M$4:$BW$14,6,FALSE)</f>
        <v>163.74816219200028</v>
      </c>
      <c r="D10" s="11">
        <f>HLOOKUP(D$3,'Qual F1'!$M$4:$BW$14,6,FALSE)</f>
        <v>170.350236634304</v>
      </c>
      <c r="E10" s="11">
        <f>HLOOKUP(E$3,'Qual F1'!$M$4:$BW$14,6,FALSE)</f>
        <v>167.23951651317205</v>
      </c>
      <c r="F10" s="11">
        <f>HLOOKUP(F$3,'Qual F1'!$M$4:$BW$14,6,FALSE)</f>
        <v>167.1162811845299</v>
      </c>
      <c r="G10" s="11"/>
    </row>
    <row r="11" spans="1:7" x14ac:dyDescent="0.2">
      <c r="A11" t="str">
        <f>name!F10</f>
        <v>RQF2 GCSE(A-C) &amp; equivalent</v>
      </c>
      <c r="B11" s="11">
        <f>HLOOKUP(B$3,'Qual F1'!$M$4:$BW$14,5,FALSE)</f>
        <v>166.00576046874286</v>
      </c>
      <c r="C11" s="11">
        <f>HLOOKUP(C$3,'Qual F1'!$M$4:$BW$14,5,FALSE)</f>
        <v>160.43179252111426</v>
      </c>
      <c r="D11" s="11">
        <f>HLOOKUP(D$3,'Qual F1'!$M$4:$BW$14,5,FALSE)</f>
        <v>146.6854736430119</v>
      </c>
      <c r="E11" s="11">
        <f>HLOOKUP(E$3,'Qual F1'!$M$4:$BW$14,5,FALSE)</f>
        <v>143.71955274225516</v>
      </c>
      <c r="F11" s="11">
        <f>HLOOKUP(F$3,'Qual F1'!$M$4:$BW$14,5,FALSE)</f>
        <v>121.84612463432335</v>
      </c>
      <c r="G11" s="11"/>
    </row>
    <row r="12" spans="1:7" x14ac:dyDescent="0.2">
      <c r="A12" t="str">
        <f>name!F11</f>
        <v>RQF1 GCSE(below grade C) &amp; equivalent</v>
      </c>
      <c r="B12" s="11">
        <f>HLOOKUP(B$3,'Qual F1'!$M$4:$BW$14,4,FALSE)</f>
        <v>114.17181730873848</v>
      </c>
      <c r="C12" s="11">
        <f>HLOOKUP(C$3,'Qual F1'!$M$4:$BW$14,4,FALSE)</f>
        <v>101.7476268814377</v>
      </c>
      <c r="D12" s="11">
        <f>HLOOKUP(D$3,'Qual F1'!$M$4:$BW$14,4,FALSE)</f>
        <v>88.410769366758075</v>
      </c>
      <c r="E12" s="11">
        <f>HLOOKUP(E$3,'Qual F1'!$M$4:$BW$14,4,FALSE)</f>
        <v>83.882776012302671</v>
      </c>
      <c r="F12" s="11">
        <f>HLOOKUP(F$3,'Qual F1'!$M$4:$BW$14,4,FALSE)</f>
        <v>56.934334716619276</v>
      </c>
      <c r="G12" s="11"/>
    </row>
    <row r="13" spans="1:7" x14ac:dyDescent="0.2">
      <c r="A13" t="str">
        <f>name!F12</f>
        <v>No Qualification</v>
      </c>
      <c r="B13" s="11">
        <f>HLOOKUP(B$3,'Qual F1'!$M$4:$BW$14,3,FALSE)</f>
        <v>32.164544425578775</v>
      </c>
      <c r="C13" s="11">
        <f>HLOOKUP(C$3,'Qual F1'!$M$4:$BW$14,3,FALSE)</f>
        <v>32.004542202782993</v>
      </c>
      <c r="D13" s="11">
        <f>HLOOKUP(D$3,'Qual F1'!$M$4:$BW$14,3,FALSE)</f>
        <v>27.994067135996506</v>
      </c>
      <c r="E13" s="11">
        <f>HLOOKUP(E$3,'Qual F1'!$M$4:$BW$14,3,FALSE)</f>
        <v>27.143540102447751</v>
      </c>
      <c r="F13" s="11">
        <f>HLOOKUP(F$3,'Qual F1'!$M$4:$BW$14,3,FALSE)</f>
        <v>26.398703047131281</v>
      </c>
      <c r="G13" s="11"/>
    </row>
    <row r="14" spans="1:7" x14ac:dyDescent="0.2">
      <c r="B14" s="11"/>
      <c r="C14" s="11"/>
      <c r="D14" s="11"/>
      <c r="E14" s="11"/>
      <c r="F14" s="11"/>
      <c r="G14" s="11"/>
    </row>
    <row r="15" spans="1:7" x14ac:dyDescent="0.2">
      <c r="A15" t="str">
        <f>name!F3</f>
        <v>All qualifications</v>
      </c>
      <c r="B15" s="11">
        <f>SUM(B5:B13)</f>
        <v>865.00500000000011</v>
      </c>
      <c r="C15" s="11">
        <f t="shared" ref="C15:F15" si="0">SUM(C5:C13)</f>
        <v>882.44899999999973</v>
      </c>
      <c r="D15" s="11">
        <f t="shared" si="0"/>
        <v>864.63999999999976</v>
      </c>
      <c r="E15" s="11">
        <f t="shared" si="0"/>
        <v>889.97999999999934</v>
      </c>
      <c r="F15" s="11">
        <f t="shared" si="0"/>
        <v>925.47799999999995</v>
      </c>
      <c r="G15" s="11"/>
    </row>
    <row r="16" spans="1:7" x14ac:dyDescent="0.2">
      <c r="B16" s="11"/>
      <c r="C16" s="11"/>
      <c r="D16" s="11"/>
      <c r="E16" s="11"/>
      <c r="F16" s="11"/>
      <c r="G16" s="11"/>
    </row>
    <row r="17" spans="1:7" x14ac:dyDescent="0.2">
      <c r="B17" s="11"/>
      <c r="C17" s="11"/>
      <c r="D17" s="11"/>
      <c r="E17" s="11"/>
      <c r="F17" s="11"/>
      <c r="G17" s="11"/>
    </row>
    <row r="18" spans="1:7" x14ac:dyDescent="0.2">
      <c r="A18" s="1" t="s">
        <v>14</v>
      </c>
      <c r="B18" s="17">
        <f>B$3</f>
        <v>2015</v>
      </c>
      <c r="C18" s="17">
        <f>C$3</f>
        <v>2019</v>
      </c>
      <c r="D18" s="17">
        <f>D$3</f>
        <v>2020</v>
      </c>
      <c r="E18" s="17">
        <f>E$3</f>
        <v>2025</v>
      </c>
      <c r="F18" s="17">
        <f>F$3</f>
        <v>2035</v>
      </c>
      <c r="G18" s="11"/>
    </row>
    <row r="19" spans="1:7" x14ac:dyDescent="0.2">
      <c r="A19" t="str">
        <f>$A5</f>
        <v>RQF8 Doctorate</v>
      </c>
      <c r="B19" s="18">
        <f t="shared" ref="B19:F21" si="1">B5/B$15*100</f>
        <v>1.3793101423340643</v>
      </c>
      <c r="C19" s="18">
        <f t="shared" si="1"/>
        <v>1.6336623374673336</v>
      </c>
      <c r="D19" s="18">
        <f t="shared" si="1"/>
        <v>1.7961633810175397</v>
      </c>
      <c r="E19" s="18">
        <f t="shared" si="1"/>
        <v>2.0132194869901769</v>
      </c>
      <c r="F19" s="18">
        <f t="shared" si="1"/>
        <v>2.4545181077143066</v>
      </c>
      <c r="G19" s="11"/>
    </row>
    <row r="20" spans="1:7" x14ac:dyDescent="0.2">
      <c r="A20" t="str">
        <f>$A6</f>
        <v>RQF7 Other higher degree</v>
      </c>
      <c r="B20" s="18">
        <f t="shared" si="1"/>
        <v>9.8664111389345841</v>
      </c>
      <c r="C20" s="18">
        <f t="shared" si="1"/>
        <v>11.804616474313196</v>
      </c>
      <c r="D20" s="18">
        <f t="shared" si="1"/>
        <v>12.978907213469935</v>
      </c>
      <c r="E20" s="18">
        <f t="shared" si="1"/>
        <v>14.641603558698982</v>
      </c>
      <c r="F20" s="18">
        <f t="shared" si="1"/>
        <v>17.947521446792944</v>
      </c>
      <c r="G20" s="11"/>
    </row>
    <row r="21" spans="1:7" x14ac:dyDescent="0.2">
      <c r="A21" t="str">
        <f>$A7</f>
        <v>RQF6 First degree</v>
      </c>
      <c r="B21" s="18">
        <f t="shared" si="1"/>
        <v>21.095562265687146</v>
      </c>
      <c r="C21" s="18">
        <f t="shared" si="1"/>
        <v>22.648891993087371</v>
      </c>
      <c r="D21" s="18">
        <f t="shared" si="1"/>
        <v>22.879367134958521</v>
      </c>
      <c r="E21" s="18">
        <f t="shared" si="1"/>
        <v>23.81276812822945</v>
      </c>
      <c r="F21" s="18">
        <f t="shared" si="1"/>
        <v>26.216620468161871</v>
      </c>
      <c r="G21" s="11"/>
    </row>
    <row r="22" spans="1:7" x14ac:dyDescent="0.2">
      <c r="A22" t="str">
        <f t="shared" ref="A22:A27" si="2">$A8</f>
        <v>RQF5 Foundation degree;Nursing;Teaching</v>
      </c>
      <c r="B22" s="18">
        <f t="shared" ref="B22:F22" si="3">B8/B$15*100</f>
        <v>5.7356165006933546</v>
      </c>
      <c r="C22" s="18">
        <f t="shared" si="3"/>
        <v>5.8811247043443036</v>
      </c>
      <c r="D22" s="18">
        <f t="shared" si="3"/>
        <v>5.9624367692879545</v>
      </c>
      <c r="E22" s="18">
        <f t="shared" si="3"/>
        <v>5.8503563803635856</v>
      </c>
      <c r="F22" s="18">
        <f t="shared" si="3"/>
        <v>6.2972525323526307</v>
      </c>
      <c r="G22" s="11"/>
    </row>
    <row r="23" spans="1:7" x14ac:dyDescent="0.2">
      <c r="A23" t="str">
        <f t="shared" si="2"/>
        <v>RQF4 HE below degree level</v>
      </c>
      <c r="B23" s="18">
        <f t="shared" ref="B23:F23" si="4">B9/B$15*100</f>
        <v>5.7941782784053872</v>
      </c>
      <c r="C23" s="18">
        <f t="shared" si="4"/>
        <v>6.138379913692086</v>
      </c>
      <c r="D23" s="18">
        <f t="shared" si="4"/>
        <v>6.2535285846220576</v>
      </c>
      <c r="E23" s="18">
        <f t="shared" si="4"/>
        <v>6.2668986928044905</v>
      </c>
      <c r="F23" s="18">
        <f t="shared" si="4"/>
        <v>6.8567191463688832</v>
      </c>
      <c r="G23" s="11"/>
    </row>
    <row r="24" spans="1:7" x14ac:dyDescent="0.2">
      <c r="A24" t="str">
        <f t="shared" si="2"/>
        <v>RQF3 A level &amp; equivalent</v>
      </c>
      <c r="B24" s="18">
        <f t="shared" ref="B24:F24" si="5">B10/B$15*100</f>
        <v>20.020214533170535</v>
      </c>
      <c r="C24" s="18">
        <f t="shared" si="5"/>
        <v>18.556104907139147</v>
      </c>
      <c r="D24" s="18">
        <f t="shared" si="5"/>
        <v>19.70186859667654</v>
      </c>
      <c r="E24" s="18">
        <f t="shared" si="5"/>
        <v>18.791379189776418</v>
      </c>
      <c r="F24" s="18">
        <f t="shared" si="5"/>
        <v>18.057293764360676</v>
      </c>
      <c r="G24" s="11"/>
    </row>
    <row r="25" spans="1:7" x14ac:dyDescent="0.2">
      <c r="A25" t="str">
        <f t="shared" si="2"/>
        <v>RQF2 GCSE(A-C) &amp; equivalent</v>
      </c>
      <c r="B25" s="18">
        <f t="shared" ref="B25:F25" si="6">B11/B$15*100</f>
        <v>19.191306462823089</v>
      </c>
      <c r="C25" s="18">
        <f t="shared" si="6"/>
        <v>18.180290591423905</v>
      </c>
      <c r="D25" s="18">
        <f t="shared" si="6"/>
        <v>16.964918768853156</v>
      </c>
      <c r="E25" s="18">
        <f t="shared" si="6"/>
        <v>16.148627243562245</v>
      </c>
      <c r="F25" s="18">
        <f t="shared" si="6"/>
        <v>13.165750523980401</v>
      </c>
      <c r="G25" s="11"/>
    </row>
    <row r="26" spans="1:7" x14ac:dyDescent="0.2">
      <c r="A26" t="str">
        <f t="shared" si="2"/>
        <v>RQF1 GCSE(below grade C) &amp; equivalent</v>
      </c>
      <c r="B26" s="18">
        <f t="shared" ref="B26:F26" si="7">B12/B$15*100</f>
        <v>13.198977729462658</v>
      </c>
      <c r="C26" s="18">
        <f>C12/C$15*100</f>
        <v>11.530142465053247</v>
      </c>
      <c r="D26" s="18">
        <f t="shared" si="7"/>
        <v>10.225153748005887</v>
      </c>
      <c r="E26" s="18">
        <f t="shared" si="7"/>
        <v>9.4252428158276302</v>
      </c>
      <c r="F26" s="18">
        <f t="shared" si="7"/>
        <v>6.1518841848881634</v>
      </c>
      <c r="G26" s="11"/>
    </row>
    <row r="27" spans="1:7" x14ac:dyDescent="0.2">
      <c r="A27" t="str">
        <f t="shared" si="2"/>
        <v>No Qualification</v>
      </c>
      <c r="B27" s="18">
        <f t="shared" ref="B27:F27" si="8">B13/B$15*100</f>
        <v>3.7184229484891729</v>
      </c>
      <c r="C27" s="18">
        <f>C13/C$15*100</f>
        <v>3.6267866134794193</v>
      </c>
      <c r="D27" s="18">
        <f t="shared" si="8"/>
        <v>3.2376558031084053</v>
      </c>
      <c r="E27" s="18">
        <f t="shared" si="8"/>
        <v>3.0499045037470247</v>
      </c>
      <c r="F27" s="18">
        <f t="shared" si="8"/>
        <v>2.8524398253801047</v>
      </c>
      <c r="G27" s="11"/>
    </row>
    <row r="28" spans="1:7" x14ac:dyDescent="0.2">
      <c r="B28" s="18"/>
      <c r="C28" s="18"/>
      <c r="D28" s="18"/>
      <c r="E28" s="18"/>
      <c r="F28" s="18"/>
      <c r="G28" s="11"/>
    </row>
    <row r="29" spans="1:7" x14ac:dyDescent="0.2">
      <c r="A29" t="str">
        <f>$A15</f>
        <v>All qualifications</v>
      </c>
      <c r="B29" s="18">
        <f>B15/B$15*100</f>
        <v>100</v>
      </c>
      <c r="C29" s="18">
        <f>C15/C$15*100</f>
        <v>100</v>
      </c>
      <c r="D29" s="18">
        <f>D15/D$15*100</f>
        <v>100</v>
      </c>
      <c r="E29" s="18">
        <f>E15/E$15*100</f>
        <v>100</v>
      </c>
      <c r="F29" s="18">
        <f>F15/F$15*100</f>
        <v>100</v>
      </c>
      <c r="G29" s="11"/>
    </row>
    <row r="30" spans="1:7" x14ac:dyDescent="0.2">
      <c r="B30" s="18"/>
      <c r="C30" s="18"/>
      <c r="D30" s="18"/>
      <c r="E30" s="18"/>
      <c r="F30" s="18"/>
      <c r="G30" s="11"/>
    </row>
    <row r="32" spans="1:7" x14ac:dyDescent="0.2">
      <c r="A32" s="1" t="s">
        <v>15</v>
      </c>
      <c r="B32" s="20" t="str">
        <f>CONCATENATE(B$3,"-",C$3)</f>
        <v>2015-2019</v>
      </c>
      <c r="C32" s="20" t="str">
        <f>CONCATENATE(C$3,"-",D$3)</f>
        <v>2019-2020</v>
      </c>
      <c r="D32" s="20" t="str">
        <f>CONCATENATE(D$3,"-",E$3)</f>
        <v>2020-2025</v>
      </c>
      <c r="E32" s="20" t="str">
        <f>CONCATENATE(E$3,"-",F$3)</f>
        <v>2025-2035</v>
      </c>
      <c r="F32" s="20" t="str">
        <f>CONCATENATE(D$3,"-",F$3)</f>
        <v>2020-2035</v>
      </c>
    </row>
    <row r="33" spans="1:6" x14ac:dyDescent="0.2">
      <c r="A33" t="str">
        <f>$A19</f>
        <v>RQF8 Doctorate</v>
      </c>
      <c r="B33" s="18">
        <f t="shared" ref="B33:E35" si="9">IF(C$3-B$3 &lt;&gt; 0,(EXP(LN(C5/B5)/(C$3-B$3))-1)*100,0)</f>
        <v>4.8438212146735715</v>
      </c>
      <c r="C33" s="18">
        <f t="shared" si="9"/>
        <v>7.7281616578349199</v>
      </c>
      <c r="D33" s="18">
        <f t="shared" si="9"/>
        <v>2.9006320410387421</v>
      </c>
      <c r="E33" s="18">
        <f t="shared" si="9"/>
        <v>2.4014477457255268</v>
      </c>
      <c r="F33" s="18">
        <f>IF(F$3-D$3 &lt;&gt; 0,(EXP(LN(F5/D5)/(F$3-D$3))-1)*100,0)</f>
        <v>2.5675728615380367</v>
      </c>
    </row>
    <row r="34" spans="1:6" x14ac:dyDescent="0.2">
      <c r="A34" t="str">
        <f>$A20</f>
        <v>RQF7 Other higher degree</v>
      </c>
      <c r="B34" s="18">
        <f t="shared" si="9"/>
        <v>5.1092452464835958</v>
      </c>
      <c r="C34" s="18">
        <f t="shared" si="9"/>
        <v>7.7288326172966659</v>
      </c>
      <c r="D34" s="18">
        <f t="shared" si="9"/>
        <v>3.0336506836810218</v>
      </c>
      <c r="E34" s="18">
        <f t="shared" si="9"/>
        <v>2.4566540615686083</v>
      </c>
      <c r="F34" s="18">
        <f t="shared" ref="F34:F43" si="10">IF(F$3-D$3 &lt;&gt; 0,(EXP(LN(F6/D6)/(F$3-D$3))-1)*100,0)</f>
        <v>2.6486263472136562</v>
      </c>
    </row>
    <row r="35" spans="1:6" x14ac:dyDescent="0.2">
      <c r="A35" t="str">
        <f>$A21</f>
        <v>RQF6 First degree</v>
      </c>
      <c r="B35" s="18">
        <f t="shared" si="9"/>
        <v>2.3014320702356983</v>
      </c>
      <c r="C35" s="18">
        <f t="shared" si="9"/>
        <v>-1.0210700803037098</v>
      </c>
      <c r="D35" s="18">
        <f t="shared" si="9"/>
        <v>1.3869736998255444</v>
      </c>
      <c r="E35" s="18">
        <f t="shared" si="9"/>
        <v>1.3620225154231891</v>
      </c>
      <c r="F35" s="18">
        <f t="shared" si="10"/>
        <v>1.3703388945438322</v>
      </c>
    </row>
    <row r="36" spans="1:6" x14ac:dyDescent="0.2">
      <c r="A36" t="str">
        <f t="shared" ref="A36:A41" si="11">$A22</f>
        <v>RQF5 Foundation degree;Nursing;Teaching</v>
      </c>
      <c r="B36" s="18">
        <f>IF(C$3-B$3 &lt;&gt; 0,(EXP(LN(C8/B8)/(C$3-B$3))-1)*100,0)</f>
        <v>1.1318193179302938</v>
      </c>
      <c r="C36" s="18">
        <f t="shared" ref="C36:E36" si="12">IF(D$3-C$3 &lt;&gt; 0,(EXP(LN(D8/C8)/(D$3-C$3))-1)*100,0)</f>
        <v>-0.66344242605036463</v>
      </c>
      <c r="D36" s="18">
        <f t="shared" si="12"/>
        <v>0.19837816791534735</v>
      </c>
      <c r="E36" s="18">
        <f t="shared" si="12"/>
        <v>1.1335993228636765</v>
      </c>
      <c r="F36" s="18">
        <f t="shared" si="10"/>
        <v>0.82089304292789489</v>
      </c>
    </row>
    <row r="37" spans="1:6" x14ac:dyDescent="0.2">
      <c r="A37" t="str">
        <f t="shared" si="11"/>
        <v>RQF4 HE below degree level</v>
      </c>
      <c r="B37" s="18">
        <f t="shared" ref="B37:E37" si="13">IF(C$3-B$3 &lt;&gt; 0,(EXP(LN(C9/B9)/(C$3-B$3))-1)*100,0)</f>
        <v>1.9607982659399781</v>
      </c>
      <c r="C37" s="18">
        <f t="shared" si="13"/>
        <v>-0.18011091516068056</v>
      </c>
      <c r="D37" s="18">
        <f t="shared" si="13"/>
        <v>0.6223583151274692</v>
      </c>
      <c r="E37" s="18">
        <f t="shared" si="13"/>
        <v>1.2989523651361745</v>
      </c>
      <c r="F37" s="18">
        <f t="shared" si="10"/>
        <v>1.0729170220172168</v>
      </c>
    </row>
    <row r="38" spans="1:6" x14ac:dyDescent="0.2">
      <c r="A38" t="str">
        <f t="shared" si="11"/>
        <v>RQF3 A level &amp; equivalent</v>
      </c>
      <c r="B38" s="18">
        <f t="shared" ref="B38:E38" si="14">IF(C$3-B$3 &lt;&gt; 0,(EXP(LN(C10/B10)/(C$3-B$3))-1)*100,0)</f>
        <v>-1.3897017356892416</v>
      </c>
      <c r="C38" s="18">
        <f t="shared" si="14"/>
        <v>4.0318464365801887</v>
      </c>
      <c r="D38" s="18">
        <f t="shared" si="14"/>
        <v>-0.36791189367830768</v>
      </c>
      <c r="E38" s="18">
        <f t="shared" si="14"/>
        <v>-7.3712370493361767E-3</v>
      </c>
      <c r="F38" s="18">
        <f t="shared" si="10"/>
        <v>-0.12769618946256722</v>
      </c>
    </row>
    <row r="39" spans="1:6" x14ac:dyDescent="0.2">
      <c r="A39" t="str">
        <f t="shared" si="11"/>
        <v>RQF2 GCSE(A-C) &amp; equivalent</v>
      </c>
      <c r="B39" s="18">
        <f t="shared" ref="B39:E39" si="15">IF(C$3-B$3 &lt;&gt; 0,(EXP(LN(C11/B11)/(C$3-B$3))-1)*100,0)</f>
        <v>-0.85020528378378923</v>
      </c>
      <c r="C39" s="18">
        <f t="shared" si="15"/>
        <v>-8.5683259297207108</v>
      </c>
      <c r="D39" s="18">
        <f t="shared" si="15"/>
        <v>-0.40770280969588679</v>
      </c>
      <c r="E39" s="18">
        <f t="shared" si="15"/>
        <v>-1.63749364375253</v>
      </c>
      <c r="F39" s="18">
        <f t="shared" si="10"/>
        <v>-1.2292600006514554</v>
      </c>
    </row>
    <row r="40" spans="1:6" x14ac:dyDescent="0.2">
      <c r="A40" t="str">
        <f t="shared" si="11"/>
        <v>RQF1 GCSE(below grade C) &amp; equivalent</v>
      </c>
      <c r="B40" s="18">
        <f t="shared" ref="B40:E40" si="16">IF(C$3-B$3 &lt;&gt; 0,(EXP(LN(C12/B12)/(C$3-B$3))-1)*100,0)</f>
        <v>-2.8391414587461639</v>
      </c>
      <c r="C40" s="18">
        <f t="shared" si="16"/>
        <v>-13.1077823861391</v>
      </c>
      <c r="D40" s="18">
        <f t="shared" si="16"/>
        <v>-1.0459611231473764</v>
      </c>
      <c r="E40" s="18">
        <f t="shared" si="16"/>
        <v>-3.8010912494278348</v>
      </c>
      <c r="F40" s="18">
        <f t="shared" si="10"/>
        <v>-2.8913450657021111</v>
      </c>
    </row>
    <row r="41" spans="1:6" x14ac:dyDescent="0.2">
      <c r="A41" t="str">
        <f t="shared" si="11"/>
        <v>No Qualification</v>
      </c>
      <c r="B41" s="18">
        <f t="shared" ref="B41:E41" si="17">IF(C$3-B$3 &lt;&gt; 0,(EXP(LN(C13/B13)/(C$3-B$3))-1)*100,0)</f>
        <v>-0.1245949292292603</v>
      </c>
      <c r="C41" s="18">
        <f t="shared" si="17"/>
        <v>-12.53095589174762</v>
      </c>
      <c r="D41" s="18">
        <f t="shared" si="17"/>
        <v>-0.61517033656580677</v>
      </c>
      <c r="E41" s="18">
        <f t="shared" si="17"/>
        <v>-0.27785529079473736</v>
      </c>
      <c r="F41" s="18">
        <f t="shared" si="10"/>
        <v>-0.39042065423686712</v>
      </c>
    </row>
    <row r="42" spans="1:6" x14ac:dyDescent="0.2">
      <c r="B42" s="18"/>
      <c r="C42" s="18"/>
      <c r="D42" s="18"/>
      <c r="E42" s="18"/>
      <c r="F42" s="18"/>
    </row>
    <row r="43" spans="1:6" x14ac:dyDescent="0.2">
      <c r="A43" t="str">
        <f>$A29</f>
        <v>All qualifications</v>
      </c>
      <c r="B43" s="18">
        <f>IF(C$3-B$3 &lt;&gt; 0,(EXP(LN(C15/B15)/(C$3-B$3))-1)*100,0)</f>
        <v>0.50039053026920133</v>
      </c>
      <c r="C43" s="18">
        <f t="shared" ref="C43" si="18">IF(D$3-C$3 &lt;&gt; 0,(EXP(LN(D15/C15)/(D$3-C$3))-1)*100,0)</f>
        <v>-2.0181336258525917</v>
      </c>
      <c r="D43" s="18">
        <f>IF(E$3-D$3 &lt;&gt; 0,(EXP(LN(E15/D15)/(E$3-D$3))-1)*100,0)</f>
        <v>0.57938709657918697</v>
      </c>
      <c r="E43" s="18">
        <f>IF(F$3-E$3 &lt;&gt; 0,(EXP(LN(F15/E15)/(F$3-E$3))-1)*100,0)</f>
        <v>0.39187955008854747</v>
      </c>
      <c r="F43" s="18">
        <f t="shared" si="10"/>
        <v>0.45434319276140833</v>
      </c>
    </row>
    <row r="44" spans="1:6" x14ac:dyDescent="0.2">
      <c r="B44" s="18"/>
      <c r="C44" s="18"/>
      <c r="D44" s="18"/>
      <c r="E44" s="18"/>
      <c r="F44" s="18"/>
    </row>
    <row r="46" spans="1:6" x14ac:dyDescent="0.2">
      <c r="A46" s="1" t="s">
        <v>16</v>
      </c>
      <c r="B46" s="20" t="str">
        <f>CONCATENATE(B$3,"-",C$3)</f>
        <v>2015-2019</v>
      </c>
      <c r="C46" s="20" t="str">
        <f>CONCATENATE(C$3,"-",D$3)</f>
        <v>2019-2020</v>
      </c>
      <c r="D46" s="20" t="str">
        <f>CONCATENATE(D$3,"-",E$3)</f>
        <v>2020-2025</v>
      </c>
      <c r="E46" s="20" t="str">
        <f>CONCATENATE(E$3,"-",F$3)</f>
        <v>2025-2035</v>
      </c>
      <c r="F46" s="20" t="str">
        <f>CONCATENATE(D$3,"-",F$3)</f>
        <v>2020-2035</v>
      </c>
    </row>
    <row r="47" spans="1:6" x14ac:dyDescent="0.2">
      <c r="A47" t="str">
        <f>$A33</f>
        <v>RQF8 Doctorate</v>
      </c>
      <c r="B47" s="27">
        <f>C5-B5</f>
        <v>2.4851352636603323</v>
      </c>
      <c r="C47" s="27">
        <f>D5-C5</f>
        <v>1.1141100972729454</v>
      </c>
      <c r="D47" s="27">
        <f>E5-D5</f>
        <v>2.386903732685111</v>
      </c>
      <c r="E47" s="27">
        <f>F5-E5</f>
        <v>4.798774302597046</v>
      </c>
      <c r="F47" s="27">
        <f>F5-D5</f>
        <v>7.185678035282157</v>
      </c>
    </row>
    <row r="48" spans="1:6" x14ac:dyDescent="0.2">
      <c r="A48" t="str">
        <f t="shared" ref="A48:A55" si="19">$A34</f>
        <v>RQF7 Other higher degree</v>
      </c>
      <c r="B48" s="27">
        <f t="shared" ref="B48:E48" si="20">C6-B6</f>
        <v>18.824770359070897</v>
      </c>
      <c r="C48" s="27">
        <f t="shared" si="20"/>
        <v>8.0511032991343825</v>
      </c>
      <c r="D48" s="27">
        <f t="shared" si="20"/>
        <v>18.086520021162713</v>
      </c>
      <c r="E48" s="27">
        <f t="shared" si="20"/>
        <v>35.793019183641292</v>
      </c>
      <c r="F48" s="27">
        <f t="shared" ref="F48:F57" si="21">F6-D6</f>
        <v>53.879539204804004</v>
      </c>
    </row>
    <row r="49" spans="1:6" x14ac:dyDescent="0.2">
      <c r="A49" t="str">
        <f t="shared" si="19"/>
        <v>RQF6 First degree</v>
      </c>
      <c r="B49" s="27">
        <f t="shared" ref="B49:E49" si="22">C7-B7</f>
        <v>17.387252527772404</v>
      </c>
      <c r="C49" s="27">
        <f t="shared" si="22"/>
        <v>-2.0407609083742386</v>
      </c>
      <c r="D49" s="27">
        <f t="shared" si="22"/>
        <v>14.104713791911024</v>
      </c>
      <c r="E49" s="27">
        <f t="shared" si="22"/>
        <v>30.700180988718813</v>
      </c>
      <c r="F49" s="27">
        <f t="shared" si="21"/>
        <v>44.804894780629837</v>
      </c>
    </row>
    <row r="50" spans="1:6" x14ac:dyDescent="0.2">
      <c r="A50" t="str">
        <f t="shared" si="19"/>
        <v>RQF5 Foundation degree;Nursing;Teaching</v>
      </c>
      <c r="B50" s="27">
        <f t="shared" ref="B50:E50" si="23">C8-B8</f>
        <v>2.2845566304166951</v>
      </c>
      <c r="C50" s="27">
        <f t="shared" si="23"/>
        <v>-0.3443128602678982</v>
      </c>
      <c r="D50" s="27">
        <f t="shared" si="23"/>
        <v>0.51338843198845296</v>
      </c>
      <c r="E50" s="27">
        <f t="shared" si="23"/>
        <v>6.2126850774066753</v>
      </c>
      <c r="F50" s="27">
        <f t="shared" si="21"/>
        <v>6.7260735093951283</v>
      </c>
    </row>
    <row r="51" spans="1:6" x14ac:dyDescent="0.2">
      <c r="A51" t="str">
        <f t="shared" si="19"/>
        <v>RQF4 HE below degree level</v>
      </c>
      <c r="B51" s="27">
        <f t="shared" ref="B51:E51" si="24">C9-B9</f>
        <v>4.0481403474561262</v>
      </c>
      <c r="C51" s="27">
        <f t="shared" si="24"/>
        <v>-9.7562610500517621E-2</v>
      </c>
      <c r="D51" s="27">
        <f t="shared" si="24"/>
        <v>1.7036354321452194</v>
      </c>
      <c r="E51" s="27">
        <f t="shared" si="24"/>
        <v>7.6832822352104557</v>
      </c>
      <c r="F51" s="27">
        <f t="shared" si="21"/>
        <v>9.3869176673556751</v>
      </c>
    </row>
    <row r="52" spans="1:6" x14ac:dyDescent="0.2">
      <c r="A52" t="str">
        <f t="shared" si="19"/>
        <v>RQF3 A level &amp; equivalent</v>
      </c>
      <c r="B52" s="27">
        <f t="shared" ref="B52:E52" si="25">C10-B10</f>
        <v>-9.4276945306515358</v>
      </c>
      <c r="C52" s="27">
        <f t="shared" si="25"/>
        <v>6.6020744423037172</v>
      </c>
      <c r="D52" s="27">
        <f t="shared" si="25"/>
        <v>-3.1107201211319477</v>
      </c>
      <c r="E52" s="27">
        <f t="shared" si="25"/>
        <v>-0.12323532864215281</v>
      </c>
      <c r="F52" s="27">
        <f t="shared" si="21"/>
        <v>-3.2339554497741005</v>
      </c>
    </row>
    <row r="53" spans="1:6" x14ac:dyDescent="0.2">
      <c r="A53" t="str">
        <f t="shared" si="19"/>
        <v>RQF2 GCSE(A-C) &amp; equivalent</v>
      </c>
      <c r="B53" s="27">
        <f t="shared" ref="B53:E53" si="26">C11-B11</f>
        <v>-5.5739679476286028</v>
      </c>
      <c r="C53" s="27">
        <f>D11-C11</f>
        <v>-13.746318878102358</v>
      </c>
      <c r="D53" s="27">
        <f t="shared" si="26"/>
        <v>-2.9659209007567426</v>
      </c>
      <c r="E53" s="27">
        <f t="shared" si="26"/>
        <v>-21.873428107931815</v>
      </c>
      <c r="F53" s="27">
        <f t="shared" si="21"/>
        <v>-24.839349008688558</v>
      </c>
    </row>
    <row r="54" spans="1:6" x14ac:dyDescent="0.2">
      <c r="A54" t="str">
        <f t="shared" si="19"/>
        <v>RQF1 GCSE(below grade C) &amp; equivalent</v>
      </c>
      <c r="B54" s="27">
        <f t="shared" ref="B54:E54" si="27">C12-B12</f>
        <v>-12.424190427300786</v>
      </c>
      <c r="C54" s="27">
        <f t="shared" si="27"/>
        <v>-13.336857514679622</v>
      </c>
      <c r="D54" s="27">
        <f t="shared" si="27"/>
        <v>-4.5279933544554041</v>
      </c>
      <c r="E54" s="27">
        <f t="shared" si="27"/>
        <v>-26.948441295683395</v>
      </c>
      <c r="F54" s="27">
        <f t="shared" si="21"/>
        <v>-31.476434650138799</v>
      </c>
    </row>
    <row r="55" spans="1:6" x14ac:dyDescent="0.2">
      <c r="A55" t="str">
        <f t="shared" si="19"/>
        <v>No Qualification</v>
      </c>
      <c r="B55" s="27">
        <f t="shared" ref="B55:E55" si="28">C13-B13</f>
        <v>-0.16000222279578225</v>
      </c>
      <c r="C55" s="27">
        <f t="shared" si="28"/>
        <v>-4.010475066786487</v>
      </c>
      <c r="D55" s="27">
        <f t="shared" si="28"/>
        <v>-0.85052703354875447</v>
      </c>
      <c r="E55" s="27">
        <f t="shared" si="28"/>
        <v>-0.74483705531647004</v>
      </c>
      <c r="F55" s="27">
        <f t="shared" si="21"/>
        <v>-1.5953640888652245</v>
      </c>
    </row>
    <row r="56" spans="1:6" x14ac:dyDescent="0.2">
      <c r="B56" s="21"/>
      <c r="C56" s="27"/>
      <c r="D56" s="21"/>
      <c r="E56" s="21"/>
      <c r="F56" s="27"/>
    </row>
    <row r="57" spans="1:6" x14ac:dyDescent="0.2">
      <c r="A57" s="24" t="str">
        <f>$A43</f>
        <v>All qualifications</v>
      </c>
      <c r="B57" s="29">
        <f>C15-B15</f>
        <v>17.443999999999619</v>
      </c>
      <c r="C57" s="29">
        <f t="shared" ref="C57" si="29">D15-C15</f>
        <v>-17.808999999999969</v>
      </c>
      <c r="D57" s="29">
        <f>E15-D15</f>
        <v>25.339999999999577</v>
      </c>
      <c r="E57" s="29">
        <f>F15-E15</f>
        <v>35.498000000000616</v>
      </c>
      <c r="F57" s="29">
        <f t="shared" si="21"/>
        <v>60.838000000000193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2" orientation="portrait" r:id="rId1"/>
  <headerFooter alignWithMargins="0"/>
  <ignoredErrors>
    <ignoredError sqref="C44:C45" 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4"/>
  <dimension ref="A1:BP52"/>
  <sheetViews>
    <sheetView zoomScale="75" zoomScaleNormal="75" workbookViewId="0"/>
  </sheetViews>
  <sheetFormatPr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27.140625" customWidth="1"/>
    <col min="13" max="33" width="7.7109375" customWidth="1"/>
    <col min="34" max="37" width="6.42578125" customWidth="1"/>
    <col min="38" max="38" width="7.140625" customWidth="1"/>
    <col min="39" max="68" width="6.28515625" customWidth="1"/>
  </cols>
  <sheetData>
    <row r="1" spans="1:68" ht="15.75" x14ac:dyDescent="0.25">
      <c r="A1" s="80" t="str">
        <f>CONCATENATE("Qualification Figure 1  Employment by Qualification, ",$M$2,"-",$O$2,", ",Info!B5)</f>
        <v>Qualification Figure 1  Employment by Qualification, 2010-2035, Enterprise M3</v>
      </c>
      <c r="H1"/>
      <c r="L1" s="46"/>
    </row>
    <row r="2" spans="1:68" x14ac:dyDescent="0.2">
      <c r="A2" s="1" t="s">
        <v>522</v>
      </c>
      <c r="L2" s="16" t="s">
        <v>29</v>
      </c>
      <c r="M2" s="48">
        <f>M4</f>
        <v>2010</v>
      </c>
      <c r="N2" s="47" t="s">
        <v>28</v>
      </c>
      <c r="O2" s="48">
        <f>MAX(M4:BM4)</f>
        <v>2035</v>
      </c>
    </row>
    <row r="3" spans="1:68" x14ac:dyDescent="0.2">
      <c r="L3" s="16"/>
      <c r="M3" s="16"/>
      <c r="N3" s="47"/>
      <c r="O3" s="16"/>
    </row>
    <row r="4" spans="1:68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</row>
    <row r="5" spans="1:68" x14ac:dyDescent="0.2">
      <c r="L5" s="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</row>
    <row r="6" spans="1:68" x14ac:dyDescent="0.2">
      <c r="L6" s="232" t="str">
        <f>name!F12</f>
        <v>No Qualification</v>
      </c>
      <c r="M6" s="11">
        <v>43.358768602199838</v>
      </c>
      <c r="N6" s="11">
        <v>40.289414506967894</v>
      </c>
      <c r="O6" s="11">
        <v>33.1771553839584</v>
      </c>
      <c r="P6" s="11">
        <v>34.814005412961258</v>
      </c>
      <c r="Q6" s="11">
        <v>26.30518582709151</v>
      </c>
      <c r="R6" s="11">
        <v>32.164544425578775</v>
      </c>
      <c r="S6" s="11">
        <v>29.781526797632942</v>
      </c>
      <c r="T6" s="11">
        <v>30.203328172834034</v>
      </c>
      <c r="U6" s="11">
        <v>29.074885190141018</v>
      </c>
      <c r="V6" s="11">
        <v>32.004542202782993</v>
      </c>
      <c r="W6" s="11">
        <v>27.994067135996506</v>
      </c>
      <c r="X6" s="11">
        <v>31.512096577567611</v>
      </c>
      <c r="Y6" s="11">
        <v>28.3037393077602</v>
      </c>
      <c r="Z6" s="11">
        <v>27.754687872340213</v>
      </c>
      <c r="AA6" s="11">
        <v>27.116777893025869</v>
      </c>
      <c r="AB6" s="11">
        <v>27.143540102447751</v>
      </c>
      <c r="AC6" s="11">
        <v>27.270442449108803</v>
      </c>
      <c r="AD6" s="11">
        <v>27.293086491830771</v>
      </c>
      <c r="AE6" s="11">
        <v>27.187623267733152</v>
      </c>
      <c r="AF6" s="11">
        <v>27.041971198606287</v>
      </c>
      <c r="AG6" s="11">
        <v>26.861009341317327</v>
      </c>
      <c r="AH6" s="11">
        <v>26.636429431680899</v>
      </c>
      <c r="AI6" s="11">
        <v>26.369370155819286</v>
      </c>
      <c r="AJ6" s="11">
        <v>26.067703914338722</v>
      </c>
      <c r="AK6" s="11">
        <v>25.787162205153081</v>
      </c>
      <c r="AL6" s="11">
        <v>26.398703047131281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</row>
    <row r="7" spans="1:68" x14ac:dyDescent="0.2">
      <c r="L7" s="232" t="str">
        <f>name!F11</f>
        <v>RQF1 GCSE(below grade C) &amp; equivalent</v>
      </c>
      <c r="M7" s="11">
        <v>121.62531576430078</v>
      </c>
      <c r="N7" s="11">
        <v>119.76283325415541</v>
      </c>
      <c r="O7" s="11">
        <v>116.17173857638035</v>
      </c>
      <c r="P7" s="11">
        <v>109.85600869332593</v>
      </c>
      <c r="Q7" s="11">
        <v>110.42482798929967</v>
      </c>
      <c r="R7" s="11">
        <v>114.17181730873848</v>
      </c>
      <c r="S7" s="11">
        <v>114.02661261068872</v>
      </c>
      <c r="T7" s="11">
        <v>103.84115040464117</v>
      </c>
      <c r="U7" s="11">
        <v>102.84789554998817</v>
      </c>
      <c r="V7" s="11">
        <v>101.7476268814377</v>
      </c>
      <c r="W7" s="11">
        <v>88.410769366758075</v>
      </c>
      <c r="X7" s="11">
        <v>96.63595203268568</v>
      </c>
      <c r="Y7" s="11">
        <v>90.867656083472284</v>
      </c>
      <c r="Z7" s="11">
        <v>88.655723460328062</v>
      </c>
      <c r="AA7" s="11">
        <v>86.450089683716371</v>
      </c>
      <c r="AB7" s="11">
        <v>83.882776012302671</v>
      </c>
      <c r="AC7" s="11">
        <v>81.212515561235136</v>
      </c>
      <c r="AD7" s="11">
        <v>78.502364886181013</v>
      </c>
      <c r="AE7" s="11">
        <v>75.814611050513065</v>
      </c>
      <c r="AF7" s="11">
        <v>73.135291680129043</v>
      </c>
      <c r="AG7" s="11">
        <v>70.488760671421801</v>
      </c>
      <c r="AH7" s="11">
        <v>67.827395297775581</v>
      </c>
      <c r="AI7" s="11">
        <v>65.140101701352194</v>
      </c>
      <c r="AJ7" s="11">
        <v>62.446105273768701</v>
      </c>
      <c r="AK7" s="11">
        <v>59.739078547191262</v>
      </c>
      <c r="AL7" s="11">
        <v>56.934334716619276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</row>
    <row r="8" spans="1:68" x14ac:dyDescent="0.2">
      <c r="L8" s="232" t="str">
        <f>name!F10</f>
        <v>RQF2 GCSE(A-C) &amp; equivalent</v>
      </c>
      <c r="M8" s="11">
        <v>161.99564523264576</v>
      </c>
      <c r="N8" s="11">
        <v>166.45885145393186</v>
      </c>
      <c r="O8" s="11">
        <v>165.88209142088226</v>
      </c>
      <c r="P8" s="11">
        <v>165.50715895026585</v>
      </c>
      <c r="Q8" s="11">
        <v>164.5674793648966</v>
      </c>
      <c r="R8" s="11">
        <v>166.00576046874286</v>
      </c>
      <c r="S8" s="11">
        <v>169.22420733924187</v>
      </c>
      <c r="T8" s="11">
        <v>159.799635090668</v>
      </c>
      <c r="U8" s="11">
        <v>156.24624288531439</v>
      </c>
      <c r="V8" s="11">
        <v>160.43179252111426</v>
      </c>
      <c r="W8" s="11">
        <v>146.6854736430119</v>
      </c>
      <c r="X8" s="11">
        <v>153.97866762550817</v>
      </c>
      <c r="Y8" s="11">
        <v>148.61030444788955</v>
      </c>
      <c r="Z8" s="11">
        <v>147.10286062546504</v>
      </c>
      <c r="AA8" s="11">
        <v>145.70383496697411</v>
      </c>
      <c r="AB8" s="11">
        <v>143.71955274225516</v>
      </c>
      <c r="AC8" s="11">
        <v>141.60063737811905</v>
      </c>
      <c r="AD8" s="11">
        <v>139.41567664655958</v>
      </c>
      <c r="AE8" s="11">
        <v>137.24406351344356</v>
      </c>
      <c r="AF8" s="11">
        <v>135.05796766756094</v>
      </c>
      <c r="AG8" s="11">
        <v>132.91587417918976</v>
      </c>
      <c r="AH8" s="11">
        <v>130.75824147039503</v>
      </c>
      <c r="AI8" s="11">
        <v>128.5927680699059</v>
      </c>
      <c r="AJ8" s="11">
        <v>126.41822691450719</v>
      </c>
      <c r="AK8" s="11">
        <v>124.21367208512325</v>
      </c>
      <c r="AL8" s="11">
        <v>121.84612463432335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</row>
    <row r="9" spans="1:68" x14ac:dyDescent="0.2">
      <c r="L9" s="232" t="str">
        <f>name!F9</f>
        <v>RQF3 A level &amp; equivalent</v>
      </c>
      <c r="M9" s="11">
        <v>164.83170933487395</v>
      </c>
      <c r="N9" s="11">
        <v>163.08502937026134</v>
      </c>
      <c r="O9" s="11">
        <v>172.1076631794312</v>
      </c>
      <c r="P9" s="11">
        <v>159.13563691019269</v>
      </c>
      <c r="Q9" s="11">
        <v>166.57290768602309</v>
      </c>
      <c r="R9" s="11">
        <v>173.17585672265182</v>
      </c>
      <c r="S9" s="11">
        <v>178.21423334418569</v>
      </c>
      <c r="T9" s="11">
        <v>170.57821408216421</v>
      </c>
      <c r="U9" s="11">
        <v>172.62371645607865</v>
      </c>
      <c r="V9" s="11">
        <v>163.74816219200028</v>
      </c>
      <c r="W9" s="11">
        <v>170.350236634304</v>
      </c>
      <c r="X9" s="11">
        <v>163.75160684383499</v>
      </c>
      <c r="Y9" s="11">
        <v>166.22624848687849</v>
      </c>
      <c r="Z9" s="11">
        <v>166.68004649592623</v>
      </c>
      <c r="AA9" s="11">
        <v>167.27647948808033</v>
      </c>
      <c r="AB9" s="11">
        <v>167.23951651317205</v>
      </c>
      <c r="AC9" s="11">
        <v>167.11403053531475</v>
      </c>
      <c r="AD9" s="11">
        <v>166.96573267187176</v>
      </c>
      <c r="AE9" s="11">
        <v>166.86819828532921</v>
      </c>
      <c r="AF9" s="11">
        <v>166.79652048939766</v>
      </c>
      <c r="AG9" s="11">
        <v>166.81563520080715</v>
      </c>
      <c r="AH9" s="11">
        <v>166.84790261652506</v>
      </c>
      <c r="AI9" s="11">
        <v>166.91144836811762</v>
      </c>
      <c r="AJ9" s="11">
        <v>167.01827754104463</v>
      </c>
      <c r="AK9" s="11">
        <v>167.13892158998749</v>
      </c>
      <c r="AL9" s="11">
        <v>167.1162811845299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</row>
    <row r="10" spans="1:68" x14ac:dyDescent="0.2">
      <c r="L10" s="232" t="str">
        <f>name!F8</f>
        <v>RQF4 HE below degree level</v>
      </c>
      <c r="M10" s="11">
        <v>44.006728090204987</v>
      </c>
      <c r="N10" s="11">
        <v>46.537065118207195</v>
      </c>
      <c r="O10" s="11">
        <v>49.27411836704421</v>
      </c>
      <c r="P10" s="11">
        <v>49.025220742292007</v>
      </c>
      <c r="Q10" s="11">
        <v>52.310729719063765</v>
      </c>
      <c r="R10" s="11">
        <v>50.119931817120531</v>
      </c>
      <c r="S10" s="11">
        <v>49.959983333755652</v>
      </c>
      <c r="T10" s="11">
        <v>50.337053824397294</v>
      </c>
      <c r="U10" s="11">
        <v>50.712699095150263</v>
      </c>
      <c r="V10" s="11">
        <v>54.168072164576657</v>
      </c>
      <c r="W10" s="11">
        <v>54.070509554076139</v>
      </c>
      <c r="X10" s="11">
        <v>52.60861564892155</v>
      </c>
      <c r="Y10" s="11">
        <v>53.411137023751955</v>
      </c>
      <c r="Z10" s="11">
        <v>54.228459793442319</v>
      </c>
      <c r="AA10" s="11">
        <v>55.102181481886994</v>
      </c>
      <c r="AB10" s="11">
        <v>55.774144986221359</v>
      </c>
      <c r="AC10" s="11">
        <v>56.439988889268804</v>
      </c>
      <c r="AD10" s="11">
        <v>57.095791047560681</v>
      </c>
      <c r="AE10">
        <v>57.789753769581274</v>
      </c>
      <c r="AF10">
        <v>58.513752512247436</v>
      </c>
      <c r="AG10">
        <v>59.287928061904751</v>
      </c>
      <c r="AH10">
        <v>60.077536927440313</v>
      </c>
      <c r="AI10" s="11">
        <v>60.884336368901955</v>
      </c>
      <c r="AJ10" s="11">
        <v>61.732297102086704</v>
      </c>
      <c r="AK10" s="11">
        <v>62.622134996504258</v>
      </c>
      <c r="AL10" s="11">
        <v>63.457427221431814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</row>
    <row r="11" spans="1:68" x14ac:dyDescent="0.2">
      <c r="L11" s="232" t="str">
        <f>name!F7</f>
        <v>RQF5 Foundation degree;Nursing;Teaching</v>
      </c>
      <c r="M11" s="11">
        <v>48.444341694278819</v>
      </c>
      <c r="N11" s="11">
        <v>48.906033526476421</v>
      </c>
      <c r="O11" s="11">
        <v>50.689622267408318</v>
      </c>
      <c r="P11" s="11">
        <v>50.026370788654511</v>
      </c>
      <c r="Q11" s="11">
        <v>51.21521553367851</v>
      </c>
      <c r="R11" s="11">
        <v>49.613369511822555</v>
      </c>
      <c r="S11" s="11">
        <v>48.596472117727018</v>
      </c>
      <c r="T11" s="11">
        <v>49.01035526932364</v>
      </c>
      <c r="U11" s="11">
        <v>49.569101942716472</v>
      </c>
      <c r="V11" s="11">
        <v>51.89792614223925</v>
      </c>
      <c r="W11" s="11">
        <v>51.553613281971352</v>
      </c>
      <c r="X11" s="11">
        <v>49.86868242058614</v>
      </c>
      <c r="Y11" s="11">
        <v>50.420988267496959</v>
      </c>
      <c r="Z11" s="11">
        <v>50.953806865329938</v>
      </c>
      <c r="AA11" s="11">
        <v>51.593237558917345</v>
      </c>
      <c r="AB11" s="11">
        <v>52.067001713959804</v>
      </c>
      <c r="AC11" s="11">
        <v>52.559872925721088</v>
      </c>
      <c r="AD11" s="11">
        <v>53.033314748269156</v>
      </c>
      <c r="AE11">
        <v>53.525145967052829</v>
      </c>
      <c r="AF11">
        <v>54.091969886898887</v>
      </c>
      <c r="AG11">
        <v>54.705575845591824</v>
      </c>
      <c r="AH11">
        <v>55.350572030627468</v>
      </c>
      <c r="AI11" s="11">
        <v>56.049270979381397</v>
      </c>
      <c r="AJ11" s="11">
        <v>56.794103267868536</v>
      </c>
      <c r="AK11" s="11">
        <v>57.560154929732754</v>
      </c>
      <c r="AL11" s="11">
        <v>58.27968679136648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</row>
    <row r="12" spans="1:68" x14ac:dyDescent="0.2">
      <c r="L12" s="232" t="str">
        <f>name!F6</f>
        <v>RQF6 First degree</v>
      </c>
      <c r="M12" s="11">
        <v>143.37030465906457</v>
      </c>
      <c r="N12" s="11">
        <v>154.41341230964599</v>
      </c>
      <c r="O12" s="11">
        <v>165.56937096018808</v>
      </c>
      <c r="P12" s="11">
        <v>172.142679258388</v>
      </c>
      <c r="Q12" s="11">
        <v>182.62210985139282</v>
      </c>
      <c r="R12" s="11">
        <v>182.47766837630712</v>
      </c>
      <c r="S12" s="11">
        <v>180.47177715394176</v>
      </c>
      <c r="T12" s="11">
        <v>179.37757850354876</v>
      </c>
      <c r="U12" s="11">
        <v>187.55249120637558</v>
      </c>
      <c r="V12" s="11">
        <v>199.86492090407953</v>
      </c>
      <c r="W12" s="11">
        <v>197.82415999570529</v>
      </c>
      <c r="X12" s="11">
        <v>198.32159825602861</v>
      </c>
      <c r="Y12" s="11">
        <v>201.02541300621215</v>
      </c>
      <c r="Z12" s="11">
        <v>204.78920626434549</v>
      </c>
      <c r="AA12" s="11">
        <v>208.71421713567648</v>
      </c>
      <c r="AB12" s="11">
        <v>211.92887378761631</v>
      </c>
      <c r="AC12" s="11">
        <v>214.91113972890588</v>
      </c>
      <c r="AD12" s="11">
        <v>217.84671233086485</v>
      </c>
      <c r="AE12">
        <v>220.83296848010801</v>
      </c>
      <c r="AF12">
        <v>223.79399779425526</v>
      </c>
      <c r="AG12">
        <v>226.875985963593</v>
      </c>
      <c r="AH12">
        <v>229.98239833829035</v>
      </c>
      <c r="AI12">
        <v>233.1305778092736</v>
      </c>
      <c r="AJ12">
        <v>236.32146548495146</v>
      </c>
      <c r="AK12">
        <v>239.53261373069355</v>
      </c>
      <c r="AL12">
        <v>242.62905477633512</v>
      </c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</row>
    <row r="13" spans="1:68" x14ac:dyDescent="0.2">
      <c r="L13" s="232" t="str">
        <f>name!F5</f>
        <v>RQF7 Other higher degree</v>
      </c>
      <c r="M13" s="11">
        <v>64.901428760978902</v>
      </c>
      <c r="N13" s="11">
        <v>65.868180063274934</v>
      </c>
      <c r="O13" s="11">
        <v>70.970213166522058</v>
      </c>
      <c r="P13" s="11">
        <v>68.156957479619734</v>
      </c>
      <c r="Q13" s="11">
        <v>78.597502633062746</v>
      </c>
      <c r="R13" s="11">
        <v>85.344949672341116</v>
      </c>
      <c r="S13" s="11">
        <v>99.598154704465472</v>
      </c>
      <c r="T13" s="11">
        <v>98.318841894858906</v>
      </c>
      <c r="U13" s="11">
        <v>99.758034713552291</v>
      </c>
      <c r="V13" s="11">
        <v>104.16972003141201</v>
      </c>
      <c r="W13" s="11">
        <v>112.22082333054639</v>
      </c>
      <c r="X13" s="11">
        <v>106.18820212443981</v>
      </c>
      <c r="Y13" s="11">
        <v>116.76317796700037</v>
      </c>
      <c r="Z13" s="11">
        <v>121.43133698185555</v>
      </c>
      <c r="AA13" s="11">
        <v>126.13692665776018</v>
      </c>
      <c r="AB13" s="11">
        <v>130.30734335170911</v>
      </c>
      <c r="AC13" s="11">
        <v>134.28858153522481</v>
      </c>
      <c r="AD13" s="11">
        <v>138.11939592377166</v>
      </c>
      <c r="AE13">
        <v>141.88236209697973</v>
      </c>
      <c r="AF13">
        <v>145.56454939990653</v>
      </c>
      <c r="AG13">
        <v>149.2191387293845</v>
      </c>
      <c r="AH13">
        <v>152.78514004768891</v>
      </c>
      <c r="AI13">
        <v>156.27743637789732</v>
      </c>
      <c r="AJ13">
        <v>159.69804034716429</v>
      </c>
      <c r="AK13">
        <v>163.02150772064351</v>
      </c>
      <c r="AL13">
        <v>166.1003625353504</v>
      </c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</row>
    <row r="14" spans="1:68" x14ac:dyDescent="0.2">
      <c r="L14" s="232" t="str">
        <f>name!F4</f>
        <v>RQF8 Doctorate</v>
      </c>
      <c r="M14" s="11">
        <v>9.2637578614531009</v>
      </c>
      <c r="N14" s="11">
        <v>9.1471803970793033</v>
      </c>
      <c r="O14" s="11">
        <v>9.9480266781852364</v>
      </c>
      <c r="P14" s="11">
        <v>9.7139617642998957</v>
      </c>
      <c r="Q14" s="11">
        <v>10.905041395490377</v>
      </c>
      <c r="R14" s="11">
        <v>11.931101696696773</v>
      </c>
      <c r="S14" s="11">
        <v>13.970032598360497</v>
      </c>
      <c r="T14" s="11">
        <v>13.645842757564155</v>
      </c>
      <c r="U14" s="11">
        <v>13.847932960681982</v>
      </c>
      <c r="V14" s="11">
        <v>14.416236960357105</v>
      </c>
      <c r="W14" s="11">
        <v>15.530347057630051</v>
      </c>
      <c r="X14" s="11">
        <v>14.727578470427416</v>
      </c>
      <c r="Y14" s="11">
        <v>16.114335409537773</v>
      </c>
      <c r="Z14" s="11">
        <v>16.73387164096723</v>
      </c>
      <c r="AA14" s="11">
        <v>17.358255133962974</v>
      </c>
      <c r="AB14" s="11">
        <v>17.917250790315162</v>
      </c>
      <c r="AC14" s="11">
        <v>18.451790997101455</v>
      </c>
      <c r="AD14" s="11">
        <v>18.967925253090272</v>
      </c>
      <c r="AE14">
        <v>19.474273569259331</v>
      </c>
      <c r="AF14">
        <v>19.96597937099768</v>
      </c>
      <c r="AG14">
        <v>20.45409200679028</v>
      </c>
      <c r="AH14">
        <v>20.929383839576616</v>
      </c>
      <c r="AI14">
        <v>21.395690169350402</v>
      </c>
      <c r="AJ14">
        <v>21.850780154270048</v>
      </c>
      <c r="AK14">
        <v>22.297754194970107</v>
      </c>
      <c r="AL14">
        <v>22.716025092912208</v>
      </c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</row>
    <row r="15" spans="1:68" x14ac:dyDescent="0.2">
      <c r="L15" s="232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</row>
    <row r="16" spans="1:68" x14ac:dyDescent="0.2">
      <c r="L16" s="232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</row>
    <row r="17" spans="48:68" x14ac:dyDescent="0.2"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</row>
    <row r="18" spans="48:68" x14ac:dyDescent="0.2"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</row>
    <row r="19" spans="48:68" x14ac:dyDescent="0.2"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</row>
    <row r="20" spans="48:68" x14ac:dyDescent="0.2"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</row>
    <row r="21" spans="48:68" x14ac:dyDescent="0.2"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</row>
    <row r="22" spans="48:68" x14ac:dyDescent="0.2"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</row>
    <row r="23" spans="48:68" x14ac:dyDescent="0.2"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</row>
    <row r="24" spans="48:68" x14ac:dyDescent="0.2"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</row>
    <row r="25" spans="48:68" x14ac:dyDescent="0.2"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</row>
    <row r="26" spans="48:68" x14ac:dyDescent="0.2"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</row>
    <row r="27" spans="48:68" x14ac:dyDescent="0.2"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</row>
    <row r="28" spans="48:68" x14ac:dyDescent="0.2"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</row>
    <row r="29" spans="48:68" x14ac:dyDescent="0.2"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</row>
    <row r="30" spans="48:68" x14ac:dyDescent="0.2"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</row>
    <row r="32" spans="48:68" x14ac:dyDescent="0.2"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</row>
    <row r="34" spans="1:58" x14ac:dyDescent="0.2"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</row>
    <row r="35" spans="1:58" x14ac:dyDescent="0.2"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</row>
    <row r="36" spans="1:58" x14ac:dyDescent="0.2"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</row>
    <row r="37" spans="1:58" x14ac:dyDescent="0.2"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</row>
    <row r="38" spans="1:58" x14ac:dyDescent="0.2"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</row>
    <row r="40" spans="1:58" x14ac:dyDescent="0.2"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</row>
    <row r="41" spans="1:58" x14ac:dyDescent="0.2"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</row>
    <row r="42" spans="1:58" x14ac:dyDescent="0.2"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</row>
    <row r="43" spans="1:58" x14ac:dyDescent="0.2"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</row>
    <row r="45" spans="1:58" x14ac:dyDescent="0.2"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</row>
    <row r="46" spans="1:58" x14ac:dyDescent="0.2"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</row>
    <row r="47" spans="1:58" x14ac:dyDescent="0.2"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</row>
    <row r="48" spans="1:58" ht="12.75" customHeight="1" x14ac:dyDescent="0.25">
      <c r="A48" s="80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</row>
    <row r="51" spans="1:1" ht="15.75" x14ac:dyDescent="0.25">
      <c r="A51" s="80" t="str">
        <f>CONCATENATE("Qualification Figure 1.1  Employment by Qualification, ",$M$2,"-",$O$2,Info!B9,", ",Info!B5)</f>
        <v>Qualification Figure 1.1  Employment by Qualification, 2010-2035, Enterprise M3</v>
      </c>
    </row>
    <row r="52" spans="1:1" x14ac:dyDescent="0.2">
      <c r="A52"/>
    </row>
  </sheetData>
  <phoneticPr fontId="4" type="noConversion"/>
  <conditionalFormatting sqref="L4:AL4">
    <cfRule type="cellIs" dxfId="6" priority="1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1" manualBreakCount="1">
    <brk id="50" max="9" man="1"/>
  </rowBreak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35"/>
  <dimension ref="A1:L23"/>
  <sheetViews>
    <sheetView zoomScale="85" zoomScaleNormal="85" workbookViewId="0">
      <selection activeCell="A8" sqref="A8"/>
    </sheetView>
  </sheetViews>
  <sheetFormatPr defaultColWidth="9.140625" defaultRowHeight="12.75" x14ac:dyDescent="0.2"/>
  <cols>
    <col min="1" max="1" width="57.85546875" style="91" customWidth="1"/>
    <col min="2" max="6" width="11.7109375" style="91" customWidth="1"/>
    <col min="7" max="7" width="5.7109375" style="91" customWidth="1"/>
    <col min="8" max="12" width="11.7109375" style="91" customWidth="1"/>
    <col min="13" max="16384" width="9.140625" style="91"/>
  </cols>
  <sheetData>
    <row r="1" spans="1:12" ht="15.75" x14ac:dyDescent="0.25">
      <c r="A1" s="19" t="str">
        <f>CONCATENATE("Summary Table 12  Employment Change by ISCED Qualifications in Broad Qualifications, ",B$5,"-",F$5)</f>
        <v>Summary Table 12  Employment Change by ISCED Qualifications in Broad Qualifications, 2008-2020</v>
      </c>
    </row>
    <row r="3" spans="1:12" x14ac:dyDescent="0.2">
      <c r="F3" s="117"/>
      <c r="L3" s="117" t="s">
        <v>20</v>
      </c>
    </row>
    <row r="4" spans="1:12" x14ac:dyDescent="0.2">
      <c r="A4" s="96"/>
      <c r="B4" s="118" t="s">
        <v>18</v>
      </c>
      <c r="C4" s="96"/>
      <c r="D4" s="96"/>
      <c r="E4" s="96"/>
      <c r="F4" s="119"/>
      <c r="H4" s="118" t="s">
        <v>19</v>
      </c>
      <c r="I4" s="96"/>
      <c r="J4" s="96"/>
      <c r="K4" s="96"/>
      <c r="L4" s="96"/>
    </row>
    <row r="5" spans="1:12" x14ac:dyDescent="0.2">
      <c r="A5" s="92"/>
      <c r="B5" s="120">
        <v>2008</v>
      </c>
      <c r="C5" s="120">
        <v>2010</v>
      </c>
      <c r="D5" s="120">
        <v>2012</v>
      </c>
      <c r="E5" s="120">
        <v>2015</v>
      </c>
      <c r="F5" s="120">
        <v>2020</v>
      </c>
      <c r="H5" s="121" t="str">
        <f>CONCATENATE(B$5,"-",C$5)</f>
        <v>2008-2010</v>
      </c>
      <c r="I5" s="121" t="str">
        <f>CONCATENATE(B$5,"-",D$5)</f>
        <v>2008-2012</v>
      </c>
      <c r="J5" s="121" t="str">
        <f>CONCATENATE(D$5,"-",E$5)</f>
        <v>2012-2015</v>
      </c>
      <c r="K5" s="121" t="str">
        <f>CONCATENATE(E$5,"-",F$5)</f>
        <v>2015-2020</v>
      </c>
      <c r="L5" s="121" t="str">
        <f>CONCATENATE(D$5,"-",F$5)</f>
        <v>2012-2020</v>
      </c>
    </row>
    <row r="7" spans="1:12" s="122" customFormat="1" x14ac:dyDescent="0.2">
      <c r="A7" s="122" t="str">
        <f>name!F4</f>
        <v>RQF8 Doctorate</v>
      </c>
      <c r="B7" s="123">
        <v>71325.851049592791</v>
      </c>
      <c r="C7" s="123">
        <v>67875.205285452204</v>
      </c>
      <c r="D7" s="123">
        <v>65953.088065984106</v>
      </c>
      <c r="E7" s="123">
        <v>63161.5699830265</v>
      </c>
      <c r="F7" s="123">
        <v>59517.030027737295</v>
      </c>
      <c r="H7" s="123">
        <f>C7-B7</f>
        <v>-3450.6457641405868</v>
      </c>
      <c r="I7" s="123">
        <f>D7-B7</f>
        <v>-5372.7629836086853</v>
      </c>
      <c r="J7" s="123">
        <f>E7-D7</f>
        <v>-2791.5180829576057</v>
      </c>
      <c r="K7" s="123">
        <f>F7-E7</f>
        <v>-3644.539955289205</v>
      </c>
      <c r="L7" s="123">
        <f>F7-D7</f>
        <v>-6436.0580382468106</v>
      </c>
    </row>
    <row r="8" spans="1:12" x14ac:dyDescent="0.2">
      <c r="A8" s="91" t="str">
        <f>name!J4</f>
        <v>SE</v>
      </c>
      <c r="B8" s="94">
        <v>21828.171692536111</v>
      </c>
      <c r="C8" s="94">
        <v>20792.172573048945</v>
      </c>
      <c r="D8" s="94">
        <v>20234.216118009812</v>
      </c>
      <c r="E8" s="94">
        <v>19430.497541178578</v>
      </c>
      <c r="F8" s="94">
        <v>18413.968008235337</v>
      </c>
      <c r="H8" s="94">
        <f>C8-B8</f>
        <v>-1035.9991194871654</v>
      </c>
      <c r="I8" s="94">
        <f>D8-B8</f>
        <v>-1593.9555745262987</v>
      </c>
      <c r="J8" s="94">
        <f t="shared" ref="J8:K10" si="0">E8-D8</f>
        <v>-803.7185768312338</v>
      </c>
      <c r="K8" s="94">
        <f t="shared" si="0"/>
        <v>-1016.5295329432411</v>
      </c>
      <c r="L8" s="94">
        <f>F8-D8</f>
        <v>-1820.2481097744749</v>
      </c>
    </row>
    <row r="9" spans="1:12" x14ac:dyDescent="0.2">
      <c r="A9" s="91" t="str">
        <f>name!J5</f>
        <v>FT</v>
      </c>
      <c r="B9" s="94">
        <v>49497.679357056688</v>
      </c>
      <c r="C9" s="94">
        <v>47083.032712403263</v>
      </c>
      <c r="D9" s="94">
        <v>45718.871947974287</v>
      </c>
      <c r="E9" s="94">
        <v>43731.072441847915</v>
      </c>
      <c r="F9" s="94">
        <v>41103.062019501958</v>
      </c>
      <c r="H9" s="94">
        <f>C9-B9</f>
        <v>-2414.646644653425</v>
      </c>
      <c r="I9" s="94">
        <f>D9-B9</f>
        <v>-3778.8074090824011</v>
      </c>
      <c r="J9" s="94">
        <f t="shared" si="0"/>
        <v>-1987.7995061263719</v>
      </c>
      <c r="K9" s="94">
        <f t="shared" si="0"/>
        <v>-2628.0104223459566</v>
      </c>
      <c r="L9" s="94">
        <f>F9-D9</f>
        <v>-4615.8099284723285</v>
      </c>
    </row>
    <row r="10" spans="1:12" x14ac:dyDescent="0.2">
      <c r="A10" s="91" t="str">
        <f>name!J6</f>
        <v>PT</v>
      </c>
      <c r="B10" s="94">
        <v>0</v>
      </c>
      <c r="C10" s="94">
        <v>0</v>
      </c>
      <c r="D10" s="94">
        <v>0</v>
      </c>
      <c r="E10" s="94">
        <v>0</v>
      </c>
      <c r="F10" s="94">
        <v>0</v>
      </c>
      <c r="H10" s="94">
        <f>C10-B10</f>
        <v>0</v>
      </c>
      <c r="I10" s="94">
        <f>D10-B10</f>
        <v>0</v>
      </c>
      <c r="J10" s="94">
        <f t="shared" si="0"/>
        <v>0</v>
      </c>
      <c r="K10" s="94">
        <f t="shared" si="0"/>
        <v>0</v>
      </c>
      <c r="L10" s="94">
        <f>F10-D10</f>
        <v>0</v>
      </c>
    </row>
    <row r="11" spans="1:12" x14ac:dyDescent="0.2">
      <c r="H11" s="94"/>
      <c r="I11" s="94"/>
      <c r="J11" s="94"/>
      <c r="K11" s="94"/>
      <c r="L11" s="94"/>
    </row>
    <row r="12" spans="1:12" s="122" customFormat="1" x14ac:dyDescent="0.2">
      <c r="A12" s="122" t="str">
        <f>name!F5</f>
        <v>RQF7 Other higher degree</v>
      </c>
      <c r="B12" s="123">
        <v>117603.36216609999</v>
      </c>
      <c r="C12" s="123">
        <v>115939.95604983499</v>
      </c>
      <c r="D12" s="123">
        <v>117782.27837055401</v>
      </c>
      <c r="E12" s="123">
        <v>118889.39584623399</v>
      </c>
      <c r="F12" s="123">
        <v>120707.41471465</v>
      </c>
      <c r="H12" s="123">
        <f>C12-B12</f>
        <v>-1663.4061162650032</v>
      </c>
      <c r="I12" s="123">
        <f>D12-B12</f>
        <v>178.9162044540135</v>
      </c>
      <c r="J12" s="123">
        <f t="shared" ref="J12:K14" si="1">E12-D12</f>
        <v>1107.1174756799883</v>
      </c>
      <c r="K12" s="123">
        <f t="shared" si="1"/>
        <v>1818.0188684160094</v>
      </c>
      <c r="L12" s="123">
        <f>F12-D12</f>
        <v>2925.1363440959976</v>
      </c>
    </row>
    <row r="13" spans="1:12" x14ac:dyDescent="0.2">
      <c r="A13" s="91">
        <f>name!J7</f>
        <v>0</v>
      </c>
      <c r="B13" s="94">
        <v>85684.696366442135</v>
      </c>
      <c r="C13" s="94">
        <v>84496.661838978005</v>
      </c>
      <c r="D13" s="94">
        <v>85862.536135946357</v>
      </c>
      <c r="E13" s="94">
        <v>86649.544796460745</v>
      </c>
      <c r="F13" s="94">
        <v>87931.502704386687</v>
      </c>
      <c r="H13" s="94">
        <f>C13-B13</f>
        <v>-1188.0345274641295</v>
      </c>
      <c r="I13" s="94">
        <f>D13-B13</f>
        <v>177.8397695042222</v>
      </c>
      <c r="J13" s="94">
        <f t="shared" si="1"/>
        <v>787.00866051438788</v>
      </c>
      <c r="K13" s="94">
        <f t="shared" si="1"/>
        <v>1281.957907925942</v>
      </c>
      <c r="L13" s="94">
        <f>F13-D13</f>
        <v>2068.9665684403299</v>
      </c>
    </row>
    <row r="14" spans="1:12" x14ac:dyDescent="0.2">
      <c r="A14" s="91">
        <f>name!J8</f>
        <v>0</v>
      </c>
      <c r="B14" s="94">
        <v>31918.665799657861</v>
      </c>
      <c r="C14" s="94">
        <v>31443.29421085698</v>
      </c>
      <c r="D14" s="94">
        <v>31919.742234607653</v>
      </c>
      <c r="E14" s="94">
        <v>32239.851049773246</v>
      </c>
      <c r="F14" s="94">
        <v>32775.912010263324</v>
      </c>
      <c r="H14" s="94">
        <f>C14-B14</f>
        <v>-475.371588800881</v>
      </c>
      <c r="I14" s="94">
        <f>D14-B14</f>
        <v>1.0764349497912917</v>
      </c>
      <c r="J14" s="94">
        <f t="shared" si="1"/>
        <v>320.10881516559311</v>
      </c>
      <c r="K14" s="94">
        <f t="shared" si="1"/>
        <v>536.06096049007829</v>
      </c>
      <c r="L14" s="94">
        <f>F14-D14</f>
        <v>856.1697756556714</v>
      </c>
    </row>
    <row r="15" spans="1:12" x14ac:dyDescent="0.2">
      <c r="H15" s="94"/>
      <c r="I15" s="94"/>
      <c r="J15" s="94"/>
      <c r="K15" s="94"/>
      <c r="L15" s="94"/>
    </row>
    <row r="16" spans="1:12" s="122" customFormat="1" x14ac:dyDescent="0.2">
      <c r="A16" s="122" t="str">
        <f>name!F6</f>
        <v>RQF6 First degree</v>
      </c>
      <c r="B16" s="123">
        <v>10699.858351711669</v>
      </c>
      <c r="C16" s="123">
        <v>10970.73916072664</v>
      </c>
      <c r="D16" s="123">
        <v>11301.540359819686</v>
      </c>
      <c r="E16" s="123">
        <v>11603.888290360199</v>
      </c>
      <c r="F16" s="123">
        <v>11675.073262162417</v>
      </c>
      <c r="H16" s="123">
        <f>C16-B16</f>
        <v>270.88080901497051</v>
      </c>
      <c r="I16" s="123">
        <f>D16-B16</f>
        <v>601.68200810801682</v>
      </c>
      <c r="J16" s="123">
        <f t="shared" ref="J16:K18" si="2">E16-D16</f>
        <v>302.34793054051261</v>
      </c>
      <c r="K16" s="123">
        <f t="shared" si="2"/>
        <v>71.18497180221857</v>
      </c>
      <c r="L16" s="123">
        <f>F16-D16</f>
        <v>373.53290234273118</v>
      </c>
    </row>
    <row r="17" spans="1:12" x14ac:dyDescent="0.2">
      <c r="A17" s="91">
        <f>name!J9</f>
        <v>0</v>
      </c>
      <c r="B17" s="94">
        <v>8525.1872183076739</v>
      </c>
      <c r="C17" s="94">
        <v>8709.9422108052859</v>
      </c>
      <c r="D17" s="94">
        <v>8966.579956519352</v>
      </c>
      <c r="E17" s="94">
        <v>9198.0093388787081</v>
      </c>
      <c r="F17" s="94">
        <v>9243.5195858644965</v>
      </c>
      <c r="H17" s="94">
        <f>C17-B17</f>
        <v>184.75499249761197</v>
      </c>
      <c r="I17" s="94">
        <f>D17-B17</f>
        <v>441.39273821167808</v>
      </c>
      <c r="J17" s="94">
        <f t="shared" si="2"/>
        <v>231.42938235935617</v>
      </c>
      <c r="K17" s="94">
        <f t="shared" si="2"/>
        <v>45.510246985788399</v>
      </c>
      <c r="L17" s="94">
        <f>F17-D17</f>
        <v>276.93962934514457</v>
      </c>
    </row>
    <row r="18" spans="1:12" x14ac:dyDescent="0.2">
      <c r="A18" s="91">
        <f>name!J10</f>
        <v>0</v>
      </c>
      <c r="B18" s="94">
        <v>2174.6711334039956</v>
      </c>
      <c r="C18" s="94">
        <v>2260.7969499213555</v>
      </c>
      <c r="D18" s="94">
        <v>2334.9604033003338</v>
      </c>
      <c r="E18" s="94">
        <v>2405.8789514814907</v>
      </c>
      <c r="F18" s="94">
        <v>2431.5536762979191</v>
      </c>
      <c r="H18" s="94">
        <f>C18-B18</f>
        <v>86.125816517359908</v>
      </c>
      <c r="I18" s="94">
        <f>D18-B18</f>
        <v>160.28926989633828</v>
      </c>
      <c r="J18" s="94">
        <f t="shared" si="2"/>
        <v>70.918548181156893</v>
      </c>
      <c r="K18" s="94">
        <f t="shared" si="2"/>
        <v>25.674724816428352</v>
      </c>
      <c r="L18" s="94">
        <f>F18-D18</f>
        <v>96.593272997585245</v>
      </c>
    </row>
    <row r="19" spans="1:12" x14ac:dyDescent="0.2">
      <c r="H19" s="94"/>
      <c r="I19" s="94"/>
      <c r="J19" s="94"/>
      <c r="K19" s="94"/>
      <c r="L19" s="94"/>
    </row>
    <row r="20" spans="1:12" x14ac:dyDescent="0.2">
      <c r="A20" s="92" t="str">
        <f>name!J3</f>
        <v>EE</v>
      </c>
      <c r="B20" s="93">
        <v>199629.07156740446</v>
      </c>
      <c r="C20" s="93">
        <v>194785.90049601384</v>
      </c>
      <c r="D20" s="93">
        <v>195036.90679635777</v>
      </c>
      <c r="E20" s="93">
        <v>193654.85411962072</v>
      </c>
      <c r="F20" s="93">
        <v>191899.51800454973</v>
      </c>
      <c r="H20" s="93">
        <f>C20-B20</f>
        <v>-4843.1710713906214</v>
      </c>
      <c r="I20" s="93">
        <f>D20-B20</f>
        <v>-4592.1647710466932</v>
      </c>
      <c r="J20" s="93">
        <f>E20-D20</f>
        <v>-1382.0526767370466</v>
      </c>
      <c r="K20" s="93">
        <f>F20-E20</f>
        <v>-1755.336115070997</v>
      </c>
      <c r="L20" s="93">
        <f>F20-D20</f>
        <v>-3137.3887918080436</v>
      </c>
    </row>
    <row r="23" spans="1:12" x14ac:dyDescent="0.2">
      <c r="A23" s="91" t="str">
        <f>CONCATENATE("Note: For ",Info!$A$1," there is no European LFS data for some of the ISCED Qualifications.")</f>
        <v>Note: For LEP there is no European LFS data for some of the ISCED Qualifications.</v>
      </c>
    </row>
  </sheetData>
  <pageMargins left="0.51181102362204722" right="0.31496062992125984" top="0.74803149606299213" bottom="0.74803149606299213" header="0.31496062992125984" footer="0.31496062992125984"/>
  <pageSetup paperSize="9" scale="75" orientation="landscape" r:id="rId1"/>
  <ignoredErrors>
    <ignoredError sqref="I5:I20" formula="1"/>
  </ignoredError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55"/>
  <dimension ref="A1:CS101"/>
  <sheetViews>
    <sheetView showGridLines="0" zoomScale="85" zoomScaleNormal="85" zoomScaleSheetLayoutView="85" workbookViewId="0"/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10.140625" style="130" customWidth="1"/>
    <col min="4" max="4" width="3.7109375" style="130" customWidth="1"/>
    <col min="5" max="6" width="10.14062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5" width="10.140625" style="130" customWidth="1"/>
    <col min="16" max="16" width="3.7109375" style="130" customWidth="1"/>
    <col min="17" max="18" width="10.140625" style="130" customWidth="1"/>
    <col min="19" max="19" width="9.140625" style="130"/>
    <col min="20" max="20" width="16.7109375" style="130" customWidth="1"/>
    <col min="21" max="21" width="9.140625" style="130"/>
    <col min="22" max="22" width="8.85546875" style="130" customWidth="1"/>
    <col min="23" max="41" width="9.140625" style="130"/>
    <col min="42" max="46" width="9.140625" style="137" customWidth="1"/>
    <col min="47" max="49" width="9.140625" style="130"/>
    <col min="50" max="50" width="9.140625" style="130" customWidth="1"/>
    <col min="51" max="16384" width="9.140625" style="130"/>
  </cols>
  <sheetData>
    <row r="1" spans="1:97" ht="18.75" customHeight="1" x14ac:dyDescent="0.25">
      <c r="A1" s="276" t="str">
        <f>CONCATENATE("ShiftShare Table 1  Shift-share by occupation, ",I4,", ",Info!B5)</f>
        <v>ShiftShare Table 1  Shift-share by occupation, 2015-2020, Enterprise M3</v>
      </c>
      <c r="W1" s="203" t="str">
        <f>CONCATENATE("Shift-share Figure 1: Levels of Employment, ",C4," - ",F40,", ",Info!B5)</f>
        <v>Shift-share Figure 1: Levels of Employment, 2015 - 2035, Enterprise M3</v>
      </c>
      <c r="AK1" s="203" t="str">
        <f>CONCATENATE("Shift-share Figure 1.1: Net Changes, ",C4,"-",F40,", ",Info!B5)</f>
        <v>Shift-share Figure 1.1: Net Changes, 2015-2035, Enterprise M3</v>
      </c>
    </row>
    <row r="2" spans="1:97" ht="18.75" customHeight="1" x14ac:dyDescent="0.25">
      <c r="A2" s="136" t="s">
        <v>520</v>
      </c>
      <c r="W2" s="203"/>
      <c r="AK2" s="203"/>
    </row>
    <row r="3" spans="1:97" x14ac:dyDescent="0.2">
      <c r="A3" s="146"/>
      <c r="B3" s="275"/>
      <c r="C3" s="275"/>
      <c r="D3" s="275"/>
      <c r="E3" s="275"/>
      <c r="F3" s="275"/>
      <c r="G3" s="275"/>
      <c r="H3" s="275"/>
      <c r="I3" s="275"/>
      <c r="J3" s="275"/>
      <c r="K3" s="380" t="s">
        <v>59</v>
      </c>
      <c r="L3" s="380"/>
      <c r="M3" s="380"/>
      <c r="N3" s="380"/>
      <c r="O3" s="380"/>
      <c r="P3" s="380"/>
      <c r="Q3" s="380"/>
      <c r="R3" s="380"/>
      <c r="AT3" s="138"/>
      <c r="AU3" s="126"/>
      <c r="AW3" s="138"/>
      <c r="AX3" s="137"/>
      <c r="AY3" s="139"/>
      <c r="AZ3" s="126"/>
      <c r="BA3" s="126"/>
      <c r="BB3" s="126"/>
      <c r="BC3" s="126"/>
      <c r="BD3" s="126"/>
      <c r="BE3" s="126"/>
      <c r="BF3" s="126"/>
      <c r="BG3" s="126"/>
      <c r="BH3" s="126"/>
      <c r="BI3" s="126"/>
      <c r="BJ3" s="126"/>
      <c r="BK3" s="126"/>
      <c r="BL3" s="126"/>
      <c r="BM3" s="126"/>
      <c r="BN3" s="126"/>
      <c r="BO3" s="126"/>
      <c r="BP3" s="126"/>
      <c r="BQ3" s="126"/>
      <c r="BR3" s="126"/>
      <c r="BS3" s="126"/>
      <c r="BT3" s="126"/>
      <c r="BU3" s="126"/>
      <c r="BV3" s="126"/>
      <c r="BW3" s="126"/>
      <c r="BX3" s="126"/>
      <c r="BY3" s="126"/>
      <c r="BZ3" s="126"/>
      <c r="CA3" s="126"/>
      <c r="CB3" s="126"/>
      <c r="CC3" s="126"/>
      <c r="CD3" s="126"/>
      <c r="CE3" s="126"/>
      <c r="CF3" s="126"/>
      <c r="CG3" s="126"/>
      <c r="CH3" s="126"/>
      <c r="CI3" s="126"/>
      <c r="CJ3" s="126"/>
      <c r="CK3" s="126"/>
      <c r="CL3" s="126"/>
      <c r="CM3" s="126"/>
      <c r="CN3" s="126"/>
      <c r="CO3" s="126"/>
      <c r="CP3" s="126"/>
      <c r="CQ3" s="126"/>
      <c r="CR3" s="126"/>
      <c r="CS3" s="126"/>
    </row>
    <row r="4" spans="1:97" x14ac:dyDescent="0.2">
      <c r="B4" s="270" t="s">
        <v>60</v>
      </c>
      <c r="C4" s="271">
        <v>2015</v>
      </c>
      <c r="D4" s="136"/>
      <c r="E4" s="270" t="s">
        <v>61</v>
      </c>
      <c r="F4" s="271">
        <v>2020</v>
      </c>
      <c r="G4" s="136"/>
      <c r="H4" s="270" t="s">
        <v>19</v>
      </c>
      <c r="I4" s="270" t="str">
        <f>CONCATENATE(C4,"-",F4)</f>
        <v>2015-2020</v>
      </c>
      <c r="J4" s="136"/>
      <c r="K4" s="379" t="s">
        <v>62</v>
      </c>
      <c r="L4" s="379"/>
      <c r="M4" s="136"/>
      <c r="N4" s="379" t="s">
        <v>63</v>
      </c>
      <c r="O4" s="379"/>
      <c r="P4" s="136"/>
      <c r="Q4" s="379" t="s">
        <v>64</v>
      </c>
      <c r="R4" s="379"/>
      <c r="AW4" s="137"/>
      <c r="AX4" s="137"/>
      <c r="AY4" s="139"/>
    </row>
    <row r="5" spans="1:97" x14ac:dyDescent="0.2">
      <c r="A5" s="143" t="s">
        <v>504</v>
      </c>
      <c r="B5" s="272" t="s">
        <v>66</v>
      </c>
      <c r="C5" s="272" t="s">
        <v>67</v>
      </c>
      <c r="D5" s="136"/>
      <c r="E5" s="272" t="str">
        <f>B5</f>
        <v>000s</v>
      </c>
      <c r="F5" s="272" t="str">
        <f>C5</f>
        <v>% share</v>
      </c>
      <c r="G5" s="136"/>
      <c r="H5" s="272" t="str">
        <f>E5</f>
        <v>000s</v>
      </c>
      <c r="I5" s="272" t="s">
        <v>68</v>
      </c>
      <c r="J5" s="136"/>
      <c r="K5" s="272" t="str">
        <f>H5</f>
        <v>000s</v>
      </c>
      <c r="L5" s="272" t="str">
        <f>I5</f>
        <v xml:space="preserve">%   </v>
      </c>
      <c r="M5" s="136"/>
      <c r="N5" s="272" t="str">
        <f>K5</f>
        <v>000s</v>
      </c>
      <c r="O5" s="272" t="str">
        <f>L5</f>
        <v xml:space="preserve">%   </v>
      </c>
      <c r="P5" s="136"/>
      <c r="Q5" s="272" t="str">
        <f>N5</f>
        <v>000s</v>
      </c>
      <c r="R5" s="272" t="str">
        <f>O5</f>
        <v xml:space="preserve">%   </v>
      </c>
      <c r="Z5" s="139" t="e">
        <f>"Levels of Employment, "&amp;#REF!&amp;"-"&amp;#REF!</f>
        <v>#REF!</v>
      </c>
      <c r="AM5" s="130" t="e">
        <f>"Net Changes, "&amp;#REF!&amp;"-"&amp;#REF!</f>
        <v>#REF!</v>
      </c>
      <c r="AV5" s="137"/>
      <c r="AW5" s="137"/>
      <c r="AX5" s="137"/>
    </row>
    <row r="6" spans="1:97" x14ac:dyDescent="0.2">
      <c r="A6" s="143"/>
      <c r="B6" s="270"/>
      <c r="C6" s="270"/>
      <c r="D6" s="136"/>
      <c r="E6" s="270"/>
      <c r="F6" s="270"/>
      <c r="G6" s="136"/>
      <c r="H6" s="270"/>
      <c r="I6" s="270"/>
      <c r="J6" s="136"/>
      <c r="K6" s="270"/>
      <c r="L6" s="270"/>
      <c r="M6" s="136"/>
      <c r="N6" s="270"/>
      <c r="O6" s="270"/>
      <c r="P6" s="136"/>
      <c r="Q6" s="270"/>
      <c r="R6" s="270"/>
      <c r="T6" s="136"/>
      <c r="AV6" s="137"/>
      <c r="AW6" s="137"/>
      <c r="AX6" s="137"/>
      <c r="AY6" s="139"/>
    </row>
    <row r="7" spans="1:97" x14ac:dyDescent="0.2">
      <c r="A7" s="277"/>
      <c r="B7" s="270"/>
      <c r="C7" s="270"/>
      <c r="D7" s="275"/>
      <c r="E7" s="270"/>
      <c r="F7" s="270"/>
      <c r="G7" s="275"/>
      <c r="H7" s="270"/>
      <c r="I7" s="270"/>
      <c r="J7" s="275"/>
      <c r="K7" s="270"/>
      <c r="L7" s="270"/>
      <c r="M7" s="275"/>
      <c r="N7" s="270"/>
      <c r="O7" s="270"/>
      <c r="P7" s="275"/>
      <c r="Q7" s="270"/>
      <c r="R7" s="270"/>
      <c r="T7" s="136"/>
      <c r="AV7" s="137"/>
      <c r="AW7" s="137"/>
      <c r="AX7" s="137"/>
      <c r="AY7" s="139"/>
    </row>
    <row r="8" spans="1:97" x14ac:dyDescent="0.2">
      <c r="A8" s="10" t="str">
        <f>name!$D4</f>
        <v>11 Corporate managers and directors</v>
      </c>
      <c r="B8" s="151">
        <v>68.673395206321104</v>
      </c>
      <c r="C8" s="141">
        <f t="shared" ref="C8:C33" si="0">B8/B$35*100</f>
        <v>7.9390749424940994</v>
      </c>
      <c r="E8" s="151">
        <v>78.879841298032446</v>
      </c>
      <c r="F8" s="141">
        <f t="shared" ref="F8:F33" si="1">E8/E$35*100</f>
        <v>9.1228535920189273</v>
      </c>
      <c r="H8" s="151">
        <f>E8-B8</f>
        <v>10.206446091711342</v>
      </c>
      <c r="I8" s="141">
        <f>IF(B8&lt;&gt;0,((E8/B8)-1)*100,0)</f>
        <v>14.862300110613846</v>
      </c>
      <c r="K8" s="207">
        <f t="shared" ref="K8:K33" si="2">(($E$35/$B$35)-1)*B8</f>
        <v>-2.8977623540129924E-2</v>
      </c>
      <c r="L8" s="141">
        <f>IF(B8&lt;&gt;0,K8/B8*100,0)</f>
        <v>-4.2196287882767525E-2</v>
      </c>
      <c r="N8" s="151">
        <f>H8-(K8+Q8)</f>
        <v>9.3564907437103066</v>
      </c>
      <c r="O8" s="141">
        <f>IF(B8&lt;&gt;0,N8/B8*100,0)</f>
        <v>13.624622338242975</v>
      </c>
      <c r="Q8" s="151">
        <v>0.87893297154116634</v>
      </c>
      <c r="R8" s="141">
        <f>IF(B8&lt;&gt;0,Q8/B8*100,0)</f>
        <v>1.279874060253634</v>
      </c>
      <c r="AT8" s="137" t="e">
        <f ca="1">CONCATENATE("C:",INT(CELL("col",#REF!))," R:",INT(CELL("row",#REF!)))</f>
        <v>#REF!</v>
      </c>
    </row>
    <row r="9" spans="1:97" x14ac:dyDescent="0.2">
      <c r="A9" s="10" t="str">
        <f>name!$D5</f>
        <v>12 Other managers and proprietors</v>
      </c>
      <c r="B9" s="151">
        <v>31.150010460958992</v>
      </c>
      <c r="C9" s="141">
        <f t="shared" si="0"/>
        <v>3.6011364629058775</v>
      </c>
      <c r="E9" s="151">
        <v>31.0501044843197</v>
      </c>
      <c r="F9" s="141">
        <f t="shared" si="1"/>
        <v>3.591102017524022</v>
      </c>
      <c r="H9" s="151">
        <f t="shared" ref="H9:H32" si="3">E9-B9</f>
        <v>-9.9905976639291794E-2</v>
      </c>
      <c r="I9" s="141">
        <f t="shared" ref="I9:I32" si="4">IF(B9&lt;&gt;0,((E9/B9)-1)*100,0)</f>
        <v>-0.32072533896739808</v>
      </c>
      <c r="K9" s="207">
        <f t="shared" si="2"/>
        <v>-1.3144148089618455E-2</v>
      </c>
      <c r="L9" s="141">
        <f t="shared" ref="L9:L32" si="5">IF(B9&lt;&gt;0,K9/B9*100,0)</f>
        <v>-4.2196287882767525E-2</v>
      </c>
      <c r="N9" s="151">
        <f t="shared" ref="N9:N31" si="6">H9-(K9+Q9)</f>
        <v>0.4446957870135354</v>
      </c>
      <c r="O9" s="141">
        <f>IF(B9&lt;&gt;0,N9/B9*100,0)</f>
        <v>1.4275943424509683</v>
      </c>
      <c r="Q9" s="151">
        <v>-0.5314576155632087</v>
      </c>
      <c r="R9" s="141">
        <f>IF(B9&lt;&gt;0,Q9/B9*100,0)</f>
        <v>-1.7061233935356024</v>
      </c>
      <c r="T9" s="136"/>
    </row>
    <row r="10" spans="1:97" x14ac:dyDescent="0.2">
      <c r="A10" s="10" t="str">
        <f>name!$D6</f>
        <v>21 Science, research, engineering and technology professionals</v>
      </c>
      <c r="B10" s="151">
        <v>63.176564041394101</v>
      </c>
      <c r="C10" s="141">
        <f t="shared" si="0"/>
        <v>7.30360680474611</v>
      </c>
      <c r="E10" s="151">
        <v>69.933180691612307</v>
      </c>
      <c r="F10" s="141">
        <f t="shared" si="1"/>
        <v>8.0881269304695973</v>
      </c>
      <c r="H10" s="151">
        <f t="shared" si="3"/>
        <v>6.7566166502182057</v>
      </c>
      <c r="I10" s="141">
        <f t="shared" si="4"/>
        <v>10.694815004170199</v>
      </c>
      <c r="K10" s="207">
        <f t="shared" si="2"/>
        <v>-2.6658164837347644E-2</v>
      </c>
      <c r="L10" s="141">
        <f t="shared" si="5"/>
        <v>-4.2196287882767525E-2</v>
      </c>
      <c r="N10" s="151">
        <f t="shared" si="6"/>
        <v>7.2359831553977276</v>
      </c>
      <c r="O10" s="141">
        <f t="shared" ref="O10:O32" si="7">IF(B10&lt;&gt;0,N10/B10*100,0)</f>
        <v>11.453587679533534</v>
      </c>
      <c r="Q10" s="151">
        <v>-0.45270834034217466</v>
      </c>
      <c r="R10" s="141">
        <f t="shared" ref="R10:R32" si="8">IF(B10&lt;&gt;0,Q10/B10*100,0)</f>
        <v>-0.71657638748057639</v>
      </c>
      <c r="AT10" s="137" t="e">
        <f ca="1">CONCATENATE("C:",INT(CELL("col",#REF!))," R:",INT(CELL("row",#REF!)))</f>
        <v>#REF!</v>
      </c>
    </row>
    <row r="11" spans="1:97" x14ac:dyDescent="0.2">
      <c r="A11" s="10" t="str">
        <f>name!$D7</f>
        <v>22 Health professionals</v>
      </c>
      <c r="B11" s="151">
        <v>28.267194384711377</v>
      </c>
      <c r="C11" s="141">
        <f t="shared" si="0"/>
        <v>3.2678648545050453</v>
      </c>
      <c r="E11" s="151">
        <v>33.507088363575704</v>
      </c>
      <c r="F11" s="141">
        <f t="shared" si="1"/>
        <v>3.8752646608502626</v>
      </c>
      <c r="H11" s="151">
        <f>E11-B11</f>
        <v>5.2398939788643268</v>
      </c>
      <c r="I11" s="141">
        <f>IF(B11&lt;&gt;0,((E11/B11)-1)*100,0)</f>
        <v>18.537014701743381</v>
      </c>
      <c r="K11" s="207">
        <f t="shared" si="2"/>
        <v>-1.1927706718954309E-2</v>
      </c>
      <c r="L11" s="141">
        <f t="shared" si="5"/>
        <v>-4.2196287882767525E-2</v>
      </c>
      <c r="N11" s="151">
        <f t="shared" si="6"/>
        <v>4.4448123417575705</v>
      </c>
      <c r="O11" s="141">
        <f t="shared" si="7"/>
        <v>15.724278402958857</v>
      </c>
      <c r="Q11" s="151">
        <v>0.80700934382571077</v>
      </c>
      <c r="R11" s="141">
        <f>IF(B11&lt;&gt;0,Q11/B11*100,0)</f>
        <v>2.8549325866672874</v>
      </c>
      <c r="T11" s="136"/>
    </row>
    <row r="12" spans="1:97" x14ac:dyDescent="0.2">
      <c r="A12" s="10" t="str">
        <f>name!$D8</f>
        <v>23 Teaching and other educational professionals</v>
      </c>
      <c r="B12" s="151">
        <v>38.222998373704257</v>
      </c>
      <c r="C12" s="141">
        <f t="shared" si="0"/>
        <v>4.4188182003230327</v>
      </c>
      <c r="E12" s="151">
        <v>39.418497018336062</v>
      </c>
      <c r="F12" s="141">
        <f t="shared" si="1"/>
        <v>4.5589490444966767</v>
      </c>
      <c r="H12" s="151">
        <f t="shared" si="3"/>
        <v>1.1954986446318046</v>
      </c>
      <c r="I12" s="141">
        <f t="shared" si="4"/>
        <v>3.1276945700164038</v>
      </c>
      <c r="K12" s="207">
        <f t="shared" si="2"/>
        <v>-1.6128686431193799E-2</v>
      </c>
      <c r="L12" s="141">
        <f t="shared" si="5"/>
        <v>-4.2196287882767532E-2</v>
      </c>
      <c r="N12" s="151">
        <f t="shared" si="6"/>
        <v>3.3736265008400048</v>
      </c>
      <c r="O12" s="141">
        <f t="shared" si="7"/>
        <v>8.8261691766204073</v>
      </c>
      <c r="Q12" s="151">
        <v>-2.1619991697770065</v>
      </c>
      <c r="R12" s="141">
        <f t="shared" si="8"/>
        <v>-5.6562783187212409</v>
      </c>
      <c r="AT12" s="137" t="e">
        <f ca="1">CONCATENATE("C:",INT(CELL("col",#REF!))," R:",INT(CELL("row",#REF!)))</f>
        <v>#REF!</v>
      </c>
    </row>
    <row r="13" spans="1:97" x14ac:dyDescent="0.2">
      <c r="A13" s="10" t="str">
        <f>name!$D9</f>
        <v>24 Business, media and public service professionals</v>
      </c>
      <c r="B13" s="151">
        <v>57.737964261655698</v>
      </c>
      <c r="C13" s="141">
        <f t="shared" si="0"/>
        <v>6.6748705801302517</v>
      </c>
      <c r="E13" s="151">
        <v>67.322193591479675</v>
      </c>
      <c r="F13" s="141">
        <f t="shared" si="1"/>
        <v>7.786153033803628</v>
      </c>
      <c r="H13" s="151">
        <f t="shared" si="3"/>
        <v>9.5842293298239767</v>
      </c>
      <c r="I13" s="141">
        <f t="shared" si="4"/>
        <v>16.599527628633325</v>
      </c>
      <c r="K13" s="207">
        <f t="shared" si="2"/>
        <v>-2.4363277617497667E-2</v>
      </c>
      <c r="L13" s="141">
        <f t="shared" si="5"/>
        <v>-4.2196287882767525E-2</v>
      </c>
      <c r="N13" s="151">
        <f>H13-(K13+Q13)</f>
        <v>10.346597802945052</v>
      </c>
      <c r="O13" s="141">
        <f>IF(B13&lt;&gt;0,N13/B13*100,0)</f>
        <v>17.919921381461524</v>
      </c>
      <c r="Q13" s="151">
        <v>-0.73800519550357757</v>
      </c>
      <c r="R13" s="141">
        <f t="shared" si="8"/>
        <v>-1.2781974649454231</v>
      </c>
      <c r="T13" s="136"/>
    </row>
    <row r="14" spans="1:97" x14ac:dyDescent="0.2">
      <c r="A14" s="10" t="str">
        <f>name!$D10</f>
        <v>31 Science, engineering and technology associate professionals</v>
      </c>
      <c r="B14" s="151">
        <v>15.495168489057251</v>
      </c>
      <c r="C14" s="141">
        <f t="shared" si="0"/>
        <v>1.7913386037141112</v>
      </c>
      <c r="E14" s="151">
        <v>18.372333308333101</v>
      </c>
      <c r="F14" s="141">
        <f t="shared" si="1"/>
        <v>2.1248535006861933</v>
      </c>
      <c r="H14" s="151">
        <f t="shared" si="3"/>
        <v>2.8771648192758494</v>
      </c>
      <c r="I14" s="141">
        <f t="shared" si="4"/>
        <v>18.568141555270689</v>
      </c>
      <c r="K14" s="207">
        <f t="shared" si="2"/>
        <v>-6.5383859035624764E-3</v>
      </c>
      <c r="L14" s="141">
        <f>IF(B14&lt;&gt;0,K14/B14*100,0)</f>
        <v>-4.2196287882767525E-2</v>
      </c>
      <c r="N14" s="151">
        <f t="shared" si="6"/>
        <v>2.996942649130693</v>
      </c>
      <c r="O14" s="141">
        <f t="shared" si="7"/>
        <v>19.341142700365896</v>
      </c>
      <c r="Q14" s="151">
        <v>-0.1132394439512812</v>
      </c>
      <c r="R14" s="141">
        <f t="shared" si="8"/>
        <v>-0.73080485721243582</v>
      </c>
      <c r="AT14" s="137" t="e">
        <f ca="1">CONCATENATE("C:",INT(CELL("col",#REF!))," R:",INT(CELL("row",#REF!)))</f>
        <v>#REF!</v>
      </c>
    </row>
    <row r="15" spans="1:97" x14ac:dyDescent="0.2">
      <c r="A15" s="10" t="str">
        <f>name!$D11</f>
        <v>32 Health and social care associate professionals</v>
      </c>
      <c r="B15" s="151">
        <v>12.707484419440277</v>
      </c>
      <c r="C15" s="141">
        <f t="shared" si="0"/>
        <v>1.4690648515835485</v>
      </c>
      <c r="E15" s="151">
        <v>14.702827358199553</v>
      </c>
      <c r="F15" s="141">
        <f t="shared" si="1"/>
        <v>1.700456531990141</v>
      </c>
      <c r="H15" s="151">
        <f t="shared" si="3"/>
        <v>1.9953429387592756</v>
      </c>
      <c r="I15" s="141">
        <f t="shared" si="4"/>
        <v>15.702108087630172</v>
      </c>
      <c r="K15" s="207">
        <f t="shared" si="2"/>
        <v>-5.3620867082848486E-3</v>
      </c>
      <c r="L15" s="141">
        <f t="shared" si="5"/>
        <v>-4.2196287882767525E-2</v>
      </c>
      <c r="N15" s="151">
        <f t="shared" si="6"/>
        <v>1.7532542059577221</v>
      </c>
      <c r="O15" s="141">
        <f t="shared" si="7"/>
        <v>13.797020307776597</v>
      </c>
      <c r="Q15" s="151">
        <v>0.24745081950983835</v>
      </c>
      <c r="R15" s="141">
        <f t="shared" si="8"/>
        <v>1.9472840677363408</v>
      </c>
      <c r="T15" s="11"/>
    </row>
    <row r="16" spans="1:97" x14ac:dyDescent="0.2">
      <c r="A16" s="10" t="str">
        <f>name!$D12</f>
        <v>33 Protective service occupations</v>
      </c>
      <c r="B16" s="151">
        <v>10.245227559390734</v>
      </c>
      <c r="C16" s="141">
        <f t="shared" si="0"/>
        <v>1.1844125247126585</v>
      </c>
      <c r="E16" s="151">
        <v>10.190391215898869</v>
      </c>
      <c r="F16" s="141">
        <f t="shared" si="1"/>
        <v>1.1785704126455947</v>
      </c>
      <c r="H16" s="151">
        <f t="shared" si="3"/>
        <v>-5.4836343491865946E-2</v>
      </c>
      <c r="I16" s="141">
        <f t="shared" si="4"/>
        <v>-0.53523792589266206</v>
      </c>
      <c r="K16" s="207">
        <f t="shared" si="2"/>
        <v>-4.3231057152051519E-3</v>
      </c>
      <c r="L16" s="141">
        <f t="shared" si="5"/>
        <v>-4.2196287882767532E-2</v>
      </c>
      <c r="N16" s="151">
        <f t="shared" si="6"/>
        <v>0.23889522841944433</v>
      </c>
      <c r="O16" s="141">
        <f t="shared" si="7"/>
        <v>2.3317708370515784</v>
      </c>
      <c r="Q16" s="151">
        <v>-0.28940846619610511</v>
      </c>
      <c r="R16" s="141">
        <f t="shared" si="8"/>
        <v>-2.8248124750614689</v>
      </c>
      <c r="T16" s="11"/>
    </row>
    <row r="17" spans="1:20" x14ac:dyDescent="0.2">
      <c r="A17" s="10" t="str">
        <f>name!$D13</f>
        <v>34 Culture, media and sports occupations</v>
      </c>
      <c r="B17" s="151">
        <v>22.448448989730881</v>
      </c>
      <c r="C17" s="141">
        <f t="shared" si="0"/>
        <v>2.5951814139491538</v>
      </c>
      <c r="E17" s="151">
        <v>20.723051149864897</v>
      </c>
      <c r="F17" s="141">
        <f t="shared" si="1"/>
        <v>2.3967259379469952</v>
      </c>
      <c r="H17" s="151">
        <f t="shared" si="3"/>
        <v>-1.7253978398659839</v>
      </c>
      <c r="I17" s="141">
        <f t="shared" si="4"/>
        <v>-7.6860447715353164</v>
      </c>
      <c r="K17" s="207">
        <f t="shared" si="2"/>
        <v>-9.4724121609230608E-3</v>
      </c>
      <c r="L17" s="141">
        <f t="shared" si="5"/>
        <v>-4.2196287882767525E-2</v>
      </c>
      <c r="N17" s="151">
        <f t="shared" si="6"/>
        <v>0.3608824849196588</v>
      </c>
      <c r="O17" s="141">
        <f t="shared" si="7"/>
        <v>1.6076054300443905</v>
      </c>
      <c r="Q17" s="151">
        <v>-2.0768079126247199</v>
      </c>
      <c r="R17" s="141">
        <f t="shared" si="8"/>
        <v>-9.2514539136969436</v>
      </c>
      <c r="T17" s="11"/>
    </row>
    <row r="18" spans="1:20" x14ac:dyDescent="0.2">
      <c r="A18" s="10" t="str">
        <f>name!$D14</f>
        <v>35 Business and public service associate professionals</v>
      </c>
      <c r="B18" s="151">
        <v>57.166023212767385</v>
      </c>
      <c r="C18" s="141">
        <f t="shared" si="0"/>
        <v>6.6087506098539732</v>
      </c>
      <c r="E18" s="151">
        <v>60.097066683667329</v>
      </c>
      <c r="F18" s="141">
        <f t="shared" si="1"/>
        <v>6.9505304732220736</v>
      </c>
      <c r="H18" s="151">
        <f t="shared" si="3"/>
        <v>2.9310434708999438</v>
      </c>
      <c r="I18" s="141">
        <f t="shared" si="4"/>
        <v>5.127247456047157</v>
      </c>
      <c r="K18" s="207">
        <f t="shared" si="2"/>
        <v>-2.4121939725989035E-2</v>
      </c>
      <c r="L18" s="141">
        <f t="shared" si="5"/>
        <v>-4.2196287882767525E-2</v>
      </c>
      <c r="N18" s="151">
        <f t="shared" si="6"/>
        <v>2.9629662125114784</v>
      </c>
      <c r="O18" s="141">
        <f t="shared" si="7"/>
        <v>5.1830896151085302</v>
      </c>
      <c r="Q18" s="151">
        <v>-7.8008018855453849E-3</v>
      </c>
      <c r="R18" s="141">
        <f t="shared" si="8"/>
        <v>-1.3645871178604503E-2</v>
      </c>
      <c r="T18" s="11"/>
    </row>
    <row r="19" spans="1:20" x14ac:dyDescent="0.2">
      <c r="A19" s="10" t="str">
        <f>name!$D15</f>
        <v>41 Administrative occupations</v>
      </c>
      <c r="B19" s="151">
        <v>72.16613856968074</v>
      </c>
      <c r="C19" s="141">
        <f t="shared" si="0"/>
        <v>8.3428579684141386</v>
      </c>
      <c r="E19" s="151">
        <v>69.940840134492603</v>
      </c>
      <c r="F19" s="141">
        <f t="shared" si="1"/>
        <v>8.0890127838745158</v>
      </c>
      <c r="H19" s="151">
        <f t="shared" si="3"/>
        <v>-2.2252984351881366</v>
      </c>
      <c r="I19" s="141">
        <f t="shared" si="4"/>
        <v>-3.0835769784737455</v>
      </c>
      <c r="K19" s="207">
        <f t="shared" si="2"/>
        <v>-3.0451431584739414E-2</v>
      </c>
      <c r="L19" s="141">
        <f t="shared" si="5"/>
        <v>-4.2196287882767525E-2</v>
      </c>
      <c r="N19" s="151">
        <f t="shared" si="6"/>
        <v>-2.166864573341944</v>
      </c>
      <c r="O19" s="141">
        <f t="shared" si="7"/>
        <v>-3.0026056766910236</v>
      </c>
      <c r="Q19" s="151">
        <v>-2.7982430261453167E-2</v>
      </c>
      <c r="R19" s="141">
        <f t="shared" si="8"/>
        <v>-3.8775013899953165E-2</v>
      </c>
      <c r="T19" s="11"/>
    </row>
    <row r="20" spans="1:20" x14ac:dyDescent="0.2">
      <c r="A20" s="10" t="str">
        <f>name!$D16</f>
        <v>42 Secretarial and related occupations</v>
      </c>
      <c r="B20" s="151">
        <v>21.802106897221897</v>
      </c>
      <c r="C20" s="141">
        <f t="shared" si="0"/>
        <v>2.5204602166717986</v>
      </c>
      <c r="E20" s="151">
        <v>18.438489888023401</v>
      </c>
      <c r="F20" s="141">
        <f t="shared" si="1"/>
        <v>2.1325048445622925</v>
      </c>
      <c r="H20" s="151">
        <f t="shared" si="3"/>
        <v>-3.3636170091984958</v>
      </c>
      <c r="I20" s="141">
        <f t="shared" si="4"/>
        <v>-15.427944762655487</v>
      </c>
      <c r="K20" s="207">
        <f t="shared" si="2"/>
        <v>-9.1996797908604662E-3</v>
      </c>
      <c r="L20" s="141">
        <f t="shared" si="5"/>
        <v>-4.2196287882767525E-2</v>
      </c>
      <c r="N20" s="151">
        <f t="shared" si="6"/>
        <v>-3.2798688472969104</v>
      </c>
      <c r="O20" s="141">
        <f t="shared" si="7"/>
        <v>-15.043816007134811</v>
      </c>
      <c r="Q20" s="151">
        <v>-7.4548482110725137E-2</v>
      </c>
      <c r="R20" s="141">
        <f t="shared" si="8"/>
        <v>-0.34193246763790691</v>
      </c>
      <c r="T20" s="11"/>
    </row>
    <row r="21" spans="1:20" x14ac:dyDescent="0.2">
      <c r="A21" s="10" t="str">
        <f>name!$D17</f>
        <v>51 Skilled agricultural and related trades</v>
      </c>
      <c r="B21" s="151">
        <v>8.4039470707917943</v>
      </c>
      <c r="C21" s="141">
        <f t="shared" si="0"/>
        <v>0.97154895876807557</v>
      </c>
      <c r="E21" s="151">
        <v>7.0314570870948216</v>
      </c>
      <c r="F21" s="141">
        <f t="shared" si="1"/>
        <v>0.81322366384793932</v>
      </c>
      <c r="H21" s="151">
        <f t="shared" si="3"/>
        <v>-1.3724899836969726</v>
      </c>
      <c r="I21" s="141">
        <f t="shared" si="4"/>
        <v>-16.331492477708586</v>
      </c>
      <c r="K21" s="207">
        <f t="shared" si="2"/>
        <v>-3.5461536995067141E-3</v>
      </c>
      <c r="L21" s="141">
        <f t="shared" si="5"/>
        <v>-4.2196287882767525E-2</v>
      </c>
      <c r="N21" s="151">
        <f t="shared" si="6"/>
        <v>-0.80708039597086922</v>
      </c>
      <c r="O21" s="141">
        <f t="shared" si="7"/>
        <v>-9.6035873283389037</v>
      </c>
      <c r="Q21" s="151">
        <v>-0.56186343402659666</v>
      </c>
      <c r="R21" s="141">
        <f t="shared" si="8"/>
        <v>-6.6857088614869111</v>
      </c>
      <c r="T21" s="11"/>
    </row>
    <row r="22" spans="1:20" x14ac:dyDescent="0.2">
      <c r="A22" s="10" t="str">
        <f>name!$D18</f>
        <v>52 Skilled metal, electrical and electronic trades</v>
      </c>
      <c r="B22" s="151">
        <v>28.870477861307073</v>
      </c>
      <c r="C22" s="141">
        <f t="shared" si="0"/>
        <v>3.33760820588402</v>
      </c>
      <c r="E22" s="151">
        <v>25.128095818289641</v>
      </c>
      <c r="F22" s="141">
        <f t="shared" si="1"/>
        <v>2.9061916888288355</v>
      </c>
      <c r="H22" s="151">
        <f t="shared" si="3"/>
        <v>-3.7423820430174324</v>
      </c>
      <c r="I22" s="141">
        <f t="shared" si="4"/>
        <v>-12.962660545473915</v>
      </c>
      <c r="K22" s="207">
        <f t="shared" si="2"/>
        <v>-1.2182269951487797E-2</v>
      </c>
      <c r="L22" s="141">
        <f t="shared" si="5"/>
        <v>-4.2196287882767525E-2</v>
      </c>
      <c r="N22" s="151">
        <f t="shared" si="6"/>
        <v>-4.9105371445479182</v>
      </c>
      <c r="O22" s="141">
        <f t="shared" si="7"/>
        <v>-17.008853016351146</v>
      </c>
      <c r="Q22" s="151">
        <v>1.1803373714819738</v>
      </c>
      <c r="R22" s="141">
        <f t="shared" si="8"/>
        <v>4.0883887587600034</v>
      </c>
      <c r="T22" s="11"/>
    </row>
    <row r="23" spans="1:20" x14ac:dyDescent="0.2">
      <c r="A23" s="10" t="str">
        <f>name!$D19</f>
        <v>53 Skilled construction and building trades</v>
      </c>
      <c r="B23" s="151">
        <v>24.522418259082531</v>
      </c>
      <c r="C23" s="141">
        <f t="shared" si="0"/>
        <v>2.8349452614820176</v>
      </c>
      <c r="E23" s="151">
        <v>20.419196268607529</v>
      </c>
      <c r="F23" s="141">
        <f t="shared" si="1"/>
        <v>2.3615835802886207</v>
      </c>
      <c r="H23" s="151">
        <f t="shared" si="3"/>
        <v>-4.1032219904750029</v>
      </c>
      <c r="I23" s="141">
        <f t="shared" si="4"/>
        <v>-16.732534071982343</v>
      </c>
      <c r="K23" s="207">
        <f t="shared" si="2"/>
        <v>-1.0347550204418814E-2</v>
      </c>
      <c r="L23" s="141">
        <f t="shared" si="5"/>
        <v>-4.2196287882767532E-2</v>
      </c>
      <c r="N23" s="151">
        <f t="shared" si="6"/>
        <v>-6.4256525414099759</v>
      </c>
      <c r="O23" s="141">
        <f t="shared" si="7"/>
        <v>-26.20317651188444</v>
      </c>
      <c r="Q23" s="151">
        <v>2.3327781011393913</v>
      </c>
      <c r="R23" s="141">
        <f t="shared" si="8"/>
        <v>9.5128387277848692</v>
      </c>
      <c r="T23" s="11"/>
    </row>
    <row r="24" spans="1:20" x14ac:dyDescent="0.2">
      <c r="A24" s="10" t="str">
        <f>name!$D20</f>
        <v>54 Textiles, printing and other skilled trades</v>
      </c>
      <c r="B24" s="151">
        <v>19.615673592560057</v>
      </c>
      <c r="C24" s="141">
        <f t="shared" si="0"/>
        <v>2.2676948217131754</v>
      </c>
      <c r="E24" s="151">
        <v>15.944815188072862</v>
      </c>
      <c r="F24" s="141">
        <f t="shared" si="1"/>
        <v>1.84409872178859</v>
      </c>
      <c r="H24" s="151">
        <f t="shared" si="3"/>
        <v>-3.6708584044871948</v>
      </c>
      <c r="I24" s="141">
        <f t="shared" si="4"/>
        <v>-18.713904404891291</v>
      </c>
      <c r="K24" s="207">
        <f t="shared" si="2"/>
        <v>-8.2770860992606478E-3</v>
      </c>
      <c r="L24" s="141">
        <f t="shared" si="5"/>
        <v>-4.2196287882767518E-2</v>
      </c>
      <c r="N24" s="151">
        <f t="shared" si="6"/>
        <v>-3.6990019419360185</v>
      </c>
      <c r="O24" s="141">
        <f t="shared" si="7"/>
        <v>-18.857379148779255</v>
      </c>
      <c r="Q24" s="151">
        <v>3.642062354808432E-2</v>
      </c>
      <c r="R24" s="141">
        <f t="shared" si="8"/>
        <v>0.18567103177072714</v>
      </c>
      <c r="T24" s="11"/>
    </row>
    <row r="25" spans="1:20" x14ac:dyDescent="0.2">
      <c r="A25" s="10" t="str">
        <f>name!$D21</f>
        <v>61 Caring personal service occupations</v>
      </c>
      <c r="B25" s="151">
        <v>58.131005767511112</v>
      </c>
      <c r="C25" s="141">
        <f t="shared" si="0"/>
        <v>6.7203086418588454</v>
      </c>
      <c r="E25" s="151">
        <v>56.991340768895562</v>
      </c>
      <c r="F25" s="141">
        <f t="shared" si="1"/>
        <v>6.5913375241598322</v>
      </c>
      <c r="H25" s="151">
        <f t="shared" si="3"/>
        <v>-1.1396649986155509</v>
      </c>
      <c r="I25" s="141">
        <f t="shared" si="4"/>
        <v>-1.9605114062081097</v>
      </c>
      <c r="K25" s="207">
        <f t="shared" si="2"/>
        <v>-2.4529126542807183E-2</v>
      </c>
      <c r="L25" s="141">
        <f t="shared" si="5"/>
        <v>-4.2196287882767525E-2</v>
      </c>
      <c r="N25" s="151">
        <f t="shared" si="6"/>
        <v>-1.3095252248523408</v>
      </c>
      <c r="O25" s="141">
        <f t="shared" si="7"/>
        <v>-2.252713861669021</v>
      </c>
      <c r="Q25" s="151">
        <v>0.19438935277959707</v>
      </c>
      <c r="R25" s="141">
        <f t="shared" si="8"/>
        <v>0.33439874334367614</v>
      </c>
      <c r="T25" s="11"/>
    </row>
    <row r="26" spans="1:20" x14ac:dyDescent="0.2">
      <c r="A26" s="10" t="str">
        <f>name!$D22</f>
        <v>62 Leisure, travel and related personal service occupations</v>
      </c>
      <c r="B26" s="151">
        <v>22.488059503441097</v>
      </c>
      <c r="C26" s="141">
        <f t="shared" si="0"/>
        <v>2.5997606376195619</v>
      </c>
      <c r="E26" s="151">
        <v>20.996416440378088</v>
      </c>
      <c r="F26" s="141">
        <f t="shared" si="1"/>
        <v>2.4283420198438761</v>
      </c>
      <c r="H26" s="151">
        <f t="shared" si="3"/>
        <v>-1.4916430630630089</v>
      </c>
      <c r="I26" s="141">
        <f t="shared" si="4"/>
        <v>-6.633044806888555</v>
      </c>
      <c r="K26" s="207">
        <f t="shared" si="2"/>
        <v>-9.4891263273200657E-3</v>
      </c>
      <c r="L26" s="141">
        <f t="shared" si="5"/>
        <v>-4.2196287882767525E-2</v>
      </c>
      <c r="N26" s="151">
        <f t="shared" si="6"/>
        <v>-0.4644479131922723</v>
      </c>
      <c r="O26" s="141">
        <f t="shared" si="7"/>
        <v>-2.0653089837351377</v>
      </c>
      <c r="Q26" s="151">
        <v>-1.0177060235434165</v>
      </c>
      <c r="R26" s="141">
        <f t="shared" si="8"/>
        <v>-4.5255395352706547</v>
      </c>
      <c r="T26" s="11"/>
    </row>
    <row r="27" spans="1:20" x14ac:dyDescent="0.2">
      <c r="A27" s="10" t="str">
        <f>name!$D23</f>
        <v>63 Community and civil enforcement occupations</v>
      </c>
      <c r="B27" s="151">
        <v>0.92324802540605289</v>
      </c>
      <c r="C27" s="141">
        <f t="shared" si="0"/>
        <v>0.1067332588142326</v>
      </c>
      <c r="E27" s="151">
        <v>0.94047264745824644</v>
      </c>
      <c r="F27" s="141">
        <f t="shared" si="1"/>
        <v>0.10877043017420505</v>
      </c>
      <c r="H27" s="151">
        <f t="shared" si="3"/>
        <v>1.722462205219355E-2</v>
      </c>
      <c r="I27" s="141">
        <f t="shared" si="4"/>
        <v>1.8656549029301139</v>
      </c>
      <c r="K27" s="207">
        <f t="shared" si="2"/>
        <v>-3.8957639467230475E-4</v>
      </c>
      <c r="L27" s="141">
        <f t="shared" si="5"/>
        <v>-4.2196287882767525E-2</v>
      </c>
      <c r="N27" s="151">
        <f t="shared" si="6"/>
        <v>3.7088701502563021E-2</v>
      </c>
      <c r="O27" s="141">
        <f t="shared" si="7"/>
        <v>4.0171980315095803</v>
      </c>
      <c r="Q27" s="151">
        <v>-1.9474503055697166E-2</v>
      </c>
      <c r="R27" s="141">
        <f t="shared" si="8"/>
        <v>-2.1093468406966918</v>
      </c>
      <c r="T27" s="172"/>
    </row>
    <row r="28" spans="1:20" x14ac:dyDescent="0.2">
      <c r="A28" s="10" t="str">
        <f>name!$D24</f>
        <v>71 Sales occupations</v>
      </c>
      <c r="B28" s="151">
        <v>54.477963592890447</v>
      </c>
      <c r="C28" s="141">
        <f t="shared" si="0"/>
        <v>6.2979940685765321</v>
      </c>
      <c r="E28" s="151">
        <v>52.38875275613151</v>
      </c>
      <c r="F28" s="141">
        <f t="shared" si="1"/>
        <v>6.0590248838975205</v>
      </c>
      <c r="H28" s="151">
        <f t="shared" si="3"/>
        <v>-2.0892108367589373</v>
      </c>
      <c r="I28" s="141">
        <f t="shared" si="4"/>
        <v>-3.8349650004751434</v>
      </c>
      <c r="K28" s="207">
        <f t="shared" si="2"/>
        <v>-2.2987678350325336E-2</v>
      </c>
      <c r="L28" s="141">
        <f t="shared" si="5"/>
        <v>-4.2196287882767525E-2</v>
      </c>
      <c r="N28" s="151">
        <f>H28-(K28+Q28)</f>
        <v>-4.5738255470701814</v>
      </c>
      <c r="O28" s="141">
        <f t="shared" si="7"/>
        <v>-8.3957351659654922</v>
      </c>
      <c r="Q28" s="151">
        <v>2.5076023886615695</v>
      </c>
      <c r="R28" s="141">
        <f t="shared" si="8"/>
        <v>4.6029664533731207</v>
      </c>
      <c r="T28" s="11"/>
    </row>
    <row r="29" spans="1:20" x14ac:dyDescent="0.2">
      <c r="A29" s="10" t="str">
        <f>name!$D25</f>
        <v>72 Customer service occupations</v>
      </c>
      <c r="B29" s="151">
        <v>13.172148960692217</v>
      </c>
      <c r="C29" s="141">
        <f t="shared" si="0"/>
        <v>1.5227829851494747</v>
      </c>
      <c r="E29" s="151">
        <v>13.765892537376093</v>
      </c>
      <c r="F29" s="141">
        <f t="shared" si="1"/>
        <v>1.5920952694041559</v>
      </c>
      <c r="H29" s="151">
        <f t="shared" si="3"/>
        <v>0.59374357668387567</v>
      </c>
      <c r="I29" s="141">
        <f t="shared" si="4"/>
        <v>4.5075680396243767</v>
      </c>
      <c r="K29" s="207">
        <f t="shared" si="2"/>
        <v>-5.5581578958006587E-3</v>
      </c>
      <c r="L29" s="141">
        <f t="shared" si="5"/>
        <v>-4.2196287882767525E-2</v>
      </c>
      <c r="N29" s="151">
        <f t="shared" si="6"/>
        <v>0.65631409903360893</v>
      </c>
      <c r="O29" s="141">
        <f t="shared" si="7"/>
        <v>4.9825894088516183</v>
      </c>
      <c r="Q29" s="151">
        <v>-5.7012364453932603E-2</v>
      </c>
      <c r="R29" s="141">
        <f t="shared" si="8"/>
        <v>-0.43282508134448328</v>
      </c>
      <c r="T29" s="11"/>
    </row>
    <row r="30" spans="1:20" x14ac:dyDescent="0.2">
      <c r="A30" s="10" t="str">
        <f>name!$D26</f>
        <v>81 Process, plant and machine operatives</v>
      </c>
      <c r="B30" s="151">
        <v>12.743962550817093</v>
      </c>
      <c r="C30" s="141">
        <f t="shared" si="0"/>
        <v>1.4732819522219049</v>
      </c>
      <c r="E30" s="151">
        <v>10.939631034552663</v>
      </c>
      <c r="F30" s="141">
        <f t="shared" si="1"/>
        <v>1.2652237965572568</v>
      </c>
      <c r="H30" s="151">
        <f t="shared" si="3"/>
        <v>-1.8043315162644298</v>
      </c>
      <c r="I30" s="141">
        <f t="shared" si="4"/>
        <v>-14.158324061841688</v>
      </c>
      <c r="K30" s="207">
        <f t="shared" si="2"/>
        <v>-5.3774791256148641E-3</v>
      </c>
      <c r="L30" s="141">
        <f t="shared" si="5"/>
        <v>-4.2196287882767525E-2</v>
      </c>
      <c r="N30" s="151">
        <f t="shared" si="6"/>
        <v>-2.4891421145840331</v>
      </c>
      <c r="O30" s="141">
        <f t="shared" si="7"/>
        <v>-19.531932118118466</v>
      </c>
      <c r="Q30" s="151">
        <v>0.69018807744521837</v>
      </c>
      <c r="R30" s="141">
        <f t="shared" si="8"/>
        <v>5.4158043441595503</v>
      </c>
      <c r="T30" s="11"/>
    </row>
    <row r="31" spans="1:20" x14ac:dyDescent="0.2">
      <c r="A31" s="10" t="str">
        <f>name!$D27</f>
        <v>82 Transport and mobile machine drivers and operatives</v>
      </c>
      <c r="B31" s="151">
        <v>25.119721078559419</v>
      </c>
      <c r="C31" s="141">
        <f t="shared" si="0"/>
        <v>2.9039972114102706</v>
      </c>
      <c r="E31" s="151">
        <v>22.703704129983144</v>
      </c>
      <c r="F31" s="141">
        <f t="shared" si="1"/>
        <v>2.6257984976386877</v>
      </c>
      <c r="H31" s="151">
        <f t="shared" si="3"/>
        <v>-2.4160169485762744</v>
      </c>
      <c r="I31" s="141">
        <f t="shared" si="4"/>
        <v>-9.6180086594927605</v>
      </c>
      <c r="K31" s="207">
        <f t="shared" si="2"/>
        <v>-1.0599589821657167E-2</v>
      </c>
      <c r="L31" s="141">
        <f t="shared" si="5"/>
        <v>-4.2196287882767525E-2</v>
      </c>
      <c r="N31" s="151">
        <f t="shared" si="6"/>
        <v>-2.6850029385886316</v>
      </c>
      <c r="O31" s="141">
        <f t="shared" si="7"/>
        <v>-10.688824649730597</v>
      </c>
      <c r="Q31" s="151">
        <v>0.27958557983401428</v>
      </c>
      <c r="R31" s="141">
        <f t="shared" si="8"/>
        <v>1.113012278120598</v>
      </c>
      <c r="T31" s="11"/>
    </row>
    <row r="32" spans="1:20" x14ac:dyDescent="0.2">
      <c r="A32" s="10" t="str">
        <f>name!$D28</f>
        <v>91 Elementary trades and related occupations</v>
      </c>
      <c r="B32" s="151">
        <v>11.210781757562087</v>
      </c>
      <c r="C32" s="141">
        <f t="shared" si="0"/>
        <v>1.2960366422809213</v>
      </c>
      <c r="E32" s="151">
        <v>8.7182083202628089</v>
      </c>
      <c r="F32" s="141">
        <f t="shared" si="1"/>
        <v>1.0083049963294333</v>
      </c>
      <c r="H32" s="151">
        <f t="shared" si="3"/>
        <v>-2.4925734372992778</v>
      </c>
      <c r="I32" s="141">
        <f t="shared" si="4"/>
        <v>-22.233716534691659</v>
      </c>
      <c r="K32" s="207">
        <f t="shared" si="2"/>
        <v>-4.7305337443296833E-3</v>
      </c>
      <c r="L32" s="141">
        <f t="shared" si="5"/>
        <v>-4.2196287882767532E-2</v>
      </c>
      <c r="N32" s="151">
        <f>H32-(K32+Q32)</f>
        <v>-2.8034017248118799</v>
      </c>
      <c r="O32" s="141">
        <f t="shared" si="7"/>
        <v>-25.00630005504194</v>
      </c>
      <c r="Q32" s="151">
        <v>0.31555882125693158</v>
      </c>
      <c r="R32" s="141">
        <f t="shared" si="8"/>
        <v>2.8147798082330473</v>
      </c>
      <c r="T32" s="11"/>
    </row>
    <row r="33" spans="1:20" x14ac:dyDescent="0.2">
      <c r="A33" s="10" t="str">
        <f>name!$D29</f>
        <v>92 Elementary administration and service occupations</v>
      </c>
      <c r="B33" s="151">
        <v>86.066867113344401</v>
      </c>
      <c r="C33" s="141">
        <f t="shared" si="0"/>
        <v>9.9498693202171538</v>
      </c>
      <c r="E33" s="151">
        <v>76.096111817061072</v>
      </c>
      <c r="F33" s="141">
        <f t="shared" si="1"/>
        <v>8.8009011631501064</v>
      </c>
      <c r="H33" s="151">
        <f t="shared" ref="H33" si="9">E33-B33</f>
        <v>-9.970755296283329</v>
      </c>
      <c r="I33" s="141">
        <f>IF(B33&lt;&gt;0,((E33/B33)-1)*100,0)</f>
        <v>-11.584893967561872</v>
      </c>
      <c r="K33" s="207">
        <f t="shared" si="2"/>
        <v>-3.6317023018825771E-2</v>
      </c>
      <c r="L33" s="141">
        <f t="shared" ref="L33" si="10">IF(B33&lt;&gt;0,K33/B33*100,0)</f>
        <v>-4.2196287882767525E-2</v>
      </c>
      <c r="N33" s="151">
        <f>H33-(K33+Q33)</f>
        <v>-8.5941990055490685</v>
      </c>
      <c r="O33" s="141">
        <f t="shared" ref="O33" si="11">IF(B33&lt;&gt;0,N33/B33*100,0)</f>
        <v>-9.9854906932200453</v>
      </c>
      <c r="Q33" s="151">
        <v>-1.3402392677154358</v>
      </c>
      <c r="R33" s="141">
        <f t="shared" ref="R33" si="12">IF(B33&lt;&gt;0,Q33/B33*100,0)</f>
        <v>-1.5572069864590619</v>
      </c>
      <c r="T33" s="11"/>
    </row>
    <row r="34" spans="1:20" x14ac:dyDescent="0.2">
      <c r="A34" s="10"/>
      <c r="B34" s="151"/>
      <c r="C34" s="141"/>
      <c r="E34" s="151"/>
      <c r="F34" s="141"/>
      <c r="H34" s="151"/>
      <c r="I34" s="141"/>
      <c r="K34" s="207"/>
      <c r="L34" s="141"/>
      <c r="N34" s="151"/>
      <c r="O34" s="141"/>
      <c r="Q34" s="151"/>
      <c r="R34" s="141"/>
      <c r="T34" s="11"/>
    </row>
    <row r="35" spans="1:20" x14ac:dyDescent="0.2">
      <c r="A35" s="149" t="str">
        <f>name!$D$3</f>
        <v>All occupations</v>
      </c>
      <c r="B35" s="152">
        <f>SUM(B8:B33)</f>
        <v>865.00500000000022</v>
      </c>
      <c r="C35" s="147">
        <f>B35/B$35*100</f>
        <v>100</v>
      </c>
      <c r="D35" s="145"/>
      <c r="E35" s="152">
        <f>SUM(E8:E33)</f>
        <v>864.63999999999987</v>
      </c>
      <c r="F35" s="147">
        <f t="shared" ref="F35" si="13">E35/E$35*100</f>
        <v>100</v>
      </c>
      <c r="G35" s="145"/>
      <c r="H35" s="152">
        <f>E35-B35</f>
        <v>-0.36500000000035016</v>
      </c>
      <c r="I35" s="147">
        <f>IF(B35&lt;&gt;0,((E35/B35)-1)*100,0)</f>
        <v>-4.2196287882767525E-2</v>
      </c>
      <c r="J35" s="145"/>
      <c r="K35" s="152"/>
      <c r="L35" s="147"/>
      <c r="M35" s="145"/>
      <c r="N35" s="148"/>
      <c r="O35" s="147"/>
      <c r="P35" s="145"/>
      <c r="Q35" s="148"/>
      <c r="R35" s="147"/>
    </row>
    <row r="37" spans="1:20" ht="15.75" x14ac:dyDescent="0.25">
      <c r="A37" s="276" t="str">
        <f>CONCATENATE("ShiftShare Table 1.1  Shift-share by occupation, ",I40,", ",Info!B5)</f>
        <v>ShiftShare Table 1.1  Shift-share by occupation, 2020-2035, Enterprise M3</v>
      </c>
    </row>
    <row r="38" spans="1:20" ht="15.75" x14ac:dyDescent="0.25">
      <c r="A38" s="276"/>
    </row>
    <row r="39" spans="1:20" x14ac:dyDescent="0.2">
      <c r="A39" s="146"/>
      <c r="B39" s="275"/>
      <c r="C39" s="275"/>
      <c r="D39" s="275"/>
      <c r="E39" s="275"/>
      <c r="F39" s="275"/>
      <c r="G39" s="275"/>
      <c r="H39" s="275"/>
      <c r="I39" s="275"/>
      <c r="J39" s="275"/>
      <c r="K39" s="380" t="str">
        <f>K3</f>
        <v>Components of change</v>
      </c>
      <c r="L39" s="380"/>
      <c r="M39" s="380"/>
      <c r="N39" s="380"/>
      <c r="O39" s="380"/>
      <c r="P39" s="380"/>
      <c r="Q39" s="380"/>
      <c r="R39" s="380"/>
    </row>
    <row r="40" spans="1:20" x14ac:dyDescent="0.2">
      <c r="B40" s="270" t="str">
        <f>B4</f>
        <v>Base year</v>
      </c>
      <c r="C40" s="271">
        <v>2020</v>
      </c>
      <c r="D40" s="136"/>
      <c r="E40" s="270" t="str">
        <f>E4</f>
        <v>Target year</v>
      </c>
      <c r="F40" s="271">
        <v>2035</v>
      </c>
      <c r="G40" s="136"/>
      <c r="H40" s="270" t="str">
        <f>H4</f>
        <v>Change</v>
      </c>
      <c r="I40" s="270" t="str">
        <f>CONCATENATE(C40,"-",F40)</f>
        <v>2020-2035</v>
      </c>
      <c r="J40" s="136"/>
      <c r="K40" s="379" t="str">
        <f>K4</f>
        <v>Scale effect</v>
      </c>
      <c r="L40" s="379"/>
      <c r="M40" s="136"/>
      <c r="N40" s="379" t="str">
        <f>N4</f>
        <v>Occupation effect</v>
      </c>
      <c r="O40" s="379"/>
      <c r="P40" s="136"/>
      <c r="Q40" s="379" t="str">
        <f>Q4</f>
        <v>Industry mix effect</v>
      </c>
      <c r="R40" s="379"/>
    </row>
    <row r="41" spans="1:20" x14ac:dyDescent="0.2">
      <c r="A41" s="143" t="str">
        <f>A5</f>
        <v>SOC2020 Sub-Major Groups</v>
      </c>
      <c r="B41" s="272" t="str">
        <f>B5</f>
        <v>000s</v>
      </c>
      <c r="C41" s="272" t="str">
        <f>C5</f>
        <v>% share</v>
      </c>
      <c r="D41" s="136"/>
      <c r="E41" s="272" t="str">
        <f>E5</f>
        <v>000s</v>
      </c>
      <c r="F41" s="272" t="str">
        <f>F5</f>
        <v>% share</v>
      </c>
      <c r="G41" s="136"/>
      <c r="H41" s="272" t="str">
        <f>H5</f>
        <v>000s</v>
      </c>
      <c r="I41" s="272" t="str">
        <f>I5</f>
        <v xml:space="preserve">%   </v>
      </c>
      <c r="J41" s="136"/>
      <c r="K41" s="272" t="str">
        <f>H41</f>
        <v>000s</v>
      </c>
      <c r="L41" s="272" t="str">
        <f>I41</f>
        <v xml:space="preserve">%   </v>
      </c>
      <c r="M41" s="136"/>
      <c r="N41" s="272" t="str">
        <f>K41</f>
        <v>000s</v>
      </c>
      <c r="O41" s="272" t="str">
        <f>L41</f>
        <v xml:space="preserve">%   </v>
      </c>
      <c r="P41" s="136"/>
      <c r="Q41" s="272" t="str">
        <f>Q5</f>
        <v>000s</v>
      </c>
      <c r="R41" s="272" t="str">
        <f>O41</f>
        <v xml:space="preserve">%   </v>
      </c>
    </row>
    <row r="42" spans="1:20" x14ac:dyDescent="0.2">
      <c r="A42" s="273"/>
      <c r="B42" s="272"/>
      <c r="C42" s="272"/>
      <c r="D42" s="274"/>
      <c r="E42" s="272"/>
      <c r="F42" s="272"/>
      <c r="G42" s="274"/>
      <c r="H42" s="272"/>
      <c r="I42" s="272"/>
      <c r="J42" s="274"/>
      <c r="K42" s="272"/>
      <c r="L42" s="272"/>
      <c r="M42" s="274"/>
      <c r="N42" s="272"/>
      <c r="O42" s="272"/>
      <c r="P42" s="274"/>
      <c r="Q42" s="272"/>
      <c r="R42" s="272"/>
    </row>
    <row r="43" spans="1:20" x14ac:dyDescent="0.2">
      <c r="A43" s="143"/>
      <c r="B43" s="270"/>
      <c r="C43" s="270"/>
      <c r="D43" s="275"/>
      <c r="E43" s="270"/>
      <c r="F43" s="270"/>
      <c r="G43" s="275"/>
      <c r="H43" s="270"/>
      <c r="I43" s="270"/>
      <c r="J43" s="275"/>
      <c r="K43" s="270"/>
      <c r="L43" s="270"/>
      <c r="M43" s="275"/>
      <c r="N43" s="270"/>
      <c r="O43" s="270"/>
      <c r="P43" s="275"/>
      <c r="Q43" s="270"/>
      <c r="R43" s="144"/>
    </row>
    <row r="44" spans="1:20" x14ac:dyDescent="0.2">
      <c r="A44" s="135" t="str">
        <f t="shared" ref="A44:A68" si="14">A8</f>
        <v>11 Corporate managers and directors</v>
      </c>
      <c r="B44" s="151">
        <v>78.879841298032446</v>
      </c>
      <c r="C44" s="141">
        <f t="shared" ref="C44:C68" si="15">B44/B$71*100</f>
        <v>9.1228535920189273</v>
      </c>
      <c r="E44" s="151">
        <v>81.205940364543608</v>
      </c>
      <c r="F44" s="141">
        <f t="shared" ref="F44:F68" si="16">E44/E$71*100</f>
        <v>8.774486304865551</v>
      </c>
      <c r="H44" s="151">
        <f>E44-B44</f>
        <v>2.3260990665111621</v>
      </c>
      <c r="I44" s="141">
        <f>IF(B44&gt;0,((E44/B44)-1)*100,0)</f>
        <v>2.948914485923515</v>
      </c>
      <c r="K44" s="151">
        <f>(($E$71/$B$71)-1)*B44</f>
        <v>5.5501616683124881</v>
      </c>
      <c r="L44" s="141">
        <f>IF(B44&gt;0,K44/B44*100,0)</f>
        <v>7.0362231680237031</v>
      </c>
      <c r="N44" s="151">
        <f>H44-(K44+Q44)</f>
        <v>-2.4860601050721911</v>
      </c>
      <c r="O44" s="141">
        <f>IF(B44&gt;0,N44/B44*100,0)</f>
        <v>-3.1517052572140538</v>
      </c>
      <c r="Q44" s="151">
        <v>-0.73800249672913476</v>
      </c>
      <c r="R44" s="141">
        <f>IF(B44&gt;0,Q44/B44*100,0)</f>
        <v>-0.93560342488612902</v>
      </c>
      <c r="T44" s="151"/>
    </row>
    <row r="45" spans="1:20" x14ac:dyDescent="0.2">
      <c r="A45" s="135" t="str">
        <f t="shared" si="14"/>
        <v>12 Other managers and proprietors</v>
      </c>
      <c r="B45" s="151">
        <v>31.0501044843197</v>
      </c>
      <c r="C45" s="141">
        <f t="shared" si="15"/>
        <v>3.591102017524022</v>
      </c>
      <c r="E45" s="151">
        <v>45.743508847547353</v>
      </c>
      <c r="F45" s="141">
        <f t="shared" si="16"/>
        <v>4.9426900312646387</v>
      </c>
      <c r="H45" s="151">
        <f t="shared" ref="H45:H71" si="17">E45-B45</f>
        <v>14.693404363227653</v>
      </c>
      <c r="I45" s="141">
        <f t="shared" ref="I45:I71" si="18">IF(B45&gt;0,((E45/B45)-1)*100,0)</f>
        <v>47.321593943903871</v>
      </c>
      <c r="K45" s="151">
        <f t="shared" ref="K45:K68" si="19">(($E$71/$B$71)-1)*B45</f>
        <v>2.1847546454212696</v>
      </c>
      <c r="L45" s="141">
        <f t="shared" ref="L45:L68" si="20">IF(B45&gt;0,K45/B45*100,0)</f>
        <v>7.0362231680237031</v>
      </c>
      <c r="N45" s="151">
        <f t="shared" ref="N45:N68" si="21">H45-(K45+Q45)</f>
        <v>11.976326420172091</v>
      </c>
      <c r="O45" s="141">
        <f t="shared" ref="O45:O68" si="22">IF(B45&gt;0,N45/B45*100,0)</f>
        <v>38.570969789232542</v>
      </c>
      <c r="Q45" s="151">
        <v>0.53232329763429209</v>
      </c>
      <c r="R45" s="141">
        <f>IF(B45&gt;0,Q45/B45*100,0)</f>
        <v>1.7144009866476142</v>
      </c>
      <c r="T45" s="151"/>
    </row>
    <row r="46" spans="1:20" x14ac:dyDescent="0.2">
      <c r="A46" s="135" t="str">
        <f t="shared" si="14"/>
        <v>21 Science, research, engineering and technology professionals</v>
      </c>
      <c r="B46" s="151">
        <v>69.933180691612307</v>
      </c>
      <c r="C46" s="141">
        <f t="shared" si="15"/>
        <v>8.0881269304695973</v>
      </c>
      <c r="E46" s="151">
        <v>81.977793168316026</v>
      </c>
      <c r="F46" s="141">
        <f t="shared" si="16"/>
        <v>8.8578867534739931</v>
      </c>
      <c r="H46" s="151">
        <f t="shared" si="17"/>
        <v>12.044612476703719</v>
      </c>
      <c r="I46" s="141">
        <f t="shared" si="18"/>
        <v>17.223029694326964</v>
      </c>
      <c r="K46" s="151">
        <f t="shared" si="19"/>
        <v>4.9206546619591043</v>
      </c>
      <c r="L46" s="141">
        <f t="shared" si="20"/>
        <v>7.0362231680237031</v>
      </c>
      <c r="N46" s="151">
        <f t="shared" si="21"/>
        <v>6.3958003137023489</v>
      </c>
      <c r="O46" s="141">
        <f t="shared" si="22"/>
        <v>9.1455876172802952</v>
      </c>
      <c r="Q46" s="151">
        <v>0.72815750104226618</v>
      </c>
      <c r="R46" s="141">
        <f t="shared" ref="R46:R68" si="23">IF(B46&gt;0,Q46/B46*100,0)</f>
        <v>1.0412189090229675</v>
      </c>
      <c r="T46" s="151"/>
    </row>
    <row r="47" spans="1:20" x14ac:dyDescent="0.2">
      <c r="A47" s="135" t="str">
        <f t="shared" si="14"/>
        <v>22 Health professionals</v>
      </c>
      <c r="B47" s="151">
        <v>33.507088363575704</v>
      </c>
      <c r="C47" s="141">
        <f t="shared" si="15"/>
        <v>3.8752646608502626</v>
      </c>
      <c r="E47" s="151">
        <v>37.145736440383374</v>
      </c>
      <c r="F47" s="141">
        <f t="shared" si="16"/>
        <v>4.0136811939758026</v>
      </c>
      <c r="H47" s="151">
        <f t="shared" si="17"/>
        <v>3.6386480768076694</v>
      </c>
      <c r="I47" s="141">
        <f t="shared" si="18"/>
        <v>10.859338290828946</v>
      </c>
      <c r="K47" s="151">
        <f t="shared" si="19"/>
        <v>2.357633514368088</v>
      </c>
      <c r="L47" s="141">
        <f t="shared" si="20"/>
        <v>7.0362231680237031</v>
      </c>
      <c r="N47" s="151">
        <f t="shared" si="21"/>
        <v>1.6778210966978606</v>
      </c>
      <c r="O47" s="141">
        <f t="shared" si="22"/>
        <v>5.0073616617842474</v>
      </c>
      <c r="Q47" s="151">
        <v>-0.39680653425827916</v>
      </c>
      <c r="R47" s="141">
        <f t="shared" si="23"/>
        <v>-1.1842465389789958</v>
      </c>
      <c r="T47" s="151"/>
    </row>
    <row r="48" spans="1:20" x14ac:dyDescent="0.2">
      <c r="A48" s="135" t="str">
        <f t="shared" si="14"/>
        <v>23 Teaching and other educational professionals</v>
      </c>
      <c r="B48" s="151">
        <v>39.418497018336062</v>
      </c>
      <c r="C48" s="141">
        <f t="shared" si="15"/>
        <v>4.5589490444966767</v>
      </c>
      <c r="E48" s="151">
        <v>43.903871917542446</v>
      </c>
      <c r="F48" s="141">
        <f t="shared" si="16"/>
        <v>4.743913082487369</v>
      </c>
      <c r="H48" s="151">
        <f t="shared" si="17"/>
        <v>4.4853748992063842</v>
      </c>
      <c r="I48" s="141">
        <f t="shared" si="18"/>
        <v>11.378858247994472</v>
      </c>
      <c r="K48" s="151">
        <f t="shared" si="19"/>
        <v>2.7735734196908948</v>
      </c>
      <c r="L48" s="141">
        <f t="shared" si="20"/>
        <v>7.0362231680237031</v>
      </c>
      <c r="N48" s="151">
        <f t="shared" si="21"/>
        <v>3.2302043874786595</v>
      </c>
      <c r="O48" s="141">
        <f t="shared" si="22"/>
        <v>8.1946411756290072</v>
      </c>
      <c r="Q48" s="151">
        <v>-1.51840290796317</v>
      </c>
      <c r="R48" s="141">
        <f t="shared" si="23"/>
        <v>-3.8520060956582483</v>
      </c>
      <c r="T48" s="151"/>
    </row>
    <row r="49" spans="1:20" x14ac:dyDescent="0.2">
      <c r="A49" s="135" t="str">
        <f t="shared" si="14"/>
        <v>24 Business, media and public service professionals</v>
      </c>
      <c r="B49" s="151">
        <v>67.322193591479675</v>
      </c>
      <c r="C49" s="141">
        <f t="shared" si="15"/>
        <v>7.786153033803628</v>
      </c>
      <c r="E49" s="151">
        <v>83.502594033223147</v>
      </c>
      <c r="F49" s="141">
        <f t="shared" si="16"/>
        <v>9.0226449503092621</v>
      </c>
      <c r="H49" s="151">
        <f t="shared" si="17"/>
        <v>16.180400441743473</v>
      </c>
      <c r="I49" s="141">
        <f t="shared" si="18"/>
        <v>24.034273957156493</v>
      </c>
      <c r="K49" s="151">
        <f t="shared" si="19"/>
        <v>4.7369397827054618</v>
      </c>
      <c r="L49" s="141">
        <f t="shared" si="20"/>
        <v>7.0362231680237031</v>
      </c>
      <c r="N49" s="151">
        <f t="shared" si="21"/>
        <v>11.441409122985821</v>
      </c>
      <c r="O49" s="141">
        <f t="shared" si="22"/>
        <v>16.995003449254586</v>
      </c>
      <c r="Q49" s="151">
        <v>2.051536052189096E-3</v>
      </c>
      <c r="R49" s="141">
        <f t="shared" si="23"/>
        <v>3.0473398781954413E-3</v>
      </c>
      <c r="T49" s="151"/>
    </row>
    <row r="50" spans="1:20" x14ac:dyDescent="0.2">
      <c r="A50" s="135" t="str">
        <f t="shared" si="14"/>
        <v>31 Science, engineering and technology associate professionals</v>
      </c>
      <c r="B50" s="151">
        <v>18.372333308333101</v>
      </c>
      <c r="C50" s="141">
        <f t="shared" si="15"/>
        <v>2.1248535006861933</v>
      </c>
      <c r="E50" s="151">
        <v>17.616695063451782</v>
      </c>
      <c r="F50" s="141">
        <f t="shared" si="16"/>
        <v>1.9035239155821948</v>
      </c>
      <c r="H50" s="151">
        <f t="shared" si="17"/>
        <v>-0.75563824488131814</v>
      </c>
      <c r="I50" s="141">
        <f t="shared" si="18"/>
        <v>-4.112913870001389</v>
      </c>
      <c r="K50" s="151">
        <f t="shared" si="19"/>
        <v>1.2927183727474694</v>
      </c>
      <c r="L50" s="141">
        <f t="shared" si="20"/>
        <v>7.0362231680237031</v>
      </c>
      <c r="N50" s="151">
        <f t="shared" si="21"/>
        <v>-2.0190341590441379</v>
      </c>
      <c r="O50" s="141">
        <f t="shared" si="22"/>
        <v>-10.989535869830801</v>
      </c>
      <c r="Q50" s="151">
        <v>-2.9322458584649599E-2</v>
      </c>
      <c r="R50" s="141">
        <f t="shared" si="23"/>
        <v>-0.1596011681942972</v>
      </c>
      <c r="T50" s="151"/>
    </row>
    <row r="51" spans="1:20" x14ac:dyDescent="0.2">
      <c r="A51" s="135" t="str">
        <f t="shared" si="14"/>
        <v>32 Health and social care associate professionals</v>
      </c>
      <c r="B51" s="151">
        <v>14.702827358199553</v>
      </c>
      <c r="C51" s="141">
        <f t="shared" si="15"/>
        <v>1.700456531990141</v>
      </c>
      <c r="E51" s="151">
        <v>15.567270685868875</v>
      </c>
      <c r="F51" s="141">
        <f t="shared" si="16"/>
        <v>1.6820789565898786</v>
      </c>
      <c r="H51" s="151">
        <f t="shared" si="17"/>
        <v>0.86444332766932241</v>
      </c>
      <c r="I51" s="141">
        <f t="shared" si="18"/>
        <v>5.8794360200878915</v>
      </c>
      <c r="K51" s="151">
        <f t="shared" si="19"/>
        <v>1.0345237449321643</v>
      </c>
      <c r="L51" s="141">
        <f t="shared" si="20"/>
        <v>7.0362231680237031</v>
      </c>
      <c r="N51" s="151">
        <f t="shared" si="21"/>
        <v>7.4447082055212332E-3</v>
      </c>
      <c r="O51" s="141">
        <f t="shared" si="22"/>
        <v>5.0634534597656329E-2</v>
      </c>
      <c r="Q51" s="151">
        <v>-0.17752512546836305</v>
      </c>
      <c r="R51" s="141">
        <f t="shared" si="23"/>
        <v>-1.2074216825334609</v>
      </c>
      <c r="T51" s="151"/>
    </row>
    <row r="52" spans="1:20" x14ac:dyDescent="0.2">
      <c r="A52" s="135" t="str">
        <f t="shared" si="14"/>
        <v>33 Protective service occupations</v>
      </c>
      <c r="B52" s="151">
        <v>10.190391215898869</v>
      </c>
      <c r="C52" s="141">
        <f t="shared" si="15"/>
        <v>1.1785704126455947</v>
      </c>
      <c r="E52" s="151">
        <v>13.966560653587337</v>
      </c>
      <c r="F52" s="141">
        <f t="shared" si="16"/>
        <v>1.5091186018022402</v>
      </c>
      <c r="H52" s="151">
        <f t="shared" si="17"/>
        <v>3.776169437688468</v>
      </c>
      <c r="I52" s="141">
        <f t="shared" si="18"/>
        <v>37.056177311396588</v>
      </c>
      <c r="K52" s="151">
        <f t="shared" si="19"/>
        <v>0.71701866764532851</v>
      </c>
      <c r="L52" s="141">
        <f t="shared" si="20"/>
        <v>7.0362231680237031</v>
      </c>
      <c r="N52" s="151">
        <f t="shared" si="21"/>
        <v>3.2763842967411234</v>
      </c>
      <c r="O52" s="141">
        <f t="shared" si="22"/>
        <v>32.15170278869536</v>
      </c>
      <c r="Q52" s="151">
        <v>-0.21723352669798374</v>
      </c>
      <c r="R52" s="141">
        <f t="shared" si="23"/>
        <v>-2.1317486453224661</v>
      </c>
      <c r="T52" s="151"/>
    </row>
    <row r="53" spans="1:20" x14ac:dyDescent="0.2">
      <c r="A53" s="135" t="str">
        <f t="shared" si="14"/>
        <v>34 Culture, media and sports occupations</v>
      </c>
      <c r="B53" s="151">
        <v>20.723051149864897</v>
      </c>
      <c r="C53" s="141">
        <f t="shared" si="15"/>
        <v>2.3967259379469952</v>
      </c>
      <c r="E53" s="151">
        <v>22.738822976872477</v>
      </c>
      <c r="F53" s="141">
        <f t="shared" si="16"/>
        <v>2.4569814708585702</v>
      </c>
      <c r="H53" s="151">
        <f t="shared" si="17"/>
        <v>2.0157718270075797</v>
      </c>
      <c r="I53" s="141">
        <f t="shared" si="18"/>
        <v>9.7271961181291555</v>
      </c>
      <c r="K53" s="151">
        <f t="shared" si="19"/>
        <v>1.4581201261281962</v>
      </c>
      <c r="L53" s="141">
        <f t="shared" si="20"/>
        <v>7.0362231680237031</v>
      </c>
      <c r="N53" s="151">
        <f t="shared" si="21"/>
        <v>-6.0504239547825911E-2</v>
      </c>
      <c r="O53" s="141">
        <f t="shared" si="22"/>
        <v>-0.29196588432017823</v>
      </c>
      <c r="Q53" s="151">
        <v>0.61815594042720967</v>
      </c>
      <c r="R53" s="141">
        <f t="shared" si="23"/>
        <v>2.9829388344256422</v>
      </c>
      <c r="T53" s="151"/>
    </row>
    <row r="54" spans="1:20" x14ac:dyDescent="0.2">
      <c r="A54" s="135" t="str">
        <f t="shared" si="14"/>
        <v>35 Business and public service associate professionals</v>
      </c>
      <c r="B54" s="151">
        <v>60.097066683667329</v>
      </c>
      <c r="C54" s="141">
        <f t="shared" si="15"/>
        <v>6.9505304732220736</v>
      </c>
      <c r="E54" s="151">
        <v>60.637317723298622</v>
      </c>
      <c r="F54" s="141">
        <f t="shared" si="16"/>
        <v>6.5519999095925163</v>
      </c>
      <c r="H54" s="151">
        <f t="shared" si="17"/>
        <v>0.54025103963129339</v>
      </c>
      <c r="I54" s="141">
        <f t="shared" si="18"/>
        <v>0.89896407502716436</v>
      </c>
      <c r="K54" s="151">
        <f t="shared" si="19"/>
        <v>4.2285637292988545</v>
      </c>
      <c r="L54" s="141">
        <f t="shared" si="20"/>
        <v>7.0362231680237031</v>
      </c>
      <c r="N54" s="151">
        <f t="shared" si="21"/>
        <v>-2.8848270665684232</v>
      </c>
      <c r="O54" s="141">
        <f t="shared" si="22"/>
        <v>-4.8002793243691491</v>
      </c>
      <c r="Q54" s="151">
        <v>-0.80348562309913762</v>
      </c>
      <c r="R54" s="141">
        <f t="shared" si="23"/>
        <v>-1.3369797686273799</v>
      </c>
      <c r="T54" s="151"/>
    </row>
    <row r="55" spans="1:20" x14ac:dyDescent="0.2">
      <c r="A55" s="135" t="str">
        <f t="shared" si="14"/>
        <v>41 Administrative occupations</v>
      </c>
      <c r="B55" s="151">
        <v>69.940840134492603</v>
      </c>
      <c r="C55" s="141">
        <f t="shared" si="15"/>
        <v>8.0890127838745158</v>
      </c>
      <c r="E55" s="151">
        <v>58.446301695484934</v>
      </c>
      <c r="F55" s="141">
        <f t="shared" si="16"/>
        <v>6.3152556511861917</v>
      </c>
      <c r="H55" s="151">
        <f t="shared" si="17"/>
        <v>-11.49453843900767</v>
      </c>
      <c r="I55" s="141">
        <f t="shared" si="18"/>
        <v>-16.434658801501769</v>
      </c>
      <c r="K55" s="151">
        <f t="shared" si="19"/>
        <v>4.9211935974535894</v>
      </c>
      <c r="L55" s="141">
        <f t="shared" si="20"/>
        <v>7.0362231680237031</v>
      </c>
      <c r="N55" s="151">
        <f t="shared" si="21"/>
        <v>-15.573070773421591</v>
      </c>
      <c r="O55" s="141">
        <f t="shared" si="22"/>
        <v>-22.266061922441001</v>
      </c>
      <c r="Q55" s="151">
        <v>-0.84266126303966682</v>
      </c>
      <c r="R55" s="141">
        <f t="shared" si="23"/>
        <v>-1.2048200470844688</v>
      </c>
      <c r="T55" s="151"/>
    </row>
    <row r="56" spans="1:20" x14ac:dyDescent="0.2">
      <c r="A56" s="135" t="str">
        <f t="shared" si="14"/>
        <v>42 Secretarial and related occupations</v>
      </c>
      <c r="B56" s="151">
        <v>18.438489888023401</v>
      </c>
      <c r="C56" s="141">
        <f t="shared" si="15"/>
        <v>2.1325048445622925</v>
      </c>
      <c r="E56" s="151">
        <v>14.878254872716308</v>
      </c>
      <c r="F56" s="141">
        <f t="shared" si="16"/>
        <v>1.6076292329711035</v>
      </c>
      <c r="H56" s="151">
        <f t="shared" si="17"/>
        <v>-3.560235015307093</v>
      </c>
      <c r="I56" s="141">
        <f t="shared" si="18"/>
        <v>-19.308712573146348</v>
      </c>
      <c r="K56" s="151">
        <f t="shared" si="19"/>
        <v>1.2973732973348102</v>
      </c>
      <c r="L56" s="141">
        <f t="shared" si="20"/>
        <v>7.0362231680237031</v>
      </c>
      <c r="N56" s="151">
        <f t="shared" si="21"/>
        <v>-4.9620122777136135</v>
      </c>
      <c r="O56" s="141">
        <f t="shared" si="22"/>
        <v>-26.91116413463261</v>
      </c>
      <c r="Q56" s="151">
        <v>0.10440396507170985</v>
      </c>
      <c r="R56" s="141">
        <f t="shared" si="23"/>
        <v>0.56622839346255116</v>
      </c>
      <c r="T56" s="151"/>
    </row>
    <row r="57" spans="1:20" x14ac:dyDescent="0.2">
      <c r="A57" s="135" t="str">
        <f t="shared" si="14"/>
        <v>51 Skilled agricultural and related trades</v>
      </c>
      <c r="B57" s="151">
        <v>7.0314570870948216</v>
      </c>
      <c r="C57" s="141">
        <f t="shared" si="15"/>
        <v>0.81322366384793932</v>
      </c>
      <c r="E57" s="151">
        <v>8.8852578157912987</v>
      </c>
      <c r="F57" s="141">
        <f t="shared" si="16"/>
        <v>0.96007228867583017</v>
      </c>
      <c r="H57" s="151">
        <f t="shared" si="17"/>
        <v>1.8538007286964771</v>
      </c>
      <c r="I57" s="141">
        <f t="shared" si="18"/>
        <v>26.3643894250432</v>
      </c>
      <c r="K57" s="151">
        <f t="shared" si="19"/>
        <v>0.49474901261181042</v>
      </c>
      <c r="L57" s="141">
        <f t="shared" si="20"/>
        <v>7.0362231680237031</v>
      </c>
      <c r="N57" s="151">
        <f t="shared" si="21"/>
        <v>1.2621323474030781</v>
      </c>
      <c r="O57" s="141">
        <f t="shared" si="22"/>
        <v>17.949798054225937</v>
      </c>
      <c r="Q57" s="151">
        <v>9.6919368681588389E-2</v>
      </c>
      <c r="R57" s="141">
        <f t="shared" si="23"/>
        <v>1.3783682027935471</v>
      </c>
      <c r="T57" s="151"/>
    </row>
    <row r="58" spans="1:20" x14ac:dyDescent="0.2">
      <c r="A58" s="135" t="str">
        <f t="shared" si="14"/>
        <v>52 Skilled metal, electrical and electronic trades</v>
      </c>
      <c r="B58" s="151">
        <v>25.128095818289641</v>
      </c>
      <c r="C58" s="141">
        <f t="shared" si="15"/>
        <v>2.9061916888288355</v>
      </c>
      <c r="E58" s="151">
        <v>25.16053680105826</v>
      </c>
      <c r="F58" s="141">
        <f t="shared" si="16"/>
        <v>2.7186531501622149</v>
      </c>
      <c r="H58" s="151">
        <f t="shared" si="17"/>
        <v>3.2440982768619619E-2</v>
      </c>
      <c r="I58" s="141">
        <f t="shared" si="18"/>
        <v>0.12910243180865866</v>
      </c>
      <c r="K58" s="151">
        <f t="shared" si="19"/>
        <v>1.7680688996496909</v>
      </c>
      <c r="L58" s="141">
        <f t="shared" si="20"/>
        <v>7.0362231680237031</v>
      </c>
      <c r="N58" s="151">
        <f t="shared" si="21"/>
        <v>-1.2312704009024635</v>
      </c>
      <c r="O58" s="141">
        <f t="shared" si="22"/>
        <v>-4.8999749515690549</v>
      </c>
      <c r="Q58" s="151">
        <v>-0.50435751597860778</v>
      </c>
      <c r="R58" s="141">
        <f t="shared" si="23"/>
        <v>-2.0071457846459979</v>
      </c>
      <c r="T58" s="151"/>
    </row>
    <row r="59" spans="1:20" x14ac:dyDescent="0.2">
      <c r="A59" s="135" t="str">
        <f t="shared" si="14"/>
        <v>53 Skilled construction and building trades</v>
      </c>
      <c r="B59" s="151">
        <v>20.419196268607529</v>
      </c>
      <c r="C59" s="141">
        <f t="shared" si="15"/>
        <v>2.3615835802886207</v>
      </c>
      <c r="E59" s="151">
        <v>20.361165478126061</v>
      </c>
      <c r="F59" s="141">
        <f t="shared" si="16"/>
        <v>2.2000701775867237</v>
      </c>
      <c r="H59" s="151">
        <f t="shared" si="17"/>
        <v>-5.803079048146742E-2</v>
      </c>
      <c r="I59" s="141">
        <f t="shared" si="18"/>
        <v>-0.28419723145853837</v>
      </c>
      <c r="K59" s="151">
        <f t="shared" si="19"/>
        <v>1.4367402185759943</v>
      </c>
      <c r="L59" s="141">
        <f t="shared" si="20"/>
        <v>7.0362231680237031</v>
      </c>
      <c r="N59" s="151">
        <f t="shared" si="21"/>
        <v>-2.6969290219446496</v>
      </c>
      <c r="O59" s="141">
        <f t="shared" si="22"/>
        <v>-13.207811837779865</v>
      </c>
      <c r="Q59" s="151">
        <v>1.202158012887188</v>
      </c>
      <c r="R59" s="141">
        <f t="shared" si="23"/>
        <v>5.8873914382976258</v>
      </c>
      <c r="T59" s="151"/>
    </row>
    <row r="60" spans="1:20" x14ac:dyDescent="0.2">
      <c r="A60" s="135" t="str">
        <f t="shared" si="14"/>
        <v>54 Textiles, printing and other skilled trades</v>
      </c>
      <c r="B60" s="151">
        <v>15.944815188072862</v>
      </c>
      <c r="C60" s="141">
        <f t="shared" si="15"/>
        <v>1.84409872178859</v>
      </c>
      <c r="E60" s="151">
        <v>17.376454790945417</v>
      </c>
      <c r="F60" s="141">
        <f t="shared" si="16"/>
        <v>1.8775654084641036</v>
      </c>
      <c r="H60" s="151">
        <f t="shared" si="17"/>
        <v>1.4316396028725542</v>
      </c>
      <c r="I60" s="141">
        <f t="shared" si="18"/>
        <v>8.9787155635611136</v>
      </c>
      <c r="K60" s="151">
        <f t="shared" si="19"/>
        <v>1.121912780361745</v>
      </c>
      <c r="L60" s="141">
        <f t="shared" si="20"/>
        <v>7.0362231680237031</v>
      </c>
      <c r="N60" s="151">
        <f t="shared" si="21"/>
        <v>-0.53650821305662255</v>
      </c>
      <c r="O60" s="141">
        <f t="shared" si="22"/>
        <v>-3.3647816342076182</v>
      </c>
      <c r="Q60" s="151">
        <v>0.84623503556743174</v>
      </c>
      <c r="R60" s="141">
        <f t="shared" si="23"/>
        <v>5.3072740297450274</v>
      </c>
      <c r="T60" s="151"/>
    </row>
    <row r="61" spans="1:20" x14ac:dyDescent="0.2">
      <c r="A61" s="135" t="str">
        <f t="shared" si="14"/>
        <v>61 Caring personal service occupations</v>
      </c>
      <c r="B61" s="151">
        <v>56.991340768895562</v>
      </c>
      <c r="C61" s="141">
        <f t="shared" si="15"/>
        <v>6.5913375241598322</v>
      </c>
      <c r="E61" s="151">
        <v>65.879337343067263</v>
      </c>
      <c r="F61" s="141">
        <f t="shared" si="16"/>
        <v>7.118412036057828</v>
      </c>
      <c r="H61" s="151">
        <f t="shared" si="17"/>
        <v>8.8879965741717015</v>
      </c>
      <c r="I61" s="141">
        <f t="shared" si="18"/>
        <v>15.595345633669577</v>
      </c>
      <c r="K61" s="151">
        <f t="shared" si="19"/>
        <v>4.0100379229483671</v>
      </c>
      <c r="L61" s="141">
        <f t="shared" si="20"/>
        <v>7.0362231680237013</v>
      </c>
      <c r="N61" s="151">
        <f t="shared" si="21"/>
        <v>5.6089003489949816</v>
      </c>
      <c r="O61" s="141">
        <f t="shared" si="22"/>
        <v>9.8416711614831467</v>
      </c>
      <c r="Q61" s="151">
        <v>-0.73094169777164741</v>
      </c>
      <c r="R61" s="141">
        <f t="shared" si="23"/>
        <v>-1.2825486958372754</v>
      </c>
      <c r="T61" s="151"/>
    </row>
    <row r="62" spans="1:20" x14ac:dyDescent="0.2">
      <c r="A62" s="135" t="str">
        <f t="shared" si="14"/>
        <v>62 Leisure, travel and related personal service occupations</v>
      </c>
      <c r="B62" s="151">
        <v>20.996416440378088</v>
      </c>
      <c r="C62" s="141">
        <f t="shared" si="15"/>
        <v>2.4283420198438761</v>
      </c>
      <c r="E62" s="151">
        <v>21.871543451721784</v>
      </c>
      <c r="F62" s="141">
        <f t="shared" si="16"/>
        <v>2.3632699482561215</v>
      </c>
      <c r="H62" s="151">
        <f t="shared" si="17"/>
        <v>0.87512701134369664</v>
      </c>
      <c r="I62" s="141">
        <f t="shared" si="18"/>
        <v>4.1679827309042405</v>
      </c>
      <c r="K62" s="151">
        <f t="shared" si="19"/>
        <v>1.4773547180326208</v>
      </c>
      <c r="L62" s="141">
        <f t="shared" si="20"/>
        <v>7.0362231680237031</v>
      </c>
      <c r="N62" s="151">
        <f t="shared" si="21"/>
        <v>2.8617083342270422E-2</v>
      </c>
      <c r="O62" s="141">
        <f t="shared" si="22"/>
        <v>0.13629508360882514</v>
      </c>
      <c r="Q62" s="151">
        <v>-0.63084479003119454</v>
      </c>
      <c r="R62" s="141">
        <f t="shared" si="23"/>
        <v>-3.0045355207282922</v>
      </c>
      <c r="T62" s="151"/>
    </row>
    <row r="63" spans="1:20" x14ac:dyDescent="0.2">
      <c r="A63" s="135" t="str">
        <f t="shared" si="14"/>
        <v>63 Community and civil enforcement occupations</v>
      </c>
      <c r="B63" s="151">
        <v>0.94047264745824644</v>
      </c>
      <c r="C63" s="141">
        <f t="shared" si="15"/>
        <v>0.10877043017420505</v>
      </c>
      <c r="E63" s="151">
        <v>0.80008169119102535</v>
      </c>
      <c r="F63" s="141">
        <f t="shared" si="16"/>
        <v>8.6450644012178071E-2</v>
      </c>
      <c r="H63" s="151">
        <f t="shared" si="17"/>
        <v>-0.14039095626722109</v>
      </c>
      <c r="I63" s="141">
        <f t="shared" si="18"/>
        <v>-14.927702219373041</v>
      </c>
      <c r="K63" s="151">
        <f t="shared" si="19"/>
        <v>6.617375430938302E-2</v>
      </c>
      <c r="L63" s="141">
        <f t="shared" si="20"/>
        <v>7.0362231680237031</v>
      </c>
      <c r="N63" s="151">
        <f t="shared" si="21"/>
        <v>-0.22216514154083697</v>
      </c>
      <c r="O63" s="141">
        <f t="shared" si="22"/>
        <v>-23.622711637735357</v>
      </c>
      <c r="Q63" s="151">
        <v>1.5600430964232857E-2</v>
      </c>
      <c r="R63" s="141">
        <f t="shared" si="23"/>
        <v>1.6587862503386053</v>
      </c>
      <c r="T63" s="151"/>
    </row>
    <row r="64" spans="1:20" x14ac:dyDescent="0.2">
      <c r="A64" s="135" t="str">
        <f t="shared" si="14"/>
        <v>71 Sales occupations</v>
      </c>
      <c r="B64" s="151">
        <v>52.38875275613151</v>
      </c>
      <c r="C64" s="141">
        <f t="shared" si="15"/>
        <v>6.0590248838975205</v>
      </c>
      <c r="E64" s="151">
        <v>46.442664895555289</v>
      </c>
      <c r="F64" s="141">
        <f t="shared" si="16"/>
        <v>5.0182354302917291</v>
      </c>
      <c r="H64" s="151">
        <f t="shared" si="17"/>
        <v>-5.9460878605762204</v>
      </c>
      <c r="I64" s="141">
        <f t="shared" si="18"/>
        <v>-11.349932089918479</v>
      </c>
      <c r="K64" s="151">
        <f t="shared" si="19"/>
        <v>3.6861895588655815</v>
      </c>
      <c r="L64" s="141">
        <f t="shared" si="20"/>
        <v>7.0362231680237031</v>
      </c>
      <c r="N64" s="151">
        <f t="shared" si="21"/>
        <v>-8.4646836922624011</v>
      </c>
      <c r="O64" s="141">
        <f t="shared" si="22"/>
        <v>-16.15744457911666</v>
      </c>
      <c r="Q64" s="151">
        <v>-1.167593727179401</v>
      </c>
      <c r="R64" s="141">
        <f t="shared" si="23"/>
        <v>-2.2287106788255184</v>
      </c>
      <c r="T64" s="151"/>
    </row>
    <row r="65" spans="1:20" x14ac:dyDescent="0.2">
      <c r="A65" s="135" t="str">
        <f t="shared" si="14"/>
        <v>72 Customer service occupations</v>
      </c>
      <c r="B65" s="151">
        <v>13.765892537376093</v>
      </c>
      <c r="C65" s="141">
        <f t="shared" si="15"/>
        <v>1.5920952694041559</v>
      </c>
      <c r="E65" s="151">
        <v>19.873360696539212</v>
      </c>
      <c r="F65" s="141">
        <f t="shared" si="16"/>
        <v>2.1473617629526811</v>
      </c>
      <c r="H65" s="151">
        <f t="shared" si="17"/>
        <v>6.107468159163119</v>
      </c>
      <c r="I65" s="141">
        <f t="shared" si="18"/>
        <v>44.366670323632064</v>
      </c>
      <c r="K65" s="151">
        <f t="shared" si="19"/>
        <v>0.96859892000010261</v>
      </c>
      <c r="L65" s="141">
        <f t="shared" si="20"/>
        <v>7.0362231680237031</v>
      </c>
      <c r="N65" s="151">
        <f t="shared" si="21"/>
        <v>5.2417158874000744</v>
      </c>
      <c r="O65" s="141">
        <f t="shared" si="22"/>
        <v>38.077559251375604</v>
      </c>
      <c r="Q65" s="151">
        <v>-0.10284664823705769</v>
      </c>
      <c r="R65" s="141">
        <f t="shared" si="23"/>
        <v>-0.7471120957672478</v>
      </c>
      <c r="T65" s="151"/>
    </row>
    <row r="66" spans="1:20" x14ac:dyDescent="0.2">
      <c r="A66" s="135" t="str">
        <f t="shared" si="14"/>
        <v>81 Process, plant and machine operatives</v>
      </c>
      <c r="B66" s="151">
        <v>10.939631034552663</v>
      </c>
      <c r="C66" s="141">
        <f t="shared" si="15"/>
        <v>1.2652237965572568</v>
      </c>
      <c r="E66" s="151">
        <v>13.418760554653188</v>
      </c>
      <c r="F66" s="141">
        <f t="shared" si="16"/>
        <v>1.4499275568574497</v>
      </c>
      <c r="H66" s="151">
        <f t="shared" si="17"/>
        <v>2.4791295201005248</v>
      </c>
      <c r="I66" s="141">
        <f t="shared" si="18"/>
        <v>22.661911651958189</v>
      </c>
      <c r="K66" s="151">
        <f t="shared" si="19"/>
        <v>0.76973685334950559</v>
      </c>
      <c r="L66" s="141">
        <f t="shared" si="20"/>
        <v>7.0362231680237031</v>
      </c>
      <c r="N66" s="151">
        <f t="shared" si="21"/>
        <v>2.0395704285207166</v>
      </c>
      <c r="O66" s="141">
        <f t="shared" si="22"/>
        <v>18.643868537053613</v>
      </c>
      <c r="Q66" s="151">
        <v>-0.33017776176969743</v>
      </c>
      <c r="R66" s="141">
        <f t="shared" si="23"/>
        <v>-3.0181800531191212</v>
      </c>
      <c r="T66" s="151"/>
    </row>
    <row r="67" spans="1:20" x14ac:dyDescent="0.2">
      <c r="A67" s="135" t="str">
        <f t="shared" si="14"/>
        <v>82 Transport and mobile machine drivers and operatives</v>
      </c>
      <c r="B67" s="151">
        <v>22.703704129983144</v>
      </c>
      <c r="C67" s="141">
        <f t="shared" si="15"/>
        <v>2.6257984976386877</v>
      </c>
      <c r="E67" s="151">
        <v>24.629983702384379</v>
      </c>
      <c r="F67" s="141">
        <f t="shared" si="16"/>
        <v>2.6613256827698097</v>
      </c>
      <c r="H67" s="151">
        <f t="shared" si="17"/>
        <v>1.9262795724012349</v>
      </c>
      <c r="I67" s="141">
        <f t="shared" si="18"/>
        <v>8.4844286261523969</v>
      </c>
      <c r="K67" s="151">
        <f t="shared" si="19"/>
        <v>1.5974832899934284</v>
      </c>
      <c r="L67" s="141">
        <f t="shared" si="20"/>
        <v>7.0362231680237031</v>
      </c>
      <c r="N67" s="151">
        <f t="shared" si="21"/>
        <v>0.41434145910627485</v>
      </c>
      <c r="O67" s="141">
        <f t="shared" si="22"/>
        <v>1.8249949732170971</v>
      </c>
      <c r="Q67" s="151">
        <v>-8.5545176698468325E-2</v>
      </c>
      <c r="R67" s="141">
        <f t="shared" si="23"/>
        <v>-0.37678951508839909</v>
      </c>
      <c r="T67" s="151"/>
    </row>
    <row r="68" spans="1:20" x14ac:dyDescent="0.2">
      <c r="A68" s="135" t="str">
        <f t="shared" si="14"/>
        <v>91 Elementary trades and related occupations</v>
      </c>
      <c r="B68" s="151">
        <v>8.7182083202628089</v>
      </c>
      <c r="C68" s="141">
        <f t="shared" si="15"/>
        <v>1.0083049963294333</v>
      </c>
      <c r="E68" s="151">
        <v>7.0598733495814647</v>
      </c>
      <c r="F68" s="141">
        <f t="shared" si="16"/>
        <v>0.76283535098419031</v>
      </c>
      <c r="H68" s="151">
        <f t="shared" si="17"/>
        <v>-1.6583349706813442</v>
      </c>
      <c r="I68" s="141">
        <f t="shared" si="18"/>
        <v>-19.02151118397861</v>
      </c>
      <c r="K68" s="151">
        <f t="shared" si="19"/>
        <v>0.61343259366690184</v>
      </c>
      <c r="L68" s="141">
        <f t="shared" si="20"/>
        <v>7.0362231680237031</v>
      </c>
      <c r="N68" s="151">
        <f t="shared" si="21"/>
        <v>-2.2992294879639106</v>
      </c>
      <c r="O68" s="141">
        <f t="shared" si="22"/>
        <v>-26.372729390052026</v>
      </c>
      <c r="Q68" s="151">
        <v>2.7461923615664532E-2</v>
      </c>
      <c r="R68" s="141">
        <f t="shared" si="23"/>
        <v>0.31499503804970674</v>
      </c>
      <c r="T68" s="151"/>
    </row>
    <row r="69" spans="1:20" x14ac:dyDescent="0.2">
      <c r="A69" s="135" t="str">
        <f t="shared" ref="A69" si="24">A33</f>
        <v>92 Elementary administration and service occupations</v>
      </c>
      <c r="B69" s="151">
        <v>76.096111817061072</v>
      </c>
      <c r="C69" s="141">
        <f t="shared" ref="C69" si="25">B69/B$71*100</f>
        <v>8.8009011631501064</v>
      </c>
      <c r="E69" s="151">
        <v>76.388310986548959</v>
      </c>
      <c r="F69" s="141">
        <f t="shared" ref="F69" si="26">E69/E$71*100</f>
        <v>8.2539305079698249</v>
      </c>
      <c r="H69" s="151">
        <f t="shared" ref="H69" si="27">E69-B69</f>
        <v>0.29219916948788693</v>
      </c>
      <c r="I69" s="141">
        <f t="shared" ref="I69" si="28">IF(B69&gt;0,((E69/B69)-1)*100,0)</f>
        <v>0.38398699028190375</v>
      </c>
      <c r="K69" s="151">
        <f t="shared" ref="K69" si="29">(($E$71/$B$71)-1)*B69</f>
        <v>5.3542922496372745</v>
      </c>
      <c r="L69" s="141">
        <f t="shared" ref="L69" si="30">IF(B69&gt;0,K69/B69*100,0)</f>
        <v>7.0362231680237031</v>
      </c>
      <c r="N69" s="151">
        <f t="shared" ref="N69" si="31">H69-(K69+Q69)</f>
        <v>-9.1643733217129597</v>
      </c>
      <c r="O69" s="141">
        <f t="shared" ref="O69" si="32">IF(B69&gt;0,N69/B69*100,0)</f>
        <v>-12.043155823446774</v>
      </c>
      <c r="Q69" s="151">
        <v>4.1022802415635722</v>
      </c>
      <c r="R69" s="141">
        <f t="shared" ref="R69" si="33">IF(B69&gt;0,Q69/B69*100,0)</f>
        <v>5.3909196457049768</v>
      </c>
      <c r="T69" s="151"/>
    </row>
    <row r="70" spans="1:20" x14ac:dyDescent="0.2">
      <c r="A70" s="135"/>
      <c r="B70" s="151"/>
      <c r="C70" s="141"/>
      <c r="E70" s="151"/>
      <c r="F70" s="141"/>
      <c r="H70" s="151"/>
      <c r="I70" s="141"/>
      <c r="K70" s="151"/>
      <c r="L70" s="141"/>
      <c r="N70" s="151"/>
      <c r="O70" s="141"/>
      <c r="Q70" s="151"/>
      <c r="R70" s="141"/>
    </row>
    <row r="71" spans="1:20" x14ac:dyDescent="0.2">
      <c r="A71" s="149" t="str">
        <f>name!$D$3</f>
        <v>All occupations</v>
      </c>
      <c r="B71" s="152">
        <f>SUM(B44:B69)</f>
        <v>864.63999999999987</v>
      </c>
      <c r="C71" s="147">
        <f>B71/B$71*100</f>
        <v>100</v>
      </c>
      <c r="D71" s="145"/>
      <c r="E71" s="152">
        <f>SUM(E44:E69)</f>
        <v>925.47799999999995</v>
      </c>
      <c r="F71" s="147">
        <f>E71/E$71*100</f>
        <v>100</v>
      </c>
      <c r="G71" s="145"/>
      <c r="H71" s="152">
        <f t="shared" si="17"/>
        <v>60.838000000000079</v>
      </c>
      <c r="I71" s="147">
        <f t="shared" si="18"/>
        <v>7.0362231680237031</v>
      </c>
      <c r="J71" s="145"/>
      <c r="K71" s="145"/>
      <c r="L71" s="145"/>
      <c r="M71" s="145"/>
      <c r="N71" s="145"/>
      <c r="O71" s="145"/>
      <c r="P71" s="145"/>
      <c r="Q71" s="145"/>
      <c r="R71" s="145"/>
    </row>
    <row r="77" spans="1:20" x14ac:dyDescent="0.2">
      <c r="T77" s="151"/>
    </row>
    <row r="78" spans="1:20" x14ac:dyDescent="0.2">
      <c r="T78" s="151"/>
    </row>
    <row r="79" spans="1:20" x14ac:dyDescent="0.2">
      <c r="T79" s="151"/>
    </row>
    <row r="80" spans="1:20" x14ac:dyDescent="0.2">
      <c r="T80" s="151"/>
    </row>
    <row r="81" spans="20:20" x14ac:dyDescent="0.2">
      <c r="T81" s="151"/>
    </row>
    <row r="82" spans="20:20" x14ac:dyDescent="0.2">
      <c r="T82" s="151"/>
    </row>
    <row r="83" spans="20:20" x14ac:dyDescent="0.2">
      <c r="T83" s="151"/>
    </row>
    <row r="84" spans="20:20" x14ac:dyDescent="0.2">
      <c r="T84" s="151"/>
    </row>
    <row r="85" spans="20:20" x14ac:dyDescent="0.2">
      <c r="T85" s="151"/>
    </row>
    <row r="86" spans="20:20" x14ac:dyDescent="0.2">
      <c r="T86" s="151"/>
    </row>
    <row r="87" spans="20:20" x14ac:dyDescent="0.2">
      <c r="T87" s="151"/>
    </row>
    <row r="88" spans="20:20" x14ac:dyDescent="0.2">
      <c r="T88" s="151"/>
    </row>
    <row r="89" spans="20:20" x14ac:dyDescent="0.2">
      <c r="T89" s="151"/>
    </row>
    <row r="90" spans="20:20" x14ac:dyDescent="0.2">
      <c r="T90" s="151"/>
    </row>
    <row r="91" spans="20:20" x14ac:dyDescent="0.2">
      <c r="T91" s="151"/>
    </row>
    <row r="92" spans="20:20" x14ac:dyDescent="0.2">
      <c r="T92" s="151"/>
    </row>
    <row r="93" spans="20:20" x14ac:dyDescent="0.2">
      <c r="T93" s="151"/>
    </row>
    <row r="94" spans="20:20" x14ac:dyDescent="0.2">
      <c r="T94" s="151"/>
    </row>
    <row r="95" spans="20:20" x14ac:dyDescent="0.2">
      <c r="T95" s="151"/>
    </row>
    <row r="96" spans="20:20" x14ac:dyDescent="0.2">
      <c r="T96" s="151"/>
    </row>
    <row r="97" spans="20:20" x14ac:dyDescent="0.2">
      <c r="T97" s="151"/>
    </row>
    <row r="98" spans="20:20" x14ac:dyDescent="0.2">
      <c r="T98" s="151"/>
    </row>
    <row r="99" spans="20:20" x14ac:dyDescent="0.2">
      <c r="T99" s="151"/>
    </row>
    <row r="100" spans="20:20" x14ac:dyDescent="0.2">
      <c r="T100" s="151"/>
    </row>
    <row r="101" spans="20:20" x14ac:dyDescent="0.2">
      <c r="T101" s="151"/>
    </row>
  </sheetData>
  <mergeCells count="8">
    <mergeCell ref="K40:L40"/>
    <mergeCell ref="N40:O40"/>
    <mergeCell ref="Q40:R40"/>
    <mergeCell ref="K3:R3"/>
    <mergeCell ref="K4:L4"/>
    <mergeCell ref="N4:O4"/>
    <mergeCell ref="Q4:R4"/>
    <mergeCell ref="K39:R39"/>
  </mergeCells>
  <pageMargins left="0.39370078740157483" right="0.39370078740157483" top="0.51181102362204722" bottom="0.51181102362204722" header="0.31496062992125984" footer="0.31496062992125984"/>
  <pageSetup paperSize="9" scale="57" fitToHeight="0" orientation="landscape" r:id="rId1"/>
  <rowBreaks count="1" manualBreakCount="1">
    <brk id="143" max="16383" man="1"/>
  </rowBreaks>
  <colBreaks count="1" manualBreakCount="1">
    <brk id="18" max="1048575" man="1"/>
  </colBreaks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18"/>
  <dimension ref="A1:AD294"/>
  <sheetViews>
    <sheetView showGridLines="0" zoomScale="85" zoomScaleNormal="85" workbookViewId="0">
      <selection sqref="A1:G2"/>
    </sheetView>
  </sheetViews>
  <sheetFormatPr defaultColWidth="9.140625" defaultRowHeight="12.75" x14ac:dyDescent="0.2"/>
  <cols>
    <col min="1" max="1" width="40.85546875" customWidth="1"/>
    <col min="2" max="3" width="9.7109375" customWidth="1"/>
    <col min="4" max="7" width="11.7109375" customWidth="1"/>
    <col min="8" max="8" width="7.5703125" customWidth="1"/>
    <col min="9" max="9" width="44.140625" customWidth="1"/>
    <col min="10" max="14" width="11.7109375" customWidth="1"/>
    <col min="15" max="15" width="8.85546875" customWidth="1"/>
    <col min="16" max="16" width="54.140625" customWidth="1"/>
    <col min="17" max="18" width="11.7109375" customWidth="1"/>
    <col min="19" max="22" width="11.85546875" style="90" customWidth="1"/>
    <col min="23" max="23" width="7.85546875" customWidth="1"/>
    <col min="24" max="24" width="25.85546875" customWidth="1"/>
    <col min="25" max="29" width="11.7109375" customWidth="1"/>
    <col min="30" max="30" width="11.85546875" customWidth="1"/>
  </cols>
  <sheetData>
    <row r="1" spans="1:30" ht="24" customHeight="1" x14ac:dyDescent="0.2">
      <c r="A1" s="381" t="str">
        <f>CONCATENATE("Replacement Demand Table 1  Replacement Demand by Occupation and Qualification, ",$B$6,"-",$C$6,", ",Info!B5)</f>
        <v>Replacement Demand Table 1  Replacement Demand by Occupation and Qualification, 2020-2035, Enterprise M3</v>
      </c>
      <c r="B1" s="381"/>
      <c r="C1" s="381"/>
      <c r="D1" s="381"/>
      <c r="E1" s="381"/>
      <c r="F1" s="381"/>
      <c r="G1" s="381"/>
      <c r="I1" s="381" t="str">
        <f>CONCATENATE("Replacement Demand Table 1.1  Replacement Demand by Occupation Group and Qualification, ",$B$6,"-",$C$6,", ",Info!B5)</f>
        <v>Replacement Demand Table 1.1  Replacement Demand by Occupation Group and Qualification, 2020-2035, Enterprise M3</v>
      </c>
      <c r="J1" s="381"/>
      <c r="K1" s="381"/>
      <c r="L1" s="381"/>
      <c r="M1" s="381"/>
      <c r="N1" s="381"/>
      <c r="P1" s="381" t="str">
        <f>CONCATENATE("Replacement Demand Table 1.2  Replacement Demand by Occupation and Gender, ",$B$6,"-",$C$6,", ",Info!B5)</f>
        <v>Replacement Demand Table 1.2  Replacement Demand by Occupation and Gender, 2020-2035, Enterprise M3</v>
      </c>
      <c r="Q1" s="381"/>
      <c r="R1" s="381"/>
      <c r="S1" s="381"/>
      <c r="T1" s="381"/>
      <c r="U1" s="381"/>
      <c r="V1" s="381"/>
      <c r="X1" s="381" t="str">
        <f>CONCATENATE("Replacement Demand Table 1.3  Replacement Demand by Industry, ",$B$6,"-",$C$6,", ",Info!B5)</f>
        <v>Replacement Demand Table 1.3  Replacement Demand by Industry, 2020-2035, Enterprise M3</v>
      </c>
      <c r="Y1" s="381"/>
      <c r="Z1" s="381"/>
      <c r="AA1" s="381"/>
      <c r="AB1" s="381"/>
      <c r="AC1" s="381"/>
      <c r="AD1" s="381"/>
    </row>
    <row r="2" spans="1:30" ht="19.5" customHeight="1" x14ac:dyDescent="0.2">
      <c r="A2" s="381"/>
      <c r="B2" s="381"/>
      <c r="C2" s="381"/>
      <c r="D2" s="381"/>
      <c r="E2" s="381"/>
      <c r="F2" s="381"/>
      <c r="G2" s="381"/>
      <c r="I2" s="381"/>
      <c r="J2" s="381"/>
      <c r="K2" s="381"/>
      <c r="L2" s="381"/>
      <c r="M2" s="381"/>
      <c r="N2" s="381"/>
      <c r="P2" s="381"/>
      <c r="Q2" s="381"/>
      <c r="R2" s="381"/>
      <c r="S2" s="381"/>
      <c r="T2" s="381"/>
      <c r="U2" s="381"/>
      <c r="V2" s="381"/>
      <c r="X2" s="381"/>
      <c r="Y2" s="381"/>
      <c r="Z2" s="381"/>
      <c r="AA2" s="381"/>
      <c r="AB2" s="381"/>
      <c r="AC2" s="381"/>
      <c r="AD2" s="381"/>
    </row>
    <row r="3" spans="1:30" ht="15.75" x14ac:dyDescent="0.25">
      <c r="A3" s="1" t="s">
        <v>523</v>
      </c>
      <c r="B3" s="19"/>
      <c r="C3" s="19"/>
      <c r="D3" s="19"/>
      <c r="E3" s="19"/>
      <c r="F3" s="19"/>
      <c r="G3" s="19"/>
      <c r="I3" s="1" t="s">
        <v>524</v>
      </c>
      <c r="P3" s="182" t="s">
        <v>520</v>
      </c>
      <c r="X3" s="1" t="s">
        <v>516</v>
      </c>
    </row>
    <row r="4" spans="1:30" ht="12.75" customHeight="1" x14ac:dyDescent="0.25">
      <c r="A4" s="19"/>
      <c r="B4" s="19"/>
      <c r="C4" s="19"/>
      <c r="D4" s="19"/>
      <c r="E4" s="19"/>
      <c r="F4" s="19"/>
      <c r="G4" s="19"/>
      <c r="I4" s="1"/>
      <c r="P4" s="1"/>
    </row>
    <row r="5" spans="1:30" s="71" customFormat="1" x14ac:dyDescent="0.2">
      <c r="B5" s="16"/>
      <c r="F5" s="16" t="s">
        <v>36</v>
      </c>
      <c r="N5" s="16" t="s">
        <v>36</v>
      </c>
      <c r="Q5" s="16"/>
      <c r="S5" s="343"/>
      <c r="T5" s="343"/>
      <c r="U5" s="84" t="s">
        <v>36</v>
      </c>
      <c r="V5" s="343"/>
      <c r="Y5" s="16"/>
      <c r="AA5" s="343"/>
      <c r="AB5" s="343"/>
      <c r="AC5" s="84" t="s">
        <v>36</v>
      </c>
      <c r="AD5" s="343"/>
    </row>
    <row r="6" spans="1:30" ht="24.95" customHeight="1" x14ac:dyDescent="0.2">
      <c r="A6" s="201" t="str">
        <f>CONCATENATE(name!F3," (Constrained)")</f>
        <v>All qualifications (Constrained)</v>
      </c>
      <c r="B6" s="75">
        <v>2020</v>
      </c>
      <c r="C6" s="75">
        <v>2035</v>
      </c>
      <c r="D6" s="88" t="s">
        <v>43</v>
      </c>
      <c r="E6" s="88" t="s">
        <v>145</v>
      </c>
      <c r="F6" s="88" t="s">
        <v>42</v>
      </c>
      <c r="G6" s="88" t="s">
        <v>144</v>
      </c>
      <c r="I6" s="202"/>
      <c r="J6" s="75">
        <f>B6</f>
        <v>2020</v>
      </c>
      <c r="K6" s="75">
        <f>C6</f>
        <v>2035</v>
      </c>
      <c r="L6" s="88" t="str">
        <f>D6</f>
        <v>Net Change</v>
      </c>
      <c r="M6" s="88" t="str">
        <f>E6</f>
        <v>Replacement Demand level</v>
      </c>
      <c r="N6" s="88" t="str">
        <f>F6</f>
        <v>Total Requirement</v>
      </c>
      <c r="P6" s="201" t="s">
        <v>104</v>
      </c>
      <c r="Q6" s="75">
        <f>B6</f>
        <v>2020</v>
      </c>
      <c r="R6" s="75">
        <f>C6</f>
        <v>2035</v>
      </c>
      <c r="S6" s="344" t="str">
        <f t="shared" ref="S6:V6" si="0">D6</f>
        <v>Net Change</v>
      </c>
      <c r="T6" s="344" t="str">
        <f t="shared" si="0"/>
        <v>Replacement Demand level</v>
      </c>
      <c r="U6" s="344" t="str">
        <f t="shared" si="0"/>
        <v>Total Requirement</v>
      </c>
      <c r="V6" s="344" t="str">
        <f t="shared" si="0"/>
        <v>Replacement Demand rate</v>
      </c>
      <c r="X6" s="201"/>
      <c r="Y6" s="75">
        <f>J6</f>
        <v>2020</v>
      </c>
      <c r="Z6" s="75">
        <f>K6</f>
        <v>2035</v>
      </c>
      <c r="AA6" s="344" t="str">
        <f t="shared" ref="AA6:AC6" si="1">L6</f>
        <v>Net Change</v>
      </c>
      <c r="AB6" s="344" t="str">
        <f t="shared" si="1"/>
        <v>Replacement Demand level</v>
      </c>
      <c r="AC6" s="344" t="str">
        <f t="shared" si="1"/>
        <v>Total Requirement</v>
      </c>
      <c r="AD6" s="344" t="str">
        <f>G6</f>
        <v>Replacement Demand rate</v>
      </c>
    </row>
    <row r="7" spans="1:30" x14ac:dyDescent="0.2">
      <c r="A7" s="10" t="str">
        <f>name!D4</f>
        <v>11 Corporate managers and directors</v>
      </c>
      <c r="B7" s="11">
        <f t="shared" ref="B7:F16" si="2">SUM(B36,B65,B94,B123,B152,B181,B210,B239,B268)</f>
        <v>78.879841298032375</v>
      </c>
      <c r="C7" s="11">
        <f t="shared" si="2"/>
        <v>81.205940364543707</v>
      </c>
      <c r="D7" s="11">
        <f t="shared" si="2"/>
        <v>2.326099066511345</v>
      </c>
      <c r="E7" s="11">
        <f t="shared" si="2"/>
        <v>39.373556031260712</v>
      </c>
      <c r="F7" s="11">
        <f t="shared" si="2"/>
        <v>41.699655097772059</v>
      </c>
      <c r="G7" s="200">
        <f>IF(B7&gt;0,(1+(E7/B7))^(1/($C$6-$B$6))-1,0)</f>
        <v>2.7361231648685091E-2</v>
      </c>
      <c r="H7" s="11"/>
      <c r="I7" s="233" t="str">
        <f>name!F3</f>
        <v>All qualifications</v>
      </c>
      <c r="J7" s="36"/>
      <c r="K7" s="36"/>
      <c r="L7" s="36"/>
      <c r="M7" s="36"/>
      <c r="N7" s="36"/>
      <c r="O7" s="11"/>
      <c r="P7" s="10" t="str">
        <f>name!D4</f>
        <v>11 Corporate managers and directors</v>
      </c>
      <c r="Q7" s="11">
        <v>51.334894775556322</v>
      </c>
      <c r="R7" s="11">
        <v>49.347617273000978</v>
      </c>
      <c r="S7" s="345">
        <f>R7-Q7</f>
        <v>-1.9872775025553437</v>
      </c>
      <c r="T7" s="345">
        <v>22.450170740728666</v>
      </c>
      <c r="U7" s="345">
        <f>SUM(S7:T7)</f>
        <v>20.462893238173322</v>
      </c>
      <c r="V7" s="346">
        <f>IF(Q7&gt;0,(1+(T7/Q7))^(1/($C$6-$B$6))-1,0)</f>
        <v>2.4480554178000435E-2</v>
      </c>
      <c r="X7" s="10" t="str">
        <f>name!B4</f>
        <v>Agriculture</v>
      </c>
      <c r="Y7" s="11">
        <v>5.9030000000000209</v>
      </c>
      <c r="Z7" s="11">
        <v>6.2839999999999883</v>
      </c>
      <c r="AA7" s="345">
        <f>Z7-Y7</f>
        <v>0.38099999999996736</v>
      </c>
      <c r="AB7" s="11">
        <v>3.1235618469704383</v>
      </c>
      <c r="AC7" s="345">
        <f>SUM(AA7:AB7)</f>
        <v>3.5045618469704056</v>
      </c>
      <c r="AD7" s="348">
        <f>IF(Y7&gt;0,(1+(AB7/Y7))^(1/($C$6-$B$6))-1,0)</f>
        <v>2.871870972003765E-2</v>
      </c>
    </row>
    <row r="8" spans="1:30" x14ac:dyDescent="0.2">
      <c r="A8" s="10" t="str">
        <f>name!D5</f>
        <v>12 Other managers and proprietors</v>
      </c>
      <c r="B8" s="11">
        <f t="shared" si="2"/>
        <v>31.050104484319675</v>
      </c>
      <c r="C8" s="11">
        <f t="shared" si="2"/>
        <v>45.74350884754741</v>
      </c>
      <c r="D8" s="11">
        <f t="shared" si="2"/>
        <v>14.693404363227735</v>
      </c>
      <c r="E8" s="11">
        <f t="shared" si="2"/>
        <v>23.193557324657309</v>
      </c>
      <c r="F8" s="11">
        <f t="shared" si="2"/>
        <v>37.886961687885048</v>
      </c>
      <c r="G8" s="200">
        <f t="shared" ref="G8:G33" si="3">IF(B8&gt;0,(1+(E8/B8))^(1/($C$6-$B$6))-1,0)</f>
        <v>3.7892552356339371E-2</v>
      </c>
      <c r="H8" s="11"/>
      <c r="I8" s="10" t="str">
        <f>name!E4</f>
        <v>Managers, directors and senior officials</v>
      </c>
      <c r="J8" s="11">
        <f t="array" ref="J8:J16">MMULT(aggregation!$B$13:$AA$21,B7:B32)</f>
        <v>109.92994578235205</v>
      </c>
      <c r="K8" s="11">
        <f t="array" ref="K8:K16">MMULT(aggregation!$B$13:$AA$21,C7:C32)</f>
        <v>126.94944921209111</v>
      </c>
      <c r="L8" s="11">
        <f t="array" ref="L8:L16">MMULT(aggregation!$B$13:$AA$21,D7:D32)</f>
        <v>17.019503429739082</v>
      </c>
      <c r="M8" s="11">
        <f t="array" ref="M8:M16">MMULT(aggregation!$B$13:$AA$21,E7:E32)</f>
        <v>62.567113355918025</v>
      </c>
      <c r="N8" s="11">
        <f t="array" ref="N8:N16">MMULT(aggregation!$B$13:$AA$21,F7:F32)</f>
        <v>79.5866167856571</v>
      </c>
      <c r="O8" s="11"/>
      <c r="P8" s="10" t="str">
        <f>name!D5</f>
        <v>12 Other managers and proprietors</v>
      </c>
      <c r="Q8" s="11">
        <v>16.919958665319651</v>
      </c>
      <c r="R8" s="11">
        <v>25.011353810631842</v>
      </c>
      <c r="S8" s="345">
        <f t="shared" ref="S8:S31" si="4">R8-Q8</f>
        <v>8.0913951453121911</v>
      </c>
      <c r="T8" s="345">
        <v>11.397113873660926</v>
      </c>
      <c r="U8" s="345">
        <f t="shared" ref="U8:U31" si="5">SUM(S8:T8)</f>
        <v>19.488509018973119</v>
      </c>
      <c r="V8" s="346">
        <f t="shared" ref="V8:V33" si="6">IF(Q8&gt;0,(1+(T8/Q8))^(1/($C$6-$B$6))-1,0)</f>
        <v>3.4927523605782662E-2</v>
      </c>
      <c r="X8" s="10" t="str">
        <f>name!B5</f>
        <v>Mining and quarrying</v>
      </c>
      <c r="Y8" s="11">
        <v>0.4609999999999998</v>
      </c>
      <c r="Z8" s="11">
        <v>0.36599999999999983</v>
      </c>
      <c r="AA8" s="345">
        <f t="shared" ref="AA8:AA29" si="7">Z8-Y8</f>
        <v>-9.4999999999999973E-2</v>
      </c>
      <c r="AB8" s="11">
        <v>0.16700519578520007</v>
      </c>
      <c r="AC8" s="345">
        <f t="shared" ref="AC8:AC29" si="8">SUM(AA8:AB8)</f>
        <v>7.2005195785200093E-2</v>
      </c>
      <c r="AD8" s="348">
        <f t="shared" ref="AD8:AD29" si="9">IF(Y8&gt;0,(1+(AB8/Y8))^(1/($C$6-$B$6))-1,0)</f>
        <v>2.0823879707718929E-2</v>
      </c>
    </row>
    <row r="9" spans="1:30" x14ac:dyDescent="0.2">
      <c r="A9" s="10" t="str">
        <f>name!D6</f>
        <v>21 Science, research, engineering and technology professionals</v>
      </c>
      <c r="B9" s="11">
        <f t="shared" si="2"/>
        <v>69.933180691612392</v>
      </c>
      <c r="C9" s="11">
        <f t="shared" si="2"/>
        <v>81.977793168316026</v>
      </c>
      <c r="D9" s="11">
        <f t="shared" si="2"/>
        <v>12.04461247670363</v>
      </c>
      <c r="E9" s="11">
        <f t="shared" si="2"/>
        <v>28.714939391764933</v>
      </c>
      <c r="F9" s="11">
        <f t="shared" si="2"/>
        <v>40.75955186846857</v>
      </c>
      <c r="G9" s="200">
        <f t="shared" si="3"/>
        <v>2.3199616777882293E-2</v>
      </c>
      <c r="H9" s="11"/>
      <c r="I9" s="10" t="str">
        <f>name!E5</f>
        <v>Professional occupations</v>
      </c>
      <c r="J9" s="11">
        <v>210.1809596650038</v>
      </c>
      <c r="K9" s="11">
        <v>246.52999555946514</v>
      </c>
      <c r="L9" s="11">
        <v>36.349035894461316</v>
      </c>
      <c r="M9" s="11">
        <v>105.94709243099072</v>
      </c>
      <c r="N9" s="11">
        <v>142.29612832545206</v>
      </c>
      <c r="O9" s="11"/>
      <c r="P9" s="10" t="str">
        <f>name!D6</f>
        <v>21 Science, research, engineering and technology professionals</v>
      </c>
      <c r="Q9" s="11">
        <v>53.663537123871947</v>
      </c>
      <c r="R9" s="11">
        <v>59.505482196258789</v>
      </c>
      <c r="S9" s="345">
        <f t="shared" si="4"/>
        <v>5.8419450723868422</v>
      </c>
      <c r="T9" s="345">
        <v>18.54219453407504</v>
      </c>
      <c r="U9" s="345">
        <f t="shared" si="5"/>
        <v>24.384139606461883</v>
      </c>
      <c r="V9" s="346">
        <f t="shared" si="6"/>
        <v>1.9982745757621156E-2</v>
      </c>
      <c r="X9" s="10" t="str">
        <f>name!B6</f>
        <v>Food drink and tobacco</v>
      </c>
      <c r="Y9" s="11">
        <v>4.4270000000000014</v>
      </c>
      <c r="Z9" s="11">
        <v>5.397000000000002</v>
      </c>
      <c r="AA9" s="345">
        <f t="shared" si="7"/>
        <v>0.97000000000000064</v>
      </c>
      <c r="AB9" s="11">
        <v>2.2423194762231677</v>
      </c>
      <c r="AC9" s="345">
        <f t="shared" si="8"/>
        <v>3.2123194762231684</v>
      </c>
      <c r="AD9" s="348">
        <f t="shared" si="9"/>
        <v>2.7696316639792107E-2</v>
      </c>
    </row>
    <row r="10" spans="1:30" x14ac:dyDescent="0.2">
      <c r="A10" s="10" t="str">
        <f>name!D7</f>
        <v>22 Health professionals</v>
      </c>
      <c r="B10" s="11">
        <f t="shared" si="2"/>
        <v>33.507088363575669</v>
      </c>
      <c r="C10" s="11">
        <f t="shared" si="2"/>
        <v>37.145736440383395</v>
      </c>
      <c r="D10" s="11">
        <f t="shared" si="2"/>
        <v>3.6386480768077263</v>
      </c>
      <c r="E10" s="11">
        <f t="shared" si="2"/>
        <v>19.128465251265666</v>
      </c>
      <c r="F10" s="11">
        <f t="shared" si="2"/>
        <v>22.767113328073393</v>
      </c>
      <c r="G10" s="200">
        <f t="shared" si="3"/>
        <v>3.0566846308233808E-2</v>
      </c>
      <c r="H10" s="11"/>
      <c r="I10" s="10" t="str">
        <f>name!E6</f>
        <v>Associate professional occupations</v>
      </c>
      <c r="J10" s="11">
        <v>124.08566971596375</v>
      </c>
      <c r="K10" s="11">
        <v>130.52666710307903</v>
      </c>
      <c r="L10" s="11">
        <v>6.4409973871152992</v>
      </c>
      <c r="M10" s="11">
        <v>57.155729486740526</v>
      </c>
      <c r="N10" s="11">
        <v>63.596726873855815</v>
      </c>
      <c r="O10" s="11"/>
      <c r="P10" s="10" t="str">
        <f>name!D7</f>
        <v>22 Health professionals</v>
      </c>
      <c r="Q10" s="11">
        <v>7.7171536857218275</v>
      </c>
      <c r="R10" s="11">
        <v>8.5250487073176586</v>
      </c>
      <c r="S10" s="345">
        <f t="shared" si="4"/>
        <v>0.80789502159583115</v>
      </c>
      <c r="T10" s="345">
        <v>3.0546280572070459</v>
      </c>
      <c r="U10" s="345">
        <f t="shared" si="5"/>
        <v>3.862523078802877</v>
      </c>
      <c r="V10" s="346">
        <f t="shared" si="6"/>
        <v>2.2481266384061449E-2</v>
      </c>
      <c r="X10" s="10" t="str">
        <f>name!B7</f>
        <v>Engineering</v>
      </c>
      <c r="Y10" s="11">
        <v>12.446</v>
      </c>
      <c r="Z10" s="11">
        <v>9.664000000000021</v>
      </c>
      <c r="AA10" s="345">
        <f t="shared" si="7"/>
        <v>-2.7819999999999787</v>
      </c>
      <c r="AB10" s="11">
        <v>4.7498614736303972</v>
      </c>
      <c r="AC10" s="345">
        <f t="shared" si="8"/>
        <v>1.9678614736304185</v>
      </c>
      <c r="AD10" s="348">
        <f t="shared" si="9"/>
        <v>2.1785203625966476E-2</v>
      </c>
    </row>
    <row r="11" spans="1:30" x14ac:dyDescent="0.2">
      <c r="A11" s="10" t="str">
        <f>name!D8</f>
        <v>23 Teaching and other educational professionals</v>
      </c>
      <c r="B11" s="11">
        <f t="shared" si="2"/>
        <v>39.41849701833614</v>
      </c>
      <c r="C11" s="11">
        <f t="shared" si="2"/>
        <v>43.903871917542446</v>
      </c>
      <c r="D11" s="11">
        <f t="shared" si="2"/>
        <v>4.4853748992063061</v>
      </c>
      <c r="E11" s="11">
        <f t="shared" si="2"/>
        <v>21.423357975041796</v>
      </c>
      <c r="F11" s="11">
        <f t="shared" si="2"/>
        <v>25.908732874248106</v>
      </c>
      <c r="G11" s="200">
        <f t="shared" si="3"/>
        <v>2.9358904390894169E-2</v>
      </c>
      <c r="H11" s="11"/>
      <c r="I11" s="10" t="str">
        <f>name!E7</f>
        <v>Administrative and secretarial occupations</v>
      </c>
      <c r="J11" s="11">
        <v>88.3793300225161</v>
      </c>
      <c r="K11" s="11">
        <v>73.324556568201302</v>
      </c>
      <c r="L11" s="11">
        <v>-15.054773454314814</v>
      </c>
      <c r="M11" s="11">
        <v>40.547680339642099</v>
      </c>
      <c r="N11" s="11">
        <v>25.492906885327283</v>
      </c>
      <c r="O11" s="11"/>
      <c r="P11" s="10" t="str">
        <f>name!D8</f>
        <v>23 Teaching and other educational professionals</v>
      </c>
      <c r="Q11" s="11">
        <v>12.388805970653415</v>
      </c>
      <c r="R11" s="11">
        <v>14.320841966154246</v>
      </c>
      <c r="S11" s="345">
        <f t="shared" si="4"/>
        <v>1.932035995500831</v>
      </c>
      <c r="T11" s="345">
        <v>5.8015309105220414</v>
      </c>
      <c r="U11" s="345">
        <f t="shared" si="5"/>
        <v>7.7335669060228724</v>
      </c>
      <c r="V11" s="346">
        <f t="shared" si="6"/>
        <v>2.5937141687470966E-2</v>
      </c>
      <c r="X11" s="10" t="str">
        <f>name!B8</f>
        <v>Rest of manufacturing</v>
      </c>
      <c r="Y11" s="11">
        <v>32.335000000000015</v>
      </c>
      <c r="Z11" s="11">
        <v>26.97900000000006</v>
      </c>
      <c r="AA11" s="345">
        <f t="shared" si="7"/>
        <v>-5.3559999999999555</v>
      </c>
      <c r="AB11" s="11">
        <v>12.488231766324065</v>
      </c>
      <c r="AC11" s="345">
        <f t="shared" si="8"/>
        <v>7.132231766324109</v>
      </c>
      <c r="AD11" s="348">
        <f t="shared" si="9"/>
        <v>2.2010489834804359E-2</v>
      </c>
    </row>
    <row r="12" spans="1:30" x14ac:dyDescent="0.2">
      <c r="A12" s="10" t="str">
        <f>name!D9</f>
        <v>24 Business, media and public service professionals</v>
      </c>
      <c r="B12" s="11">
        <f t="shared" si="2"/>
        <v>67.322193591479618</v>
      </c>
      <c r="C12" s="11">
        <f t="shared" si="2"/>
        <v>83.502594033223261</v>
      </c>
      <c r="D12" s="11">
        <f t="shared" si="2"/>
        <v>16.180400441743654</v>
      </c>
      <c r="E12" s="11">
        <f t="shared" si="2"/>
        <v>36.680329812918323</v>
      </c>
      <c r="F12" s="11">
        <f t="shared" si="2"/>
        <v>52.860730254661974</v>
      </c>
      <c r="G12" s="200">
        <f t="shared" si="3"/>
        <v>2.9419461709330186E-2</v>
      </c>
      <c r="H12" s="11"/>
      <c r="I12" s="10" t="str">
        <f>name!E8</f>
        <v>Skilled trades occupations</v>
      </c>
      <c r="J12" s="11">
        <v>68.52356436206486</v>
      </c>
      <c r="K12" s="11">
        <v>71.783414885921019</v>
      </c>
      <c r="L12" s="11">
        <v>3.2598505238561732</v>
      </c>
      <c r="M12" s="11">
        <v>30.482479770339012</v>
      </c>
      <c r="N12" s="11">
        <v>33.742330294195185</v>
      </c>
      <c r="O12" s="11"/>
      <c r="P12" s="10" t="str">
        <f>name!D9</f>
        <v>24 Business, media and public service professionals</v>
      </c>
      <c r="Q12" s="11">
        <v>37.470661484166961</v>
      </c>
      <c r="R12" s="11">
        <v>46.198846141147392</v>
      </c>
      <c r="S12" s="345">
        <f t="shared" si="4"/>
        <v>8.7281846569804316</v>
      </c>
      <c r="T12" s="345">
        <v>18.173919274952681</v>
      </c>
      <c r="U12" s="345">
        <f t="shared" si="5"/>
        <v>26.902103931933112</v>
      </c>
      <c r="V12" s="346">
        <f t="shared" si="6"/>
        <v>2.6712306510565664E-2</v>
      </c>
      <c r="X12" s="10" t="str">
        <f>name!B9</f>
        <v>Electricity and gas</v>
      </c>
      <c r="Y12" s="11">
        <v>3.7940000000000009</v>
      </c>
      <c r="Z12" s="11">
        <v>3.7060000000000053</v>
      </c>
      <c r="AA12" s="345">
        <f t="shared" si="7"/>
        <v>-8.7999999999995637E-2</v>
      </c>
      <c r="AB12" s="11">
        <v>1.6195252694085913</v>
      </c>
      <c r="AC12" s="345">
        <f t="shared" si="8"/>
        <v>1.5315252694085957</v>
      </c>
      <c r="AD12" s="348">
        <f t="shared" si="9"/>
        <v>2.3981686322160467E-2</v>
      </c>
    </row>
    <row r="13" spans="1:30" x14ac:dyDescent="0.2">
      <c r="A13" s="10" t="str">
        <f>name!D10</f>
        <v>31 Science, engineering and technology associate professionals</v>
      </c>
      <c r="B13" s="11">
        <f t="shared" si="2"/>
        <v>18.372333308333097</v>
      </c>
      <c r="C13" s="11">
        <f t="shared" si="2"/>
        <v>17.616695063451793</v>
      </c>
      <c r="D13" s="11">
        <f t="shared" si="2"/>
        <v>-0.75563824488130449</v>
      </c>
      <c r="E13" s="11">
        <f t="shared" si="2"/>
        <v>7.0699817472128563</v>
      </c>
      <c r="F13" s="11">
        <f t="shared" si="2"/>
        <v>6.3143435023315515</v>
      </c>
      <c r="G13" s="200">
        <f t="shared" si="3"/>
        <v>2.1941778300067272E-2</v>
      </c>
      <c r="H13" s="11"/>
      <c r="I13" s="10" t="str">
        <f>name!E9</f>
        <v>Caring, leisure and other service occupations</v>
      </c>
      <c r="J13" s="11">
        <v>78.928229856731846</v>
      </c>
      <c r="K13" s="11">
        <v>88.550962485980051</v>
      </c>
      <c r="L13" s="11">
        <v>9.6227326292482012</v>
      </c>
      <c r="M13" s="11">
        <v>45.670936984625158</v>
      </c>
      <c r="N13" s="11">
        <v>55.293669613873355</v>
      </c>
      <c r="O13" s="11"/>
      <c r="P13" s="10" t="str">
        <f>name!D10</f>
        <v>31 Science, engineering and technology associate professionals</v>
      </c>
      <c r="Q13" s="11">
        <v>12.602651998065593</v>
      </c>
      <c r="R13" s="11">
        <v>10.611954146631591</v>
      </c>
      <c r="S13" s="345">
        <f t="shared" si="4"/>
        <v>-1.9906978514340015</v>
      </c>
      <c r="T13" s="345">
        <v>3.9152368590180342</v>
      </c>
      <c r="U13" s="345">
        <f t="shared" si="5"/>
        <v>1.9245390075840327</v>
      </c>
      <c r="V13" s="346">
        <f t="shared" si="6"/>
        <v>1.8199406839817911E-2</v>
      </c>
      <c r="X13" s="10" t="str">
        <f>name!B10</f>
        <v>Water and sewerage</v>
      </c>
      <c r="Y13" s="11">
        <v>4.2109999999999914</v>
      </c>
      <c r="Z13" s="11">
        <v>5.0509999999999904</v>
      </c>
      <c r="AA13" s="345">
        <f t="shared" si="7"/>
        <v>0.83999999999999897</v>
      </c>
      <c r="AB13" s="11">
        <v>1.9939757608126742</v>
      </c>
      <c r="AC13" s="345">
        <f t="shared" si="8"/>
        <v>2.833975760812673</v>
      </c>
      <c r="AD13" s="348">
        <f t="shared" si="9"/>
        <v>2.6180260903585939E-2</v>
      </c>
    </row>
    <row r="14" spans="1:30" x14ac:dyDescent="0.2">
      <c r="A14" s="10" t="str">
        <f>name!D11</f>
        <v>32 Health and social care associate professionals</v>
      </c>
      <c r="B14" s="11">
        <f t="shared" si="2"/>
        <v>14.702827358199553</v>
      </c>
      <c r="C14" s="11">
        <f t="shared" si="2"/>
        <v>15.567270685868889</v>
      </c>
      <c r="D14" s="11">
        <f t="shared" si="2"/>
        <v>0.86444332766933218</v>
      </c>
      <c r="E14" s="11">
        <f t="shared" si="2"/>
        <v>8.54259138236241</v>
      </c>
      <c r="F14" s="11">
        <f t="shared" si="2"/>
        <v>9.4070347100317431</v>
      </c>
      <c r="G14" s="200">
        <f t="shared" si="3"/>
        <v>3.1008947819492594E-2</v>
      </c>
      <c r="H14" s="11"/>
      <c r="I14" s="10" t="str">
        <f>name!E10</f>
        <v>Sales and customer service occupations</v>
      </c>
      <c r="J14" s="11">
        <v>66.154645293507571</v>
      </c>
      <c r="K14" s="11">
        <v>66.31602559209459</v>
      </c>
      <c r="L14" s="11">
        <v>0.16138029858701053</v>
      </c>
      <c r="M14" s="11">
        <v>29.3824766162837</v>
      </c>
      <c r="N14" s="11">
        <v>29.543856914870705</v>
      </c>
      <c r="O14" s="11"/>
      <c r="P14" s="10" t="str">
        <f>name!D11</f>
        <v>32 Health and social care associate professionals</v>
      </c>
      <c r="Q14" s="11">
        <v>3.006480564146885</v>
      </c>
      <c r="R14" s="11">
        <v>2.7920022577968115</v>
      </c>
      <c r="S14" s="345">
        <f t="shared" si="4"/>
        <v>-0.21447830635007348</v>
      </c>
      <c r="T14" s="345">
        <v>1.2583051674366028</v>
      </c>
      <c r="U14" s="345">
        <f t="shared" si="5"/>
        <v>1.0438268610865293</v>
      </c>
      <c r="V14" s="346">
        <f t="shared" si="6"/>
        <v>2.3581876604490626E-2</v>
      </c>
      <c r="X14" s="10" t="str">
        <f>name!B11</f>
        <v>Construction</v>
      </c>
      <c r="Y14" s="11">
        <v>62.178999999999839</v>
      </c>
      <c r="Z14" s="11">
        <v>72.454999999999885</v>
      </c>
      <c r="AA14" s="345">
        <f t="shared" si="7"/>
        <v>10.276000000000046</v>
      </c>
      <c r="AB14" s="11">
        <v>28.311614029504085</v>
      </c>
      <c r="AC14" s="345">
        <f t="shared" si="8"/>
        <v>38.587614029504131</v>
      </c>
      <c r="AD14" s="348">
        <f t="shared" si="9"/>
        <v>2.5330760854327838E-2</v>
      </c>
    </row>
    <row r="15" spans="1:30" x14ac:dyDescent="0.2">
      <c r="A15" s="10" t="str">
        <f>name!D12</f>
        <v>33 Protective service occupations</v>
      </c>
      <c r="B15" s="11">
        <f t="shared" si="2"/>
        <v>10.190391215898874</v>
      </c>
      <c r="C15" s="11">
        <f t="shared" si="2"/>
        <v>13.966560653587353</v>
      </c>
      <c r="D15" s="11">
        <f t="shared" si="2"/>
        <v>3.7761694376884809</v>
      </c>
      <c r="E15" s="11">
        <f t="shared" si="2"/>
        <v>4.3755790589020194</v>
      </c>
      <c r="F15" s="11">
        <f t="shared" si="2"/>
        <v>8.1517484965904998</v>
      </c>
      <c r="G15" s="200">
        <f t="shared" si="3"/>
        <v>2.410205468413551E-2</v>
      </c>
      <c r="H15" s="11"/>
      <c r="I15" s="10" t="str">
        <f>name!E11</f>
        <v>Process, plant and machine operatives</v>
      </c>
      <c r="J15" s="11">
        <v>33.64333516453587</v>
      </c>
      <c r="K15" s="11">
        <v>38.048744257037526</v>
      </c>
      <c r="L15" s="11">
        <v>4.4054090925016567</v>
      </c>
      <c r="M15" s="11">
        <v>17.790759348867155</v>
      </c>
      <c r="N15" s="11">
        <v>22.196168441368812</v>
      </c>
      <c r="O15" s="11"/>
      <c r="P15" s="10" t="str">
        <f>name!D12</f>
        <v>33 Protective service occupations</v>
      </c>
      <c r="Q15" s="11">
        <v>7.5785391566407831</v>
      </c>
      <c r="R15" s="11">
        <v>9.3897920371263535</v>
      </c>
      <c r="S15" s="345">
        <f t="shared" si="4"/>
        <v>1.8112528804855703</v>
      </c>
      <c r="T15" s="345">
        <v>2.4956906313626632</v>
      </c>
      <c r="U15" s="345">
        <f t="shared" si="5"/>
        <v>4.3069435118482335</v>
      </c>
      <c r="V15" s="346">
        <f t="shared" si="6"/>
        <v>1.9158560975664152E-2</v>
      </c>
      <c r="X15" s="10" t="str">
        <f>name!B12</f>
        <v>Wholesale and retail trade</v>
      </c>
      <c r="Y15" s="11">
        <v>137.79900000000006</v>
      </c>
      <c r="Z15" s="11">
        <v>141.42999999999981</v>
      </c>
      <c r="AA15" s="345">
        <f t="shared" si="7"/>
        <v>3.6309999999997444</v>
      </c>
      <c r="AB15" s="11">
        <v>64.232830354155297</v>
      </c>
      <c r="AC15" s="345">
        <f t="shared" si="8"/>
        <v>67.863830354155041</v>
      </c>
      <c r="AD15" s="348">
        <f t="shared" si="9"/>
        <v>2.5836739325420188E-2</v>
      </c>
    </row>
    <row r="16" spans="1:30" x14ac:dyDescent="0.2">
      <c r="A16" s="10" t="str">
        <f>name!D13</f>
        <v>34 Culture, media and sports occupations</v>
      </c>
      <c r="B16" s="11">
        <f t="shared" si="2"/>
        <v>20.723051149864915</v>
      </c>
      <c r="C16" s="11">
        <f t="shared" si="2"/>
        <v>22.738822976872463</v>
      </c>
      <c r="D16" s="11">
        <f t="shared" si="2"/>
        <v>2.0157718270075433</v>
      </c>
      <c r="E16" s="11">
        <f t="shared" si="2"/>
        <v>9.9085273589015515</v>
      </c>
      <c r="F16" s="11">
        <f t="shared" si="2"/>
        <v>11.924299185909092</v>
      </c>
      <c r="G16" s="200">
        <f t="shared" si="3"/>
        <v>2.6394647450126874E-2</v>
      </c>
      <c r="H16" s="11"/>
      <c r="I16" s="10" t="str">
        <f>name!E12</f>
        <v>Elementary occupations</v>
      </c>
      <c r="J16" s="11">
        <v>84.814320137323918</v>
      </c>
      <c r="K16" s="11">
        <v>83.44818433613041</v>
      </c>
      <c r="L16" s="11">
        <v>-1.3661358011935165</v>
      </c>
      <c r="M16" s="11">
        <v>40.361550588453213</v>
      </c>
      <c r="N16" s="11">
        <v>38.995414787259691</v>
      </c>
      <c r="O16" s="11"/>
      <c r="P16" s="10" t="str">
        <f>name!D13</f>
        <v>34 Culture, media and sports occupations</v>
      </c>
      <c r="Q16" s="11">
        <v>10.244518759580663</v>
      </c>
      <c r="R16" s="11">
        <v>11.821344092933405</v>
      </c>
      <c r="S16" s="345">
        <f t="shared" si="4"/>
        <v>1.5768253333527422</v>
      </c>
      <c r="T16" s="345">
        <v>4.3504444915693963</v>
      </c>
      <c r="U16" s="345">
        <f t="shared" si="5"/>
        <v>5.9272698249221385</v>
      </c>
      <c r="V16" s="346">
        <f t="shared" si="6"/>
        <v>2.3876156720201935E-2</v>
      </c>
      <c r="X16" s="10" t="str">
        <f>name!B13</f>
        <v>Transport and storage</v>
      </c>
      <c r="Y16" s="11">
        <v>29.342999999999986</v>
      </c>
      <c r="Z16" s="11">
        <v>31.292999999999928</v>
      </c>
      <c r="AA16" s="345">
        <f t="shared" si="7"/>
        <v>1.9499999999999424</v>
      </c>
      <c r="AB16" s="11">
        <v>13.959548100131018</v>
      </c>
      <c r="AC16" s="345">
        <f t="shared" si="8"/>
        <v>15.90954810013096</v>
      </c>
      <c r="AD16" s="348">
        <f t="shared" si="9"/>
        <v>2.6283301470983345E-2</v>
      </c>
    </row>
    <row r="17" spans="1:30" x14ac:dyDescent="0.2">
      <c r="A17" s="10" t="str">
        <f>name!D14</f>
        <v>35 Business and public service associate professionals</v>
      </c>
      <c r="B17" s="11">
        <f t="shared" ref="B17:F26" si="10">SUM(B46,B75,B104,B133,B162,B191,B220,B249,B278)</f>
        <v>60.097066683667308</v>
      </c>
      <c r="C17" s="11">
        <f t="shared" si="10"/>
        <v>60.637317723298551</v>
      </c>
      <c r="D17" s="11">
        <f t="shared" si="10"/>
        <v>0.54025103963124688</v>
      </c>
      <c r="E17" s="11">
        <f t="shared" si="10"/>
        <v>27.259049939361688</v>
      </c>
      <c r="F17" s="11">
        <f t="shared" si="10"/>
        <v>27.799300978992935</v>
      </c>
      <c r="G17" s="200">
        <f t="shared" si="3"/>
        <v>2.5248957389146343E-2</v>
      </c>
      <c r="H17" s="11"/>
      <c r="O17" s="11"/>
      <c r="P17" s="10" t="str">
        <f>name!D14</f>
        <v>35 Business and public service associate professionals</v>
      </c>
      <c r="Q17" s="11">
        <v>31.07790018991216</v>
      </c>
      <c r="R17" s="11">
        <v>29.328547744682947</v>
      </c>
      <c r="S17" s="345">
        <f t="shared" si="4"/>
        <v>-1.7493524452292135</v>
      </c>
      <c r="T17" s="345">
        <v>11.326654237678929</v>
      </c>
      <c r="U17" s="345">
        <f t="shared" si="5"/>
        <v>9.577301792449715</v>
      </c>
      <c r="V17" s="346">
        <f t="shared" si="6"/>
        <v>2.0933346035348466E-2</v>
      </c>
      <c r="X17" s="10" t="str">
        <f>name!B14</f>
        <v>Accommodation and food</v>
      </c>
      <c r="Y17" s="11">
        <v>56.35499999999994</v>
      </c>
      <c r="Z17" s="11">
        <v>68.657999999999973</v>
      </c>
      <c r="AA17" s="345">
        <f t="shared" si="7"/>
        <v>12.303000000000033</v>
      </c>
      <c r="AB17" s="11">
        <v>30.620952482559744</v>
      </c>
      <c r="AC17" s="345">
        <f t="shared" si="8"/>
        <v>42.923952482559777</v>
      </c>
      <c r="AD17" s="348">
        <f t="shared" si="9"/>
        <v>2.935327185652592E-2</v>
      </c>
    </row>
    <row r="18" spans="1:30" x14ac:dyDescent="0.2">
      <c r="A18" s="10" t="str">
        <f>name!D15</f>
        <v>41 Administrative occupations</v>
      </c>
      <c r="B18" s="11">
        <f t="shared" si="10"/>
        <v>69.940840134492703</v>
      </c>
      <c r="C18" s="11">
        <f t="shared" si="10"/>
        <v>58.446301695484991</v>
      </c>
      <c r="D18" s="11">
        <f t="shared" si="10"/>
        <v>-11.494538439007721</v>
      </c>
      <c r="E18" s="11">
        <f t="shared" si="10"/>
        <v>31.309331540444866</v>
      </c>
      <c r="F18" s="11">
        <f t="shared" si="10"/>
        <v>19.814793101437147</v>
      </c>
      <c r="G18" s="200">
        <f t="shared" si="3"/>
        <v>2.4969624158541315E-2</v>
      </c>
      <c r="H18" s="11"/>
      <c r="I18" s="87" t="str">
        <f>name!F4</f>
        <v>RQF8 Doctorate</v>
      </c>
      <c r="J18" s="11"/>
      <c r="K18" s="11"/>
      <c r="L18" s="11"/>
      <c r="M18" s="11"/>
      <c r="N18" s="11"/>
      <c r="O18" s="11"/>
      <c r="P18" s="10" t="str">
        <f>name!D15</f>
        <v>41 Administrative occupations</v>
      </c>
      <c r="Q18" s="11">
        <v>19.198886990863684</v>
      </c>
      <c r="R18" s="11">
        <v>18.995570472057207</v>
      </c>
      <c r="S18" s="345">
        <f t="shared" si="4"/>
        <v>-0.20331651880647783</v>
      </c>
      <c r="T18" s="345">
        <v>6.8031423314608812</v>
      </c>
      <c r="U18" s="345">
        <f t="shared" si="5"/>
        <v>6.5998258126544034</v>
      </c>
      <c r="V18" s="346">
        <f t="shared" si="6"/>
        <v>2.0427324529829205E-2</v>
      </c>
      <c r="X18" s="10" t="str">
        <f>name!B15</f>
        <v>Media</v>
      </c>
      <c r="Y18" s="11">
        <v>5.8570000000000055</v>
      </c>
      <c r="Z18" s="11">
        <v>5.5190000000000046</v>
      </c>
      <c r="AA18" s="345">
        <f t="shared" si="7"/>
        <v>-0.33800000000000097</v>
      </c>
      <c r="AB18" s="11">
        <v>2.7326100945180181</v>
      </c>
      <c r="AC18" s="345">
        <f t="shared" si="8"/>
        <v>2.3946100945180171</v>
      </c>
      <c r="AD18" s="348">
        <f t="shared" si="9"/>
        <v>2.5856343792621805E-2</v>
      </c>
    </row>
    <row r="19" spans="1:30" x14ac:dyDescent="0.2">
      <c r="A19" s="10" t="str">
        <f>name!D16</f>
        <v>42 Secretarial and related occupations</v>
      </c>
      <c r="B19" s="11">
        <f t="shared" si="10"/>
        <v>18.438489888023398</v>
      </c>
      <c r="C19" s="11">
        <f t="shared" si="10"/>
        <v>14.878254872716306</v>
      </c>
      <c r="D19" s="11">
        <f t="shared" si="10"/>
        <v>-3.560235015307093</v>
      </c>
      <c r="E19" s="11">
        <f t="shared" si="10"/>
        <v>9.2383487991972295</v>
      </c>
      <c r="F19" s="11">
        <f t="shared" si="10"/>
        <v>5.6781137838901374</v>
      </c>
      <c r="G19" s="200">
        <f t="shared" si="3"/>
        <v>2.7446953779209693E-2</v>
      </c>
      <c r="H19" s="11"/>
      <c r="I19" s="11" t="str">
        <f t="shared" ref="I19:I27" si="11">I8</f>
        <v>Managers, directors and senior officials</v>
      </c>
      <c r="J19" s="11">
        <f t="array" ref="J19:J27">MMULT(aggregation!$B$13:$AA$21,B36:B61)</f>
        <v>1.8689264088220594</v>
      </c>
      <c r="K19" s="11">
        <f t="array" ref="K19:K27">MMULT(aggregation!$B$13:$AA$21,C36:C61)</f>
        <v>2.8530535790749671</v>
      </c>
      <c r="L19" s="11">
        <f t="array" ref="L19:L27">MMULT(aggregation!$B$13:$AA$21,D36:D61)</f>
        <v>0.98412717025290775</v>
      </c>
      <c r="M19" s="11">
        <f t="array" ref="M19:M27">MMULT(aggregation!$B$13:$AA$21,E36:E61)</f>
        <v>1.3223468531327458</v>
      </c>
      <c r="N19" s="11">
        <f t="array" ref="N19:N27">MMULT(aggregation!$B$13:$AA$21,F36:F61)</f>
        <v>2.3064740233856535</v>
      </c>
      <c r="O19" s="11"/>
      <c r="P19" s="10" t="str">
        <f>name!D16</f>
        <v>42 Secretarial and related occupations</v>
      </c>
      <c r="Q19" s="11">
        <v>0.71911521794111299</v>
      </c>
      <c r="R19" s="11">
        <v>1.1229885767190426</v>
      </c>
      <c r="S19" s="345">
        <f t="shared" si="4"/>
        <v>0.40387335877792963</v>
      </c>
      <c r="T19" s="345">
        <v>0.32090145109778789</v>
      </c>
      <c r="U19" s="345">
        <f t="shared" si="5"/>
        <v>0.72477480987571752</v>
      </c>
      <c r="V19" s="346">
        <f t="shared" si="6"/>
        <v>2.4903055896365656E-2</v>
      </c>
      <c r="X19" s="10" t="str">
        <f>name!B16</f>
        <v>Information technology</v>
      </c>
      <c r="Y19" s="11">
        <v>56.659000000000013</v>
      </c>
      <c r="Z19" s="11">
        <v>65.957000000000022</v>
      </c>
      <c r="AA19" s="345">
        <f t="shared" si="7"/>
        <v>9.2980000000000089</v>
      </c>
      <c r="AB19" s="11">
        <v>26.94723558045844</v>
      </c>
      <c r="AC19" s="345">
        <f t="shared" si="8"/>
        <v>36.245235580458449</v>
      </c>
      <c r="AD19" s="348">
        <f t="shared" si="9"/>
        <v>2.6277129873469418E-2</v>
      </c>
    </row>
    <row r="20" spans="1:30" x14ac:dyDescent="0.2">
      <c r="A20" s="10" t="str">
        <f>name!D17</f>
        <v>51 Skilled agricultural and related trades</v>
      </c>
      <c r="B20" s="11">
        <f t="shared" si="10"/>
        <v>7.0314570870948199</v>
      </c>
      <c r="C20" s="11">
        <f t="shared" si="10"/>
        <v>8.8852578157912969</v>
      </c>
      <c r="D20" s="11">
        <f t="shared" si="10"/>
        <v>1.8538007286964771</v>
      </c>
      <c r="E20" s="11">
        <f t="shared" si="10"/>
        <v>4.4527061351693149</v>
      </c>
      <c r="F20" s="11">
        <f t="shared" si="10"/>
        <v>6.3065068638657911</v>
      </c>
      <c r="G20" s="200">
        <f t="shared" si="3"/>
        <v>3.3245688440625143E-2</v>
      </c>
      <c r="H20" s="11"/>
      <c r="I20" s="11" t="str">
        <f t="shared" si="11"/>
        <v>Professional occupations</v>
      </c>
      <c r="J20" s="11">
        <v>10.663589013768787</v>
      </c>
      <c r="K20" s="11">
        <v>15.127675988195884</v>
      </c>
      <c r="L20" s="11">
        <v>4.4640869744270972</v>
      </c>
      <c r="M20" s="11">
        <v>6.0537212108048619</v>
      </c>
      <c r="N20" s="11">
        <v>10.517808185231958</v>
      </c>
      <c r="O20" s="11"/>
      <c r="P20" s="10" t="str">
        <f>name!D17</f>
        <v>51 Skilled agricultural and related trades</v>
      </c>
      <c r="Q20" s="11">
        <v>5.2942190674376768</v>
      </c>
      <c r="R20" s="11">
        <v>6.271319943572335</v>
      </c>
      <c r="S20" s="345">
        <f t="shared" si="4"/>
        <v>0.97710087613465824</v>
      </c>
      <c r="T20" s="345">
        <v>2.9398248500648148</v>
      </c>
      <c r="U20" s="345">
        <f t="shared" si="5"/>
        <v>3.916925726199473</v>
      </c>
      <c r="V20" s="346">
        <f t="shared" si="6"/>
        <v>2.9881882261121762E-2</v>
      </c>
      <c r="X20" s="10" t="str">
        <f>name!B17</f>
        <v>Finance and insurance</v>
      </c>
      <c r="Y20" s="11">
        <v>23.575000000000031</v>
      </c>
      <c r="Z20" s="11">
        <v>21.528000000000002</v>
      </c>
      <c r="AA20" s="345">
        <f t="shared" si="7"/>
        <v>-2.047000000000029</v>
      </c>
      <c r="AB20" s="11">
        <v>10.924677923870815</v>
      </c>
      <c r="AC20" s="345">
        <f t="shared" si="8"/>
        <v>8.8776779238707864</v>
      </c>
      <c r="AD20" s="348">
        <f t="shared" si="9"/>
        <v>2.5709133213025037E-2</v>
      </c>
    </row>
    <row r="21" spans="1:30" x14ac:dyDescent="0.2">
      <c r="A21" s="10" t="str">
        <f>name!D18</f>
        <v>52 Skilled metal, electrical and electronic trades</v>
      </c>
      <c r="B21" s="11">
        <f t="shared" si="10"/>
        <v>25.128095818289658</v>
      </c>
      <c r="C21" s="11">
        <f t="shared" si="10"/>
        <v>25.160536801058267</v>
      </c>
      <c r="D21" s="11">
        <f t="shared" si="10"/>
        <v>3.2440982768612403E-2</v>
      </c>
      <c r="E21" s="11">
        <f t="shared" si="10"/>
        <v>9.8622575561850958</v>
      </c>
      <c r="F21" s="11">
        <f t="shared" si="10"/>
        <v>9.8946985389537083</v>
      </c>
      <c r="G21" s="200">
        <f t="shared" si="3"/>
        <v>2.2317786026401665E-2</v>
      </c>
      <c r="H21" s="11"/>
      <c r="I21" s="11" t="str">
        <f t="shared" si="11"/>
        <v>Associate professional occupations</v>
      </c>
      <c r="J21" s="11">
        <v>1.8361776151313405</v>
      </c>
      <c r="K21" s="11">
        <v>2.7603774621413946</v>
      </c>
      <c r="L21" s="11">
        <v>0.92419984701005387</v>
      </c>
      <c r="M21" s="11">
        <v>1.1203076758828989</v>
      </c>
      <c r="N21" s="11">
        <v>2.0445075228929528</v>
      </c>
      <c r="O21" s="11"/>
      <c r="P21" s="10" t="str">
        <f>name!D18</f>
        <v>52 Skilled metal, electrical and electronic trades</v>
      </c>
      <c r="Q21" s="11">
        <v>24.261976877609595</v>
      </c>
      <c r="R21" s="11">
        <v>22.642415247289783</v>
      </c>
      <c r="S21" s="345">
        <f t="shared" si="4"/>
        <v>-1.6195616303198115</v>
      </c>
      <c r="T21" s="345">
        <v>8.7342244576344346</v>
      </c>
      <c r="U21" s="345">
        <f t="shared" si="5"/>
        <v>7.1146628273146231</v>
      </c>
      <c r="V21" s="346">
        <f t="shared" si="6"/>
        <v>2.0710347232561155E-2</v>
      </c>
      <c r="X21" s="10" t="str">
        <f>name!B18</f>
        <v>Real estate</v>
      </c>
      <c r="Y21" s="11">
        <v>15.229999999999997</v>
      </c>
      <c r="Z21" s="11">
        <v>16.954000000000004</v>
      </c>
      <c r="AA21" s="345">
        <f t="shared" si="7"/>
        <v>1.7240000000000073</v>
      </c>
      <c r="AB21" s="11">
        <v>7.8153980986736791</v>
      </c>
      <c r="AC21" s="345">
        <f t="shared" si="8"/>
        <v>9.5393980986736864</v>
      </c>
      <c r="AD21" s="348">
        <f t="shared" si="9"/>
        <v>2.7998041899057302E-2</v>
      </c>
    </row>
    <row r="22" spans="1:30" x14ac:dyDescent="0.2">
      <c r="A22" s="10" t="str">
        <f>name!D19</f>
        <v>53 Skilled construction and building trades</v>
      </c>
      <c r="B22" s="11">
        <f t="shared" si="10"/>
        <v>20.419196268607521</v>
      </c>
      <c r="C22" s="11">
        <f t="shared" si="10"/>
        <v>20.361165478126043</v>
      </c>
      <c r="D22" s="11">
        <f t="shared" si="10"/>
        <v>-5.803079048148041E-2</v>
      </c>
      <c r="E22" s="11">
        <f t="shared" si="10"/>
        <v>8.8942594825827452</v>
      </c>
      <c r="F22" s="11">
        <f t="shared" si="10"/>
        <v>8.8362286921012636</v>
      </c>
      <c r="G22" s="200">
        <f t="shared" si="3"/>
        <v>2.4397614459161776E-2</v>
      </c>
      <c r="H22" s="11"/>
      <c r="I22" s="11" t="str">
        <f t="shared" si="11"/>
        <v>Administrative and secretarial occupations</v>
      </c>
      <c r="J22" s="11">
        <v>0.53451024462257424</v>
      </c>
      <c r="K22" s="11">
        <v>0.9048672626723101</v>
      </c>
      <c r="L22" s="11">
        <v>0.37035701804973586</v>
      </c>
      <c r="M22" s="11">
        <v>0.39235930567559418</v>
      </c>
      <c r="N22" s="11">
        <v>0.76271632372533005</v>
      </c>
      <c r="O22" s="11"/>
      <c r="P22" s="10" t="str">
        <f>name!D19</f>
        <v>53 Skilled construction and building trades</v>
      </c>
      <c r="Q22" s="11">
        <v>20.00590119581107</v>
      </c>
      <c r="R22" s="11">
        <v>19.886417611282361</v>
      </c>
      <c r="S22" s="345">
        <f t="shared" si="4"/>
        <v>-0.11948358452870877</v>
      </c>
      <c r="T22" s="345">
        <v>8.6752793731445781</v>
      </c>
      <c r="U22" s="345">
        <f t="shared" si="5"/>
        <v>8.5557957886158693</v>
      </c>
      <c r="V22" s="346">
        <f t="shared" si="6"/>
        <v>2.4304923593047256E-2</v>
      </c>
      <c r="X22" s="10" t="str">
        <f>name!B19</f>
        <v>Professional services</v>
      </c>
      <c r="Y22" s="11">
        <v>93.151999999999987</v>
      </c>
      <c r="Z22" s="11">
        <v>103.96000000000025</v>
      </c>
      <c r="AA22" s="345">
        <f t="shared" si="7"/>
        <v>10.808000000000263</v>
      </c>
      <c r="AB22" s="11">
        <v>47.861546526039312</v>
      </c>
      <c r="AC22" s="345">
        <f t="shared" si="8"/>
        <v>58.669546526039575</v>
      </c>
      <c r="AD22" s="348">
        <f t="shared" si="9"/>
        <v>2.8027131838321617E-2</v>
      </c>
    </row>
    <row r="23" spans="1:30" x14ac:dyDescent="0.2">
      <c r="A23" s="10" t="str">
        <f>name!D20</f>
        <v>54 Textiles, printing and other skilled trades</v>
      </c>
      <c r="B23" s="11">
        <f t="shared" si="10"/>
        <v>15.944815188072859</v>
      </c>
      <c r="C23" s="11">
        <f t="shared" si="10"/>
        <v>17.376454790945424</v>
      </c>
      <c r="D23" s="11">
        <f t="shared" si="10"/>
        <v>1.431639602872564</v>
      </c>
      <c r="E23" s="11">
        <f t="shared" si="10"/>
        <v>7.2732565964018576</v>
      </c>
      <c r="F23" s="11">
        <f t="shared" si="10"/>
        <v>8.7048961992744243</v>
      </c>
      <c r="G23" s="200">
        <f t="shared" si="3"/>
        <v>2.5369615548002988E-2</v>
      </c>
      <c r="H23" s="11"/>
      <c r="I23" s="11" t="str">
        <f t="shared" si="11"/>
        <v>Skilled trades occupations</v>
      </c>
      <c r="J23" s="11">
        <v>0.13881337773602898</v>
      </c>
      <c r="K23" s="11">
        <v>0.22748375813332858</v>
      </c>
      <c r="L23" s="11">
        <v>8.8670380397299603E-2</v>
      </c>
      <c r="M23" s="11">
        <v>0.10022305710468787</v>
      </c>
      <c r="N23" s="11">
        <v>0.18889343750198745</v>
      </c>
      <c r="O23" s="11"/>
      <c r="P23" s="10" t="str">
        <f>name!D20</f>
        <v>54 Textiles, printing and other skilled trades</v>
      </c>
      <c r="Q23" s="11">
        <v>9.0961331920357527</v>
      </c>
      <c r="R23" s="11">
        <v>9.68997093403744</v>
      </c>
      <c r="S23" s="345">
        <f t="shared" si="4"/>
        <v>0.59383774200168737</v>
      </c>
      <c r="T23" s="345">
        <v>3.0584145773178628</v>
      </c>
      <c r="U23" s="345">
        <f t="shared" si="5"/>
        <v>3.6522523193195502</v>
      </c>
      <c r="V23" s="346">
        <f t="shared" si="6"/>
        <v>1.9511509336869626E-2</v>
      </c>
      <c r="X23" s="10" t="str">
        <f>name!B20</f>
        <v>Support services</v>
      </c>
      <c r="Y23" s="11">
        <v>65.049999999999855</v>
      </c>
      <c r="Z23" s="11">
        <v>72.852000000000018</v>
      </c>
      <c r="AA23" s="345">
        <f t="shared" si="7"/>
        <v>7.802000000000163</v>
      </c>
      <c r="AB23" s="11">
        <v>32.139540368331375</v>
      </c>
      <c r="AC23" s="345">
        <f t="shared" si="8"/>
        <v>39.941540368331538</v>
      </c>
      <c r="AD23" s="348">
        <f t="shared" si="9"/>
        <v>2.7128583460496625E-2</v>
      </c>
    </row>
    <row r="24" spans="1:30" x14ac:dyDescent="0.2">
      <c r="A24" s="10" t="str">
        <f>name!D21</f>
        <v>61 Caring personal service occupations</v>
      </c>
      <c r="B24" s="11">
        <f t="shared" si="10"/>
        <v>56.99134076889549</v>
      </c>
      <c r="C24" s="11">
        <f t="shared" si="10"/>
        <v>65.879337343067249</v>
      </c>
      <c r="D24" s="11">
        <f t="shared" si="10"/>
        <v>8.887996574171753</v>
      </c>
      <c r="E24" s="11">
        <f t="shared" si="10"/>
        <v>34.402938999342325</v>
      </c>
      <c r="F24" s="11">
        <f t="shared" si="10"/>
        <v>43.290935573514076</v>
      </c>
      <c r="G24" s="200">
        <f t="shared" si="3"/>
        <v>3.1986484057404452E-2</v>
      </c>
      <c r="H24" s="11"/>
      <c r="I24" s="11" t="str">
        <f t="shared" si="11"/>
        <v>Caring, leisure and other service occupations</v>
      </c>
      <c r="J24" s="11">
        <v>0.1021695471801813</v>
      </c>
      <c r="K24" s="11">
        <v>0.18441972806343682</v>
      </c>
      <c r="L24" s="11">
        <v>8.2250180883255544E-2</v>
      </c>
      <c r="M24" s="11">
        <v>8.1347184768992345E-2</v>
      </c>
      <c r="N24" s="11">
        <v>0.16359736565224792</v>
      </c>
      <c r="O24" s="11"/>
      <c r="P24" s="10" t="str">
        <f>name!D21</f>
        <v>61 Caring personal service occupations</v>
      </c>
      <c r="Q24" s="11">
        <v>10.861358444176028</v>
      </c>
      <c r="R24" s="11">
        <v>15.534562716475095</v>
      </c>
      <c r="S24" s="345">
        <f t="shared" si="4"/>
        <v>4.673204272299067</v>
      </c>
      <c r="T24" s="345">
        <v>6.1153377246434797</v>
      </c>
      <c r="U24" s="345">
        <f t="shared" si="5"/>
        <v>10.788541996942547</v>
      </c>
      <c r="V24" s="346">
        <f t="shared" si="6"/>
        <v>3.0223064662106891E-2</v>
      </c>
      <c r="X24" s="10" t="str">
        <f>name!B21</f>
        <v>Public admin. and defence</v>
      </c>
      <c r="Y24" s="11">
        <v>26.430999999999951</v>
      </c>
      <c r="Z24" s="11">
        <v>26.992999999999988</v>
      </c>
      <c r="AA24" s="345">
        <f t="shared" si="7"/>
        <v>0.56200000000003669</v>
      </c>
      <c r="AB24" s="11">
        <v>12.993976939010043</v>
      </c>
      <c r="AC24" s="345">
        <f t="shared" si="8"/>
        <v>13.55597693901008</v>
      </c>
      <c r="AD24" s="348">
        <f t="shared" si="9"/>
        <v>2.7015954228392092E-2</v>
      </c>
    </row>
    <row r="25" spans="1:30" x14ac:dyDescent="0.2">
      <c r="A25" s="10" t="str">
        <f>name!D22</f>
        <v>62 Leisure, travel and related personal service occupations</v>
      </c>
      <c r="B25" s="11">
        <f t="shared" si="10"/>
        <v>20.996416440378106</v>
      </c>
      <c r="C25" s="11">
        <f t="shared" si="10"/>
        <v>21.871543451721777</v>
      </c>
      <c r="D25" s="11">
        <f t="shared" si="10"/>
        <v>0.87512701134366855</v>
      </c>
      <c r="E25" s="11">
        <f t="shared" si="10"/>
        <v>10.887181233124172</v>
      </c>
      <c r="F25" s="11">
        <f t="shared" si="10"/>
        <v>11.762308244467842</v>
      </c>
      <c r="G25" s="200">
        <f t="shared" si="3"/>
        <v>2.8240745699081193E-2</v>
      </c>
      <c r="H25" s="11"/>
      <c r="I25" s="11" t="str">
        <f t="shared" si="11"/>
        <v>Sales and customer service occupations</v>
      </c>
      <c r="J25" s="11">
        <v>0.21427059021461622</v>
      </c>
      <c r="K25" s="11">
        <v>0.33898151170202895</v>
      </c>
      <c r="L25" s="11">
        <v>0.12471092148741275</v>
      </c>
      <c r="M25" s="11">
        <v>0.13206384970234264</v>
      </c>
      <c r="N25" s="11">
        <v>0.25677477118975545</v>
      </c>
      <c r="O25" s="11"/>
      <c r="P25" s="10" t="str">
        <f>name!D22</f>
        <v>62 Leisure, travel and related personal service occupations</v>
      </c>
      <c r="Q25" s="11">
        <v>6.078502525692854</v>
      </c>
      <c r="R25" s="11">
        <v>7.2339990347556036</v>
      </c>
      <c r="S25" s="345">
        <f t="shared" si="4"/>
        <v>1.1554965090627496</v>
      </c>
      <c r="T25" s="345">
        <v>2.9120910026371933</v>
      </c>
      <c r="U25" s="345">
        <f t="shared" si="5"/>
        <v>4.0675875116999425</v>
      </c>
      <c r="V25" s="346">
        <f t="shared" si="6"/>
        <v>2.6438147339593598E-2</v>
      </c>
      <c r="X25" s="10" t="str">
        <f>name!B22</f>
        <v>Education</v>
      </c>
      <c r="Y25" s="11">
        <v>75.115999999999929</v>
      </c>
      <c r="Z25" s="11">
        <v>76.568999999999875</v>
      </c>
      <c r="AA25" s="345">
        <f t="shared" si="7"/>
        <v>1.4529999999999461</v>
      </c>
      <c r="AB25" s="11">
        <v>39.786184163742327</v>
      </c>
      <c r="AC25" s="345">
        <f t="shared" si="8"/>
        <v>41.239184163742273</v>
      </c>
      <c r="AD25" s="348">
        <f t="shared" si="9"/>
        <v>2.8741805246677465E-2</v>
      </c>
    </row>
    <row r="26" spans="1:30" x14ac:dyDescent="0.2">
      <c r="A26" s="10" t="str">
        <f>name!D23</f>
        <v>63 Community and civil enforcement occupations</v>
      </c>
      <c r="B26" s="11">
        <f t="shared" si="10"/>
        <v>0.94047264745824533</v>
      </c>
      <c r="C26" s="11">
        <f t="shared" si="10"/>
        <v>0.80008169119102523</v>
      </c>
      <c r="D26" s="11">
        <f t="shared" si="10"/>
        <v>-0.1403909562672199</v>
      </c>
      <c r="E26" s="11">
        <f t="shared" si="10"/>
        <v>0.38081675215865496</v>
      </c>
      <c r="F26" s="11">
        <f t="shared" si="10"/>
        <v>0.24042579589143503</v>
      </c>
      <c r="G26" s="200">
        <f t="shared" si="3"/>
        <v>2.2924197609286212E-2</v>
      </c>
      <c r="H26" s="11"/>
      <c r="I26" s="11" t="str">
        <f t="shared" si="11"/>
        <v>Process, plant and machine operatives</v>
      </c>
      <c r="J26" s="11">
        <v>0.10443232562001266</v>
      </c>
      <c r="K26" s="11">
        <v>0.21357643611242247</v>
      </c>
      <c r="L26" s="11">
        <v>0.10914411049240981</v>
      </c>
      <c r="M26" s="11">
        <v>9.8865956195622579E-2</v>
      </c>
      <c r="N26" s="11">
        <v>0.2080100666880324</v>
      </c>
      <c r="O26" s="11"/>
      <c r="P26" s="10" t="str">
        <f>name!D23</f>
        <v>63 Community and civil enforcement occupations</v>
      </c>
      <c r="Q26" s="11">
        <v>0.71587013483442929</v>
      </c>
      <c r="R26" s="11">
        <v>0.51067070535934178</v>
      </c>
      <c r="S26" s="345">
        <f t="shared" si="4"/>
        <v>-0.20519942947508751</v>
      </c>
      <c r="T26" s="345">
        <v>0.20416811339638191</v>
      </c>
      <c r="U26" s="345">
        <f t="shared" si="5"/>
        <v>-1.0313160787056019E-3</v>
      </c>
      <c r="V26" s="346">
        <f t="shared" si="6"/>
        <v>1.6868457033423656E-2</v>
      </c>
      <c r="X26" s="10" t="str">
        <f>name!B23</f>
        <v>Health and social work</v>
      </c>
      <c r="Y26" s="11">
        <v>96.569000000000131</v>
      </c>
      <c r="Z26" s="11">
        <v>102.39700000000005</v>
      </c>
      <c r="AA26" s="345">
        <f t="shared" si="7"/>
        <v>5.8279999999999177</v>
      </c>
      <c r="AB26" s="11">
        <v>55.079752462232648</v>
      </c>
      <c r="AC26" s="345">
        <f t="shared" si="8"/>
        <v>60.907752462232565</v>
      </c>
      <c r="AD26" s="348">
        <f t="shared" si="9"/>
        <v>3.0544477937867631E-2</v>
      </c>
    </row>
    <row r="27" spans="1:30" x14ac:dyDescent="0.2">
      <c r="A27" s="10" t="str">
        <f>name!D24</f>
        <v>71 Sales occupations</v>
      </c>
      <c r="B27" s="11">
        <f t="shared" ref="B27:F33" si="12">SUM(B56,B85,B114,B143,B172,B201,B230,B259,B288)</f>
        <v>52.388752756131474</v>
      </c>
      <c r="C27" s="11">
        <f t="shared" si="12"/>
        <v>46.442664895555332</v>
      </c>
      <c r="D27" s="11">
        <f t="shared" si="12"/>
        <v>-5.9460878605761458</v>
      </c>
      <c r="E27" s="11">
        <f t="shared" si="12"/>
        <v>21.219212367787211</v>
      </c>
      <c r="F27" s="11">
        <f t="shared" si="12"/>
        <v>15.273124507211062</v>
      </c>
      <c r="G27" s="200">
        <f t="shared" si="3"/>
        <v>2.2929688959722805E-2</v>
      </c>
      <c r="H27" s="11"/>
      <c r="I27" s="11" t="str">
        <f t="shared" si="11"/>
        <v>Elementary occupations</v>
      </c>
      <c r="J27" s="11">
        <v>6.745793453444561E-2</v>
      </c>
      <c r="K27" s="11">
        <v>0.10558936681639315</v>
      </c>
      <c r="L27" s="11">
        <v>3.8131432281947535E-2</v>
      </c>
      <c r="M27" s="11">
        <v>5.0370204162828516E-2</v>
      </c>
      <c r="N27" s="11">
        <v>8.8501636444776044E-2</v>
      </c>
      <c r="O27" s="11"/>
      <c r="P27" s="10" t="str">
        <f>name!D24</f>
        <v>71 Sales occupations</v>
      </c>
      <c r="Q27" s="11">
        <v>23.469168887696629</v>
      </c>
      <c r="R27" s="11">
        <v>22.293960359269587</v>
      </c>
      <c r="S27" s="345">
        <f t="shared" si="4"/>
        <v>-1.1752085284270422</v>
      </c>
      <c r="T27" s="345">
        <v>7.4949192138252201</v>
      </c>
      <c r="U27" s="345">
        <f t="shared" si="5"/>
        <v>6.3197106853981779</v>
      </c>
      <c r="V27" s="346">
        <f t="shared" si="6"/>
        <v>1.8647770407946629E-2</v>
      </c>
      <c r="X27" s="10" t="str">
        <f>name!B24</f>
        <v>Arts and entertainment</v>
      </c>
      <c r="Y27" s="11">
        <v>26.262000000000008</v>
      </c>
      <c r="Z27" s="11">
        <v>31.827999999999964</v>
      </c>
      <c r="AA27" s="345">
        <f t="shared" si="7"/>
        <v>5.5659999999999563</v>
      </c>
      <c r="AB27" s="11">
        <v>14.670752949061271</v>
      </c>
      <c r="AC27" s="345">
        <f t="shared" si="8"/>
        <v>20.236752949061227</v>
      </c>
      <c r="AD27" s="348">
        <f t="shared" si="9"/>
        <v>3.0029217196318569E-2</v>
      </c>
    </row>
    <row r="28" spans="1:30" x14ac:dyDescent="0.2">
      <c r="A28" s="10" t="str">
        <f>name!D25</f>
        <v>72 Customer service occupations</v>
      </c>
      <c r="B28" s="11">
        <f t="shared" si="12"/>
        <v>13.765892537376102</v>
      </c>
      <c r="C28" s="11">
        <f t="shared" si="12"/>
        <v>19.873360696539258</v>
      </c>
      <c r="D28" s="11">
        <f t="shared" si="12"/>
        <v>6.1074681591631563</v>
      </c>
      <c r="E28" s="11">
        <f t="shared" si="12"/>
        <v>8.163264248496489</v>
      </c>
      <c r="F28" s="11">
        <f t="shared" si="12"/>
        <v>14.270732407659644</v>
      </c>
      <c r="G28" s="200">
        <f t="shared" si="3"/>
        <v>3.15283550133727E-2</v>
      </c>
      <c r="H28" s="11"/>
      <c r="O28" s="11"/>
      <c r="P28" s="10" t="str">
        <f>name!D25</f>
        <v>72 Customer service occupations</v>
      </c>
      <c r="Q28" s="11">
        <v>4.7853641982697228</v>
      </c>
      <c r="R28" s="11">
        <v>7.8724559359145934</v>
      </c>
      <c r="S28" s="345">
        <f t="shared" si="4"/>
        <v>3.0870917376448705</v>
      </c>
      <c r="T28" s="345">
        <v>2.3246673211705819</v>
      </c>
      <c r="U28" s="345">
        <f t="shared" si="5"/>
        <v>5.4117590588154521</v>
      </c>
      <c r="V28" s="346">
        <f t="shared" si="6"/>
        <v>2.6747770900910073E-2</v>
      </c>
      <c r="X28" s="10" t="str">
        <f>name!B25</f>
        <v>Other services</v>
      </c>
      <c r="Y28" s="11">
        <v>31.486000000000036</v>
      </c>
      <c r="Z28" s="11">
        <v>29.637999999999955</v>
      </c>
      <c r="AA28" s="345">
        <f t="shared" si="7"/>
        <v>-1.8480000000000807</v>
      </c>
      <c r="AB28" s="11">
        <v>15.444718060416974</v>
      </c>
      <c r="AC28" s="345">
        <f t="shared" si="8"/>
        <v>13.596718060416894</v>
      </c>
      <c r="AD28" s="348">
        <f t="shared" si="9"/>
        <v>2.6965798975248312E-2</v>
      </c>
    </row>
    <row r="29" spans="1:30" x14ac:dyDescent="0.2">
      <c r="A29" s="10" t="str">
        <f>name!D26</f>
        <v>81 Process, plant and machine operatives</v>
      </c>
      <c r="B29" s="11">
        <f t="shared" si="12"/>
        <v>10.939631034552685</v>
      </c>
      <c r="C29" s="11">
        <f t="shared" si="12"/>
        <v>13.418760554653176</v>
      </c>
      <c r="D29" s="11">
        <f t="shared" si="12"/>
        <v>2.4791295201004897</v>
      </c>
      <c r="E29" s="11">
        <f t="shared" si="12"/>
        <v>5.0124392458139724</v>
      </c>
      <c r="F29" s="11">
        <f t="shared" si="12"/>
        <v>7.4915687659144616</v>
      </c>
      <c r="G29" s="200">
        <f t="shared" si="3"/>
        <v>2.5465275164714862E-2</v>
      </c>
      <c r="H29" s="11"/>
      <c r="I29" s="87" t="str">
        <f>name!F5</f>
        <v>RQF7 Other higher degree</v>
      </c>
      <c r="J29" s="11"/>
      <c r="K29" s="11"/>
      <c r="L29" s="11"/>
      <c r="M29" s="11"/>
      <c r="N29" s="11"/>
      <c r="O29" s="11"/>
      <c r="P29" s="10" t="str">
        <f>name!D26</f>
        <v>81 Process, plant and machine operatives</v>
      </c>
      <c r="Q29" s="11">
        <v>9.0533218421979722</v>
      </c>
      <c r="R29" s="11">
        <v>11.171709418478757</v>
      </c>
      <c r="S29" s="345">
        <f t="shared" si="4"/>
        <v>2.1183875762807851</v>
      </c>
      <c r="T29" s="345">
        <v>3.9770360704706804</v>
      </c>
      <c r="U29" s="345">
        <f t="shared" si="5"/>
        <v>6.0954236467514651</v>
      </c>
      <c r="V29" s="346">
        <f t="shared" si="6"/>
        <v>2.4573751895701879E-2</v>
      </c>
      <c r="X29" s="231" t="str">
        <f>name!B3</f>
        <v>All industries</v>
      </c>
      <c r="Y29" s="34">
        <f>SUM(Y7:Y28)</f>
        <v>864.63999999999987</v>
      </c>
      <c r="Z29" s="34">
        <f>SUM(Z7:Z28)</f>
        <v>925.47799999999961</v>
      </c>
      <c r="AA29" s="349">
        <f t="shared" si="7"/>
        <v>60.837999999999738</v>
      </c>
      <c r="AB29" s="34">
        <f>SUM(AB7:AB28)</f>
        <v>429.90581892185963</v>
      </c>
      <c r="AC29" s="349">
        <f t="shared" si="8"/>
        <v>490.74381892185937</v>
      </c>
      <c r="AD29" s="350">
        <f t="shared" si="9"/>
        <v>2.7272053690730935E-2</v>
      </c>
    </row>
    <row r="30" spans="1:30" x14ac:dyDescent="0.2">
      <c r="A30" s="10" t="str">
        <f>name!D27</f>
        <v>82 Transport and mobile machine drivers and operatives</v>
      </c>
      <c r="B30" s="11">
        <f t="shared" si="12"/>
        <v>22.703704129983187</v>
      </c>
      <c r="C30" s="11">
        <f t="shared" si="12"/>
        <v>24.629983702384351</v>
      </c>
      <c r="D30" s="11">
        <f t="shared" si="12"/>
        <v>1.9262795724011665</v>
      </c>
      <c r="E30" s="11">
        <f t="shared" si="12"/>
        <v>12.778320103053185</v>
      </c>
      <c r="F30" s="11">
        <f t="shared" si="12"/>
        <v>14.704599675454352</v>
      </c>
      <c r="G30" s="200">
        <f t="shared" si="3"/>
        <v>3.0213993484147439E-2</v>
      </c>
      <c r="H30" s="11"/>
      <c r="I30" s="11" t="str">
        <f>I19</f>
        <v>Managers, directors and senior officials</v>
      </c>
      <c r="J30" s="11">
        <f t="array" ref="J30:J38">MMULT(aggregation!$B$13:$AA$21,B65:B90)</f>
        <v>15.315355012039957</v>
      </c>
      <c r="K30" s="11">
        <f t="array" ref="K30:K38">MMULT(aggregation!$B$13:$AA$21,C65:C90)</f>
        <v>23.202871624195932</v>
      </c>
      <c r="L30" s="11">
        <f t="array" ref="L30:L38">MMULT(aggregation!$B$13:$AA$21,D65:D90)</f>
        <v>7.8875166121559763</v>
      </c>
      <c r="M30" s="11">
        <f t="array" ref="M30:M38">MMULT(aggregation!$B$13:$AA$21,E65:E90)</f>
        <v>10.732463773670492</v>
      </c>
      <c r="N30" s="11">
        <f t="array" ref="N30:N38">MMULT(aggregation!$B$13:$AA$21,F65:F90)</f>
        <v>18.619980385826469</v>
      </c>
      <c r="O30" s="11"/>
      <c r="P30" s="10" t="str">
        <f>name!D27</f>
        <v>82 Transport and mobile machine drivers and operatives</v>
      </c>
      <c r="Q30" s="11">
        <v>20.692313596465656</v>
      </c>
      <c r="R30" s="11">
        <v>21.182261348268732</v>
      </c>
      <c r="S30" s="345">
        <f t="shared" si="4"/>
        <v>0.4899477518030757</v>
      </c>
      <c r="T30" s="345">
        <v>11.001099034097475</v>
      </c>
      <c r="U30" s="345">
        <f t="shared" si="5"/>
        <v>11.491046785900551</v>
      </c>
      <c r="V30" s="346">
        <f t="shared" si="6"/>
        <v>2.8830894014228559E-2</v>
      </c>
      <c r="X30" s="10"/>
      <c r="Y30" s="10"/>
      <c r="Z30" s="10"/>
      <c r="AA30" s="345"/>
      <c r="AB30" s="10"/>
      <c r="AC30" s="345"/>
      <c r="AD30" s="348"/>
    </row>
    <row r="31" spans="1:30" x14ac:dyDescent="0.2">
      <c r="A31" s="10" t="str">
        <f>name!D28</f>
        <v>91 Elementary trades and related occupations</v>
      </c>
      <c r="B31" s="11">
        <f t="shared" si="12"/>
        <v>8.7182083202628071</v>
      </c>
      <c r="C31" s="11">
        <f t="shared" si="12"/>
        <v>7.0598733495814647</v>
      </c>
      <c r="D31" s="11">
        <f t="shared" si="12"/>
        <v>-1.6583349706813404</v>
      </c>
      <c r="E31" s="11">
        <f t="shared" si="12"/>
        <v>2.7316114171838715</v>
      </c>
      <c r="F31" s="11">
        <f t="shared" si="12"/>
        <v>1.0732764465025313</v>
      </c>
      <c r="G31" s="200">
        <f t="shared" si="3"/>
        <v>1.8336773821790775E-2</v>
      </c>
      <c r="H31" s="11"/>
      <c r="I31" s="11" t="str">
        <f>I20</f>
        <v>Professional occupations</v>
      </c>
      <c r="J31" s="11">
        <v>60.101302466543075</v>
      </c>
      <c r="K31" s="11">
        <v>86.027063260237753</v>
      </c>
      <c r="L31" s="11">
        <v>25.925760793694685</v>
      </c>
      <c r="M31" s="11">
        <v>36.016829520493594</v>
      </c>
      <c r="N31" s="11">
        <v>61.94259031418828</v>
      </c>
      <c r="O31" s="11"/>
      <c r="P31" s="10" t="str">
        <f>name!D28</f>
        <v>91 Elementary trades and related occupations</v>
      </c>
      <c r="Q31" s="11">
        <v>7.2382321104310012</v>
      </c>
      <c r="R31" s="11">
        <v>5.8118965088733869</v>
      </c>
      <c r="S31" s="345">
        <f t="shared" si="4"/>
        <v>-1.4263356015576143</v>
      </c>
      <c r="T31" s="345">
        <v>1.9917621620932551</v>
      </c>
      <c r="U31" s="345">
        <f t="shared" si="5"/>
        <v>0.56542656053564078</v>
      </c>
      <c r="V31" s="346">
        <f t="shared" si="6"/>
        <v>1.6337449151424543E-2</v>
      </c>
      <c r="X31" s="10"/>
      <c r="Y31" s="10"/>
      <c r="Z31" s="10"/>
      <c r="AA31" s="345"/>
      <c r="AB31" s="10"/>
      <c r="AC31" s="345"/>
      <c r="AD31" s="348"/>
    </row>
    <row r="32" spans="1:30" x14ac:dyDescent="0.2">
      <c r="A32" s="10" t="str">
        <f>name!D29</f>
        <v>92 Elementary administration and service occupations</v>
      </c>
      <c r="B32" s="11">
        <f t="shared" si="12"/>
        <v>76.096111817061114</v>
      </c>
      <c r="C32" s="11">
        <f t="shared" si="12"/>
        <v>76.388310986548944</v>
      </c>
      <c r="D32" s="11">
        <f t="shared" si="12"/>
        <v>0.29219916948782387</v>
      </c>
      <c r="E32" s="11">
        <f t="shared" si="12"/>
        <v>37.629939171269342</v>
      </c>
      <c r="F32" s="11">
        <f t="shared" si="12"/>
        <v>37.922138340757158</v>
      </c>
      <c r="G32" s="200">
        <f t="shared" ref="G32" si="13">IF(B32&gt;0,(1+(E32/B32))^(1/($C$6-$B$6))-1,0)</f>
        <v>2.7148334174159183E-2</v>
      </c>
      <c r="H32" s="11"/>
      <c r="I32" s="11" t="str">
        <f>I21</f>
        <v>Associate professional occupations</v>
      </c>
      <c r="J32" s="11">
        <v>18.852221968782313</v>
      </c>
      <c r="K32" s="11">
        <v>26.464556505319301</v>
      </c>
      <c r="L32" s="11">
        <v>7.6123345365369879</v>
      </c>
      <c r="M32" s="11">
        <v>11.123477911116353</v>
      </c>
      <c r="N32" s="11">
        <v>18.735812447653345</v>
      </c>
      <c r="O32" s="11"/>
      <c r="P32" s="10" t="str">
        <f>name!D29</f>
        <v>92 Elementary administration and service occupations</v>
      </c>
      <c r="Q32" s="11">
        <v>35.621751203229472</v>
      </c>
      <c r="R32" s="11">
        <v>36.425642315923795</v>
      </c>
      <c r="S32" s="345">
        <f t="shared" ref="S32" si="14">R32-Q32</f>
        <v>0.80389111269432334</v>
      </c>
      <c r="T32" s="345">
        <v>14.639252250110847</v>
      </c>
      <c r="U32" s="345">
        <f>SUM(S32:T32)</f>
        <v>15.44314336280517</v>
      </c>
      <c r="V32" s="346">
        <f t="shared" ref="V32" si="15">IF(Q32&gt;0,(1+(T32/Q32))^(1/($C$6-$B$6))-1,0)</f>
        <v>2.3216950320926522E-2</v>
      </c>
      <c r="X32" s="10"/>
      <c r="Y32" s="10"/>
      <c r="Z32" s="10"/>
      <c r="AA32" s="345"/>
      <c r="AB32" s="10"/>
      <c r="AC32" s="345"/>
      <c r="AD32" s="348"/>
    </row>
    <row r="33" spans="1:30" x14ac:dyDescent="0.2">
      <c r="A33" t="str">
        <f>name!D3</f>
        <v>All occupations</v>
      </c>
      <c r="B33" s="11">
        <f t="shared" si="12"/>
        <v>864.63999999999965</v>
      </c>
      <c r="C33" s="11">
        <f>SUM(C62,C91,C120,C149,C178,C207,C236,C265,C294)</f>
        <v>925.47800000000029</v>
      </c>
      <c r="D33" s="11">
        <f t="shared" si="12"/>
        <v>60.838000000000406</v>
      </c>
      <c r="E33" s="11">
        <f t="shared" si="12"/>
        <v>429.90581892185958</v>
      </c>
      <c r="F33" s="11">
        <f t="shared" si="12"/>
        <v>490.74381892186005</v>
      </c>
      <c r="G33" s="200">
        <f t="shared" si="3"/>
        <v>2.7272053690730935E-2</v>
      </c>
      <c r="H33" s="11"/>
      <c r="I33" s="11" t="str">
        <f>I22</f>
        <v>Administrative and secretarial occupations</v>
      </c>
      <c r="J33" s="11">
        <v>6.3416215449563547</v>
      </c>
      <c r="K33" s="11">
        <v>9.5923319389501458</v>
      </c>
      <c r="L33" s="11">
        <v>3.250710393993792</v>
      </c>
      <c r="M33" s="11">
        <v>4.4133303270701916</v>
      </c>
      <c r="N33" s="11">
        <v>7.6640407210639836</v>
      </c>
      <c r="O33" s="11"/>
      <c r="P33" s="10" t="str">
        <f>name!D3</f>
        <v>All occupations</v>
      </c>
      <c r="Q33" s="11">
        <f>SUM(Q7:Q32)</f>
        <v>441.09721785832886</v>
      </c>
      <c r="R33" s="11">
        <f>SUM(R7:R32)</f>
        <v>473.49867150195905</v>
      </c>
      <c r="S33" s="345">
        <f>R33-Q33</f>
        <v>32.401453643630191</v>
      </c>
      <c r="T33" s="11">
        <f>SUM(T7:T32)</f>
        <v>183.95800871137752</v>
      </c>
      <c r="U33" s="345">
        <f>SUM(S33:T33)</f>
        <v>216.35946235500771</v>
      </c>
      <c r="V33" s="346">
        <f t="shared" si="6"/>
        <v>2.3510427249093135E-2</v>
      </c>
      <c r="X33" s="10"/>
      <c r="Y33" s="10"/>
      <c r="Z33" s="10"/>
      <c r="AA33" s="345"/>
      <c r="AB33" s="10"/>
      <c r="AC33" s="345"/>
      <c r="AD33" s="348"/>
    </row>
    <row r="34" spans="1:30" ht="30" customHeight="1" x14ac:dyDescent="0.2">
      <c r="B34" s="11"/>
      <c r="C34" s="11"/>
      <c r="D34" s="11"/>
      <c r="E34" s="11"/>
      <c r="F34" s="11"/>
      <c r="G34" s="11"/>
      <c r="H34" s="11"/>
      <c r="I34" s="11" t="str">
        <f>I23</f>
        <v>Skilled trades occupations</v>
      </c>
      <c r="J34" s="11">
        <v>1.8214579393086225</v>
      </c>
      <c r="K34" s="11">
        <v>3.4479193689514394</v>
      </c>
      <c r="L34" s="11">
        <v>1.6264614296428168</v>
      </c>
      <c r="M34" s="11">
        <v>1.422082562154781</v>
      </c>
      <c r="N34" s="11">
        <v>3.0485439917975978</v>
      </c>
      <c r="O34" s="11"/>
      <c r="P34" s="24"/>
      <c r="Q34" s="34"/>
      <c r="R34" s="34"/>
      <c r="S34" s="34"/>
      <c r="T34" s="34"/>
      <c r="U34" s="34"/>
      <c r="V34" s="34"/>
      <c r="X34" s="10"/>
      <c r="Y34" s="10"/>
      <c r="Z34" s="10"/>
      <c r="AA34" s="345"/>
      <c r="AB34" s="10"/>
      <c r="AC34" s="345"/>
      <c r="AD34" s="348"/>
    </row>
    <row r="35" spans="1:30" ht="38.25" x14ac:dyDescent="0.2">
      <c r="A35" s="201" t="str">
        <f>CONCATENATE(name!F4," (Constrained)")</f>
        <v>RQF8 Doctorate (Constrained)</v>
      </c>
      <c r="B35" s="88">
        <f t="shared" ref="B35:G35" si="16">B6</f>
        <v>2020</v>
      </c>
      <c r="C35" s="88">
        <f t="shared" si="16"/>
        <v>2035</v>
      </c>
      <c r="D35" s="88" t="str">
        <f t="shared" si="16"/>
        <v>Net Change</v>
      </c>
      <c r="E35" s="88" t="str">
        <f t="shared" si="16"/>
        <v>Replacement Demand level</v>
      </c>
      <c r="F35" s="88" t="str">
        <f t="shared" si="16"/>
        <v>Total Requirement</v>
      </c>
      <c r="G35" s="88" t="str">
        <f t="shared" si="16"/>
        <v>Replacement Demand rate</v>
      </c>
      <c r="H35" s="11"/>
      <c r="I35" s="11" t="str">
        <f t="shared" ref="I35:I38" si="17">I24</f>
        <v>Caring, leisure and other service occupations</v>
      </c>
      <c r="J35" s="11">
        <v>3.6248229496170148</v>
      </c>
      <c r="K35" s="11">
        <v>6.3321464618368815</v>
      </c>
      <c r="L35" s="11">
        <v>2.7073235122198667</v>
      </c>
      <c r="M35" s="11">
        <v>3.0115944339958705</v>
      </c>
      <c r="N35" s="11">
        <v>5.718917946215738</v>
      </c>
      <c r="O35" s="11"/>
      <c r="P35" s="201" t="s">
        <v>105</v>
      </c>
      <c r="Q35" s="344">
        <f t="shared" ref="Q35" si="18">B35</f>
        <v>2020</v>
      </c>
      <c r="R35" s="344">
        <f t="shared" ref="R35" si="19">C35</f>
        <v>2035</v>
      </c>
      <c r="S35" s="344" t="str">
        <f t="shared" ref="S35" si="20">D35</f>
        <v>Net Change</v>
      </c>
      <c r="T35" s="344" t="str">
        <f t="shared" ref="T35" si="21">E35</f>
        <v>Replacement Demand level</v>
      </c>
      <c r="U35" s="344" t="str">
        <f t="shared" ref="U35" si="22">F35</f>
        <v>Total Requirement</v>
      </c>
      <c r="V35" s="344" t="str">
        <f t="shared" ref="V35" si="23">G35</f>
        <v>Replacement Demand rate</v>
      </c>
      <c r="X35" s="10"/>
      <c r="Y35" s="10"/>
      <c r="Z35" s="10"/>
      <c r="AA35" s="345"/>
      <c r="AB35" s="10"/>
      <c r="AC35" s="345"/>
      <c r="AD35" s="348"/>
    </row>
    <row r="36" spans="1:30" ht="12.75" customHeight="1" x14ac:dyDescent="0.2">
      <c r="A36" t="str">
        <f t="shared" ref="A36:A62" si="24">A7</f>
        <v>11 Corporate managers and directors</v>
      </c>
      <c r="B36" s="11">
        <v>1.406513338367287</v>
      </c>
      <c r="C36" s="11">
        <v>1.9372051165924591</v>
      </c>
      <c r="D36" s="11">
        <f>C36-B36</f>
        <v>0.53069177822517211</v>
      </c>
      <c r="E36" s="11">
        <v>0.87062934774964096</v>
      </c>
      <c r="F36" s="11">
        <f>SUM(D36:E36)</f>
        <v>1.4013211259748131</v>
      </c>
      <c r="G36" s="200">
        <f>IF(B36&gt;0,(1+(E36/B36))^(1/($C$6-$B$6))-1,0)</f>
        <v>3.2641939210335424E-2</v>
      </c>
      <c r="I36" s="11" t="str">
        <f t="shared" si="17"/>
        <v>Sales and customer service occupations</v>
      </c>
      <c r="J36" s="11">
        <v>3.0078222605568996</v>
      </c>
      <c r="K36" s="11">
        <v>5.1012868799212097</v>
      </c>
      <c r="L36" s="11">
        <v>2.0934646193643101</v>
      </c>
      <c r="M36" s="11">
        <v>1.9734559661751265</v>
      </c>
      <c r="N36" s="11">
        <v>4.066920585539437</v>
      </c>
      <c r="P36" s="10" t="str">
        <f>name!D4</f>
        <v>11 Corporate managers and directors</v>
      </c>
      <c r="Q36" s="11">
        <v>27.544946522476089</v>
      </c>
      <c r="R36" s="11">
        <v>31.858323091542704</v>
      </c>
      <c r="S36" s="345">
        <f>R36-Q36</f>
        <v>4.3133765690666159</v>
      </c>
      <c r="T36" s="345">
        <v>16.923385290532046</v>
      </c>
      <c r="U36" s="345">
        <f>SUM(S36:T36)</f>
        <v>21.236761859598662</v>
      </c>
      <c r="V36" s="346">
        <f>IF(Q36&gt;0,(1+(T36/Q36))^(1/($C$6-$B$6))-1,0)</f>
        <v>3.2445796131217675E-2</v>
      </c>
      <c r="X36" s="10"/>
      <c r="Y36" s="10"/>
      <c r="Z36" s="10"/>
      <c r="AA36" s="345"/>
      <c r="AB36" s="10"/>
      <c r="AC36" s="345"/>
      <c r="AD36" s="348"/>
    </row>
    <row r="37" spans="1:30" x14ac:dyDescent="0.2">
      <c r="A37" t="str">
        <f t="shared" si="24"/>
        <v>12 Other managers and proprietors</v>
      </c>
      <c r="B37" s="11">
        <v>0.46241307045477237</v>
      </c>
      <c r="C37" s="11">
        <v>0.91584846248250806</v>
      </c>
      <c r="D37" s="11">
        <f t="shared" ref="D37:D60" si="25">C37-B37</f>
        <v>0.4534353920277357</v>
      </c>
      <c r="E37" s="11">
        <v>0.45171750538310484</v>
      </c>
      <c r="F37" s="11">
        <f t="shared" ref="F37:F60" si="26">SUM(D37:E37)</f>
        <v>0.90515289741084048</v>
      </c>
      <c r="G37" s="200">
        <f t="shared" ref="G37:G62" si="27">IF(B37&gt;0,(1+(E37/B37))^(1/($C$6-$B$6))-1,0)</f>
        <v>4.6482272171243011E-2</v>
      </c>
      <c r="I37" s="11" t="str">
        <f t="shared" si="17"/>
        <v>Process, plant and machine operatives</v>
      </c>
      <c r="J37" s="11">
        <v>0.81858589877369292</v>
      </c>
      <c r="K37" s="11">
        <v>1.5656842031924385</v>
      </c>
      <c r="L37" s="11">
        <v>0.74709830441874547</v>
      </c>
      <c r="M37" s="11">
        <v>0.70945934017675061</v>
      </c>
      <c r="N37" s="11">
        <v>1.4565576445954962</v>
      </c>
      <c r="P37" s="10" t="str">
        <f>name!D5</f>
        <v>12 Other managers and proprietors</v>
      </c>
      <c r="Q37" s="11">
        <v>14.130145819000019</v>
      </c>
      <c r="R37" s="11">
        <v>20.7321550369156</v>
      </c>
      <c r="S37" s="345">
        <f t="shared" ref="S37:S60" si="28">R37-Q37</f>
        <v>6.6020092179155814</v>
      </c>
      <c r="T37" s="345">
        <v>11.796443450996387</v>
      </c>
      <c r="U37" s="345">
        <f t="shared" ref="U37:U60" si="29">SUM(S37:T37)</f>
        <v>18.398452668911968</v>
      </c>
      <c r="V37" s="346">
        <f t="shared" ref="V37:V62" si="30">IF(Q37&gt;0,(1+(T37/Q37))^(1/($C$6-$B$6))-1,0)</f>
        <v>4.1293720985159155E-2</v>
      </c>
      <c r="X37" s="10"/>
      <c r="Y37" s="10"/>
      <c r="Z37" s="10"/>
      <c r="AA37" s="345"/>
      <c r="AB37" s="10"/>
      <c r="AC37" s="345"/>
      <c r="AD37" s="348"/>
    </row>
    <row r="38" spans="1:30" x14ac:dyDescent="0.2">
      <c r="A38" t="str">
        <f t="shared" si="24"/>
        <v>21 Science, research, engineering and technology professionals</v>
      </c>
      <c r="B38" s="11">
        <v>3.7264783870920986</v>
      </c>
      <c r="C38" s="11">
        <v>5.1929103759135149</v>
      </c>
      <c r="D38" s="11">
        <f t="shared" si="25"/>
        <v>1.4664319888214163</v>
      </c>
      <c r="E38" s="11">
        <v>1.7119151379812625</v>
      </c>
      <c r="F38" s="11">
        <f t="shared" si="26"/>
        <v>3.1783471268026791</v>
      </c>
      <c r="G38" s="200">
        <f t="shared" si="27"/>
        <v>2.5521575097615434E-2</v>
      </c>
      <c r="I38" s="11" t="str">
        <f t="shared" si="17"/>
        <v>Elementary occupations</v>
      </c>
      <c r="J38" s="11">
        <v>2.3376332899685299</v>
      </c>
      <c r="K38" s="11">
        <v>4.3665022927453254</v>
      </c>
      <c r="L38" s="11">
        <v>2.0288690027767955</v>
      </c>
      <c r="M38" s="11">
        <v>1.9118689529208894</v>
      </c>
      <c r="N38" s="11">
        <v>3.9407379556976849</v>
      </c>
      <c r="P38" s="10" t="str">
        <f>name!D6</f>
        <v>21 Science, research, engineering and technology professionals</v>
      </c>
      <c r="Q38" s="11">
        <v>16.269643567740438</v>
      </c>
      <c r="R38" s="11">
        <v>22.472310972057194</v>
      </c>
      <c r="S38" s="345">
        <f t="shared" si="28"/>
        <v>6.202667404316756</v>
      </c>
      <c r="T38" s="345">
        <v>10.17274485768989</v>
      </c>
      <c r="U38" s="345">
        <f t="shared" si="29"/>
        <v>16.375412262006648</v>
      </c>
      <c r="V38" s="346">
        <f t="shared" si="30"/>
        <v>3.2907686910120582E-2</v>
      </c>
      <c r="X38" s="10"/>
      <c r="Y38" s="10"/>
      <c r="Z38" s="10"/>
      <c r="AA38" s="345"/>
      <c r="AB38" s="10"/>
      <c r="AC38" s="345"/>
      <c r="AD38" s="348"/>
    </row>
    <row r="39" spans="1:30" x14ac:dyDescent="0.2">
      <c r="A39" t="str">
        <f t="shared" si="24"/>
        <v>22 Health professionals</v>
      </c>
      <c r="B39" s="11">
        <v>2.0659005850098118</v>
      </c>
      <c r="C39" s="11">
        <v>3.0260617335404927</v>
      </c>
      <c r="D39" s="11">
        <f t="shared" si="25"/>
        <v>0.96016114853068091</v>
      </c>
      <c r="E39" s="11">
        <v>1.3315326856454495</v>
      </c>
      <c r="F39" s="11">
        <f t="shared" si="26"/>
        <v>2.2916938341761304</v>
      </c>
      <c r="G39" s="200">
        <f t="shared" si="27"/>
        <v>3.3719640297514175E-2</v>
      </c>
      <c r="J39" s="11"/>
      <c r="K39" s="11"/>
      <c r="L39" s="11"/>
      <c r="M39" s="11"/>
      <c r="N39" s="11"/>
      <c r="P39" s="10" t="str">
        <f>name!D7</f>
        <v>22 Health professionals</v>
      </c>
      <c r="Q39" s="11">
        <v>25.789934677853875</v>
      </c>
      <c r="R39" s="11">
        <v>28.620687733065719</v>
      </c>
      <c r="S39" s="345">
        <f t="shared" si="28"/>
        <v>2.8307530552118436</v>
      </c>
      <c r="T39" s="345">
        <v>16.073837194058623</v>
      </c>
      <c r="U39" s="345">
        <f t="shared" si="29"/>
        <v>18.904590249270466</v>
      </c>
      <c r="V39" s="346">
        <f t="shared" si="30"/>
        <v>3.2822936986387941E-2</v>
      </c>
      <c r="X39" s="10"/>
      <c r="Y39" s="10"/>
      <c r="Z39" s="10"/>
      <c r="AA39" s="345"/>
      <c r="AB39" s="10"/>
      <c r="AC39" s="345"/>
      <c r="AD39" s="348"/>
    </row>
    <row r="40" spans="1:30" x14ac:dyDescent="0.2">
      <c r="A40" t="str">
        <f t="shared" si="24"/>
        <v>23 Teaching and other educational professionals</v>
      </c>
      <c r="B40" s="11">
        <v>3.4962322060996316</v>
      </c>
      <c r="C40" s="11">
        <v>4.5844584015381082</v>
      </c>
      <c r="D40" s="11">
        <f>C40-B40</f>
        <v>1.0882261954384767</v>
      </c>
      <c r="E40" s="11">
        <v>2.0790853071645432</v>
      </c>
      <c r="F40" s="11">
        <f>SUM(D40:E40)</f>
        <v>3.1673115026030199</v>
      </c>
      <c r="G40" s="200">
        <f>IF(B40&gt;0,(1+(E40/B40))^(1/($C$6-$B$6))-1,0)</f>
        <v>3.1599894591386013E-2</v>
      </c>
      <c r="I40" s="87" t="str">
        <f>name!F6</f>
        <v>RQF6 First degree</v>
      </c>
      <c r="J40" s="11"/>
      <c r="K40" s="11"/>
      <c r="L40" s="11"/>
      <c r="M40" s="11"/>
      <c r="N40" s="11"/>
      <c r="P40" s="10" t="str">
        <f>name!D8</f>
        <v>23 Teaching and other educational professionals</v>
      </c>
      <c r="Q40" s="11">
        <v>27.029691047682768</v>
      </c>
      <c r="R40" s="11">
        <v>29.58302995138822</v>
      </c>
      <c r="S40" s="345">
        <f t="shared" si="28"/>
        <v>2.5533389037054519</v>
      </c>
      <c r="T40" s="345">
        <v>15.621827064519758</v>
      </c>
      <c r="U40" s="345">
        <f t="shared" si="29"/>
        <v>18.175165968225208</v>
      </c>
      <c r="V40" s="346">
        <f t="shared" si="30"/>
        <v>3.0875521976664322E-2</v>
      </c>
      <c r="X40" s="10"/>
      <c r="Y40" s="10"/>
      <c r="Z40" s="10"/>
      <c r="AA40" s="345"/>
      <c r="AB40" s="10"/>
      <c r="AC40" s="345"/>
      <c r="AD40" s="348"/>
    </row>
    <row r="41" spans="1:30" x14ac:dyDescent="0.2">
      <c r="A41" t="str">
        <f t="shared" si="24"/>
        <v>24 Business, media and public service professionals</v>
      </c>
      <c r="B41" s="11">
        <v>1.3749778355672453</v>
      </c>
      <c r="C41" s="11">
        <v>2.3242454772037688</v>
      </c>
      <c r="D41" s="11">
        <f t="shared" si="25"/>
        <v>0.94926764163652355</v>
      </c>
      <c r="E41" s="11">
        <v>0.93118808001360609</v>
      </c>
      <c r="F41" s="11">
        <f t="shared" si="26"/>
        <v>1.8804557216501296</v>
      </c>
      <c r="G41" s="200">
        <f t="shared" si="27"/>
        <v>3.5077790529458364E-2</v>
      </c>
      <c r="I41" s="11" t="str">
        <f>I30</f>
        <v>Managers, directors and senior officials</v>
      </c>
      <c r="J41" s="11">
        <f t="array" ref="J41:J49">MMULT(aggregation!$B$13:$AA$21,B94:B119)</f>
        <v>31.34011090067084</v>
      </c>
      <c r="K41" s="11">
        <f t="array" ref="K41:K49">MMULT(aggregation!$B$13:$AA$21,C94:C119)</f>
        <v>38.535081533342264</v>
      </c>
      <c r="L41" s="11">
        <f t="array" ref="L41:L49">MMULT(aggregation!$B$13:$AA$21,D94:D119)</f>
        <v>7.1949706326714278</v>
      </c>
      <c r="M41" s="11">
        <f t="array" ref="M41:M49">MMULT(aggregation!$B$13:$AA$21,E94:E119)</f>
        <v>20.437062292143313</v>
      </c>
      <c r="N41" s="11">
        <f t="array" ref="N41:N49">MMULT(aggregation!$B$13:$AA$21,F94:F119)</f>
        <v>27.632032924814741</v>
      </c>
      <c r="P41" s="10" t="str">
        <f>name!D9</f>
        <v>24 Business, media and public service professionals</v>
      </c>
      <c r="Q41" s="11">
        <v>29.851532107312661</v>
      </c>
      <c r="R41" s="11">
        <v>37.303747892075826</v>
      </c>
      <c r="S41" s="345">
        <f t="shared" si="28"/>
        <v>7.4522157847631654</v>
      </c>
      <c r="T41" s="345">
        <v>18.50641053796565</v>
      </c>
      <c r="U41" s="345">
        <f t="shared" si="29"/>
        <v>25.958626322728815</v>
      </c>
      <c r="V41" s="346">
        <f t="shared" si="30"/>
        <v>3.268233007074417E-2</v>
      </c>
      <c r="X41" s="10"/>
      <c r="Y41" s="10"/>
      <c r="Z41" s="10"/>
      <c r="AA41" s="345"/>
      <c r="AB41" s="10"/>
      <c r="AC41" s="345"/>
      <c r="AD41" s="348"/>
    </row>
    <row r="42" spans="1:30" x14ac:dyDescent="0.2">
      <c r="A42" t="str">
        <f t="shared" si="24"/>
        <v>31 Science, engineering and technology associate professionals</v>
      </c>
      <c r="B42" s="11">
        <v>0.47747700262376663</v>
      </c>
      <c r="C42" s="11">
        <v>0.72515232299040633</v>
      </c>
      <c r="D42" s="11">
        <f t="shared" si="25"/>
        <v>0.2476753203666397</v>
      </c>
      <c r="E42" s="11">
        <v>0.27435252520729858</v>
      </c>
      <c r="F42" s="11">
        <f t="shared" si="26"/>
        <v>0.52202784557393822</v>
      </c>
      <c r="G42" s="200">
        <f t="shared" si="27"/>
        <v>3.072891936795763E-2</v>
      </c>
      <c r="I42" s="11" t="str">
        <f>I31</f>
        <v>Professional occupations</v>
      </c>
      <c r="J42" s="11">
        <v>73.854959198384535</v>
      </c>
      <c r="K42" s="11">
        <v>81.892327076348806</v>
      </c>
      <c r="L42" s="11">
        <v>8.0373678779642557</v>
      </c>
      <c r="M42" s="11">
        <v>38.287409477870156</v>
      </c>
      <c r="N42" s="11">
        <v>46.324777355834414</v>
      </c>
      <c r="P42" s="10" t="str">
        <f>name!D10</f>
        <v>31 Science, engineering and technology associate professionals</v>
      </c>
      <c r="Q42" s="11">
        <v>5.7696813102675133</v>
      </c>
      <c r="R42" s="11">
        <v>7.0047409168201789</v>
      </c>
      <c r="S42" s="345">
        <f t="shared" si="28"/>
        <v>1.2350596065526656</v>
      </c>
      <c r="T42" s="345">
        <v>3.1547448881948239</v>
      </c>
      <c r="U42" s="345">
        <f t="shared" si="29"/>
        <v>4.389804494747489</v>
      </c>
      <c r="V42" s="346">
        <f t="shared" si="30"/>
        <v>2.9505248748862956E-2</v>
      </c>
      <c r="X42" s="10"/>
      <c r="Y42" s="10"/>
      <c r="Z42" s="10"/>
      <c r="AA42" s="345"/>
      <c r="AB42" s="10"/>
      <c r="AC42" s="345"/>
      <c r="AD42" s="348"/>
    </row>
    <row r="43" spans="1:30" x14ac:dyDescent="0.2">
      <c r="A43" t="str">
        <f t="shared" si="24"/>
        <v>32 Health and social care associate professionals</v>
      </c>
      <c r="B43" s="11">
        <v>7.6670201142416156E-2</v>
      </c>
      <c r="C43" s="11">
        <v>0.12990267272750064</v>
      </c>
      <c r="D43" s="11">
        <f t="shared" si="25"/>
        <v>5.3232471585084484E-2</v>
      </c>
      <c r="E43" s="11">
        <v>6.4486950008569272E-2</v>
      </c>
      <c r="F43" s="11">
        <f t="shared" si="26"/>
        <v>0.11771942159365376</v>
      </c>
      <c r="G43" s="200">
        <f t="shared" si="27"/>
        <v>4.1529924118288486E-2</v>
      </c>
      <c r="I43" s="11" t="str">
        <f>I32</f>
        <v>Associate professional occupations</v>
      </c>
      <c r="J43" s="11">
        <v>38.603650086549564</v>
      </c>
      <c r="K43" s="11">
        <v>44.082479000274418</v>
      </c>
      <c r="L43" s="11">
        <v>5.4788289137248594</v>
      </c>
      <c r="M43" s="11">
        <v>20.38866702157614</v>
      </c>
      <c r="N43" s="11">
        <v>25.867495935301001</v>
      </c>
      <c r="P43" s="10" t="str">
        <f>name!D11</f>
        <v>32 Health and social care associate professionals</v>
      </c>
      <c r="Q43" s="11">
        <v>11.696346794052676</v>
      </c>
      <c r="R43" s="11">
        <v>12.775268428072062</v>
      </c>
      <c r="S43" s="345">
        <f t="shared" si="28"/>
        <v>1.0789216340193857</v>
      </c>
      <c r="T43" s="345">
        <v>7.2842862149258067</v>
      </c>
      <c r="U43" s="345">
        <f t="shared" si="29"/>
        <v>8.3632078489451924</v>
      </c>
      <c r="V43" s="346">
        <f t="shared" si="30"/>
        <v>3.2802697850481177E-2</v>
      </c>
      <c r="X43" s="10"/>
      <c r="Y43" s="10"/>
      <c r="Z43" s="10"/>
      <c r="AA43" s="345"/>
      <c r="AB43" s="10"/>
      <c r="AC43" s="345"/>
      <c r="AD43" s="348"/>
    </row>
    <row r="44" spans="1:30" x14ac:dyDescent="0.2">
      <c r="A44" t="str">
        <f t="shared" si="24"/>
        <v>33 Protective service occupations</v>
      </c>
      <c r="B44" s="11">
        <v>3.8073033031675349E-2</v>
      </c>
      <c r="C44" s="11">
        <v>8.2199816817137838E-2</v>
      </c>
      <c r="D44" s="11">
        <f t="shared" si="25"/>
        <v>4.4126783785462489E-2</v>
      </c>
      <c r="E44" s="11">
        <v>2.1231944255671202E-2</v>
      </c>
      <c r="F44" s="11">
        <f t="shared" si="26"/>
        <v>6.5358728041133685E-2</v>
      </c>
      <c r="G44" s="200">
        <f t="shared" si="27"/>
        <v>2.9986607738245796E-2</v>
      </c>
      <c r="I44" s="11" t="str">
        <f>I33</f>
        <v>Administrative and secretarial occupations</v>
      </c>
      <c r="J44" s="11">
        <v>18.203319604353798</v>
      </c>
      <c r="K44" s="11">
        <v>24.406017894669379</v>
      </c>
      <c r="L44" s="11">
        <v>6.202698290315583</v>
      </c>
      <c r="M44" s="11">
        <v>11.938082405359193</v>
      </c>
      <c r="N44" s="11">
        <v>18.140780695674778</v>
      </c>
      <c r="P44" s="10" t="str">
        <f>name!D12</f>
        <v>33 Protective service occupations</v>
      </c>
      <c r="Q44" s="11">
        <v>2.6118520592580938</v>
      </c>
      <c r="R44" s="11">
        <v>4.5767686164609982</v>
      </c>
      <c r="S44" s="345">
        <f t="shared" si="28"/>
        <v>1.9649165572029044</v>
      </c>
      <c r="T44" s="345">
        <v>1.8798884275393561</v>
      </c>
      <c r="U44" s="345">
        <f t="shared" si="29"/>
        <v>3.8448049847422605</v>
      </c>
      <c r="V44" s="346">
        <f t="shared" si="30"/>
        <v>3.6806565918104051E-2</v>
      </c>
      <c r="X44" s="10"/>
      <c r="Y44" s="10"/>
      <c r="Z44" s="10"/>
      <c r="AA44" s="345"/>
      <c r="AB44" s="10"/>
      <c r="AC44" s="345"/>
      <c r="AD44" s="348"/>
    </row>
    <row r="45" spans="1:30" x14ac:dyDescent="0.2">
      <c r="A45" t="str">
        <f t="shared" si="24"/>
        <v>34 Culture, media and sports occupations</v>
      </c>
      <c r="B45" s="11">
        <v>0.28356367440810276</v>
      </c>
      <c r="C45" s="11">
        <v>0.38413782420245229</v>
      </c>
      <c r="D45" s="11">
        <f t="shared" ref="D45:D46" si="31">C45-B45</f>
        <v>0.10057414979434953</v>
      </c>
      <c r="E45" s="11">
        <v>0.17925194833301053</v>
      </c>
      <c r="F45" s="11">
        <f t="shared" ref="F45:F46" si="32">SUM(D45:E45)</f>
        <v>0.27982609812736003</v>
      </c>
      <c r="G45" s="200">
        <f t="shared" si="27"/>
        <v>3.3198644382169018E-2</v>
      </c>
      <c r="I45" s="11" t="str">
        <f t="shared" ref="I45:I49" si="33">I34</f>
        <v>Skilled trades occupations</v>
      </c>
      <c r="J45" s="11">
        <v>5.4232436770104009</v>
      </c>
      <c r="K45" s="11">
        <v>8.4013014915624691</v>
      </c>
      <c r="L45" s="11">
        <v>2.9780578145520691</v>
      </c>
      <c r="M45" s="11">
        <v>3.9832209421388538</v>
      </c>
      <c r="N45" s="11">
        <v>6.9612787566909224</v>
      </c>
      <c r="P45" s="10" t="str">
        <f>name!D13</f>
        <v>34 Culture, media and sports occupations</v>
      </c>
      <c r="Q45" s="11">
        <v>10.478532390284252</v>
      </c>
      <c r="R45" s="11">
        <v>10.91747888393906</v>
      </c>
      <c r="S45" s="345">
        <f t="shared" si="28"/>
        <v>0.43894649365480731</v>
      </c>
      <c r="T45" s="345">
        <v>5.5580828673321543</v>
      </c>
      <c r="U45" s="345">
        <f t="shared" si="29"/>
        <v>5.9970293609869616</v>
      </c>
      <c r="V45" s="346">
        <f t="shared" si="30"/>
        <v>2.8775982176815207E-2</v>
      </c>
      <c r="X45" s="10"/>
      <c r="Y45" s="10"/>
      <c r="Z45" s="10"/>
      <c r="AA45" s="345"/>
      <c r="AB45" s="10"/>
      <c r="AC45" s="345"/>
      <c r="AD45" s="348"/>
    </row>
    <row r="46" spans="1:30" x14ac:dyDescent="0.2">
      <c r="A46" t="str">
        <f t="shared" si="24"/>
        <v>35 Business and public service associate professionals</v>
      </c>
      <c r="B46" s="11">
        <v>0.96039370392537959</v>
      </c>
      <c r="C46" s="11">
        <v>1.4389848254038973</v>
      </c>
      <c r="D46" s="11">
        <f t="shared" si="31"/>
        <v>0.47859112147851768</v>
      </c>
      <c r="E46" s="11">
        <v>0.58098430807834922</v>
      </c>
      <c r="F46" s="11">
        <f t="shared" si="32"/>
        <v>1.0595754295568669</v>
      </c>
      <c r="G46" s="200">
        <f t="shared" si="27"/>
        <v>3.2041885860263353E-2</v>
      </c>
      <c r="I46" s="11" t="str">
        <f t="shared" si="33"/>
        <v>Caring, leisure and other service occupations</v>
      </c>
      <c r="J46" s="11">
        <v>10.61957651394366</v>
      </c>
      <c r="K46" s="11">
        <v>15.577232165947654</v>
      </c>
      <c r="L46" s="11">
        <v>4.9576556520039956</v>
      </c>
      <c r="M46" s="11">
        <v>8.457795119056513</v>
      </c>
      <c r="N46" s="11">
        <v>13.41545077106051</v>
      </c>
      <c r="P46" s="10" t="str">
        <f>name!D14</f>
        <v>35 Business and public service associate professionals</v>
      </c>
      <c r="Q46" s="11">
        <v>29.019166493755165</v>
      </c>
      <c r="R46" s="11">
        <v>31.308769978615686</v>
      </c>
      <c r="S46" s="345">
        <f t="shared" si="28"/>
        <v>2.2896034848605211</v>
      </c>
      <c r="T46" s="345">
        <v>15.93239570168276</v>
      </c>
      <c r="U46" s="345">
        <f t="shared" si="29"/>
        <v>18.221999186543279</v>
      </c>
      <c r="V46" s="346">
        <f t="shared" si="30"/>
        <v>2.9605033358091948E-2</v>
      </c>
      <c r="X46" s="10"/>
      <c r="Y46" s="10"/>
      <c r="Z46" s="10"/>
      <c r="AA46" s="345"/>
      <c r="AB46" s="10"/>
      <c r="AC46" s="345"/>
      <c r="AD46" s="348"/>
    </row>
    <row r="47" spans="1:30" x14ac:dyDescent="0.2">
      <c r="A47" t="str">
        <f t="shared" si="24"/>
        <v>41 Administrative occupations</v>
      </c>
      <c r="B47" s="11">
        <v>0.48807802580942095</v>
      </c>
      <c r="C47" s="11">
        <v>0.76286430892473933</v>
      </c>
      <c r="D47" s="11">
        <f t="shared" si="25"/>
        <v>0.27478628311531839</v>
      </c>
      <c r="E47" s="11">
        <v>0.33214369578184461</v>
      </c>
      <c r="F47" s="11">
        <f t="shared" si="26"/>
        <v>0.60692997889716294</v>
      </c>
      <c r="G47" s="200">
        <f t="shared" si="27"/>
        <v>3.5212404696480126E-2</v>
      </c>
      <c r="I47" s="11" t="str">
        <f t="shared" si="33"/>
        <v>Sales and customer service occupations</v>
      </c>
      <c r="J47" s="11">
        <v>10.428402431338853</v>
      </c>
      <c r="K47" s="11">
        <v>14.900624934774545</v>
      </c>
      <c r="L47" s="11">
        <v>4.4722225034356935</v>
      </c>
      <c r="M47" s="11">
        <v>6.605637582944218</v>
      </c>
      <c r="N47" s="11">
        <v>11.077860086379911</v>
      </c>
      <c r="P47" s="10" t="str">
        <f>name!D15</f>
        <v>41 Administrative occupations</v>
      </c>
      <c r="Q47" s="11">
        <v>50.741953143628976</v>
      </c>
      <c r="R47" s="11">
        <v>39.450731223427724</v>
      </c>
      <c r="S47" s="345">
        <f t="shared" si="28"/>
        <v>-11.291221920201252</v>
      </c>
      <c r="T47" s="345">
        <v>24.506189208983987</v>
      </c>
      <c r="U47" s="345">
        <f t="shared" si="29"/>
        <v>13.214967288782734</v>
      </c>
      <c r="V47" s="346">
        <f t="shared" si="30"/>
        <v>2.661728830962895E-2</v>
      </c>
      <c r="X47" s="10"/>
      <c r="Y47" s="10"/>
      <c r="Z47" s="10"/>
      <c r="AA47" s="345"/>
      <c r="AB47" s="10"/>
      <c r="AC47" s="345"/>
      <c r="AD47" s="348"/>
    </row>
    <row r="48" spans="1:30" x14ac:dyDescent="0.2">
      <c r="A48" t="str">
        <f t="shared" si="24"/>
        <v>42 Secretarial and related occupations</v>
      </c>
      <c r="B48" s="11">
        <v>4.6432218813153278E-2</v>
      </c>
      <c r="C48" s="11">
        <v>0.14200295374757077</v>
      </c>
      <c r="D48" s="11">
        <f t="shared" si="25"/>
        <v>9.5570734934417492E-2</v>
      </c>
      <c r="E48" s="11">
        <v>6.0215609893749564E-2</v>
      </c>
      <c r="F48" s="11">
        <f t="shared" si="26"/>
        <v>0.15578634482816706</v>
      </c>
      <c r="G48" s="200">
        <f t="shared" si="27"/>
        <v>5.7001260867397319E-2</v>
      </c>
      <c r="I48" s="11" t="str">
        <f t="shared" si="33"/>
        <v>Process, plant and machine operatives</v>
      </c>
      <c r="J48" s="11">
        <v>1.941702473923312</v>
      </c>
      <c r="K48" s="11">
        <v>3.3456864459642475</v>
      </c>
      <c r="L48" s="11">
        <v>1.4039839720409355</v>
      </c>
      <c r="M48" s="11">
        <v>1.6210352286679108</v>
      </c>
      <c r="N48" s="11">
        <v>3.0250192007088463</v>
      </c>
      <c r="P48" s="10" t="str">
        <f>name!D16</f>
        <v>42 Secretarial and related occupations</v>
      </c>
      <c r="Q48" s="11">
        <v>17.719374670082292</v>
      </c>
      <c r="R48" s="11">
        <v>13.755266295997265</v>
      </c>
      <c r="S48" s="345">
        <f t="shared" si="28"/>
        <v>-3.9641083740850274</v>
      </c>
      <c r="T48" s="345">
        <v>8.9174473480994383</v>
      </c>
      <c r="U48" s="345">
        <f t="shared" si="29"/>
        <v>4.9533389740144109</v>
      </c>
      <c r="V48" s="346">
        <f t="shared" si="30"/>
        <v>2.7548353853679375E-2</v>
      </c>
      <c r="X48" s="10"/>
      <c r="Y48" s="10"/>
      <c r="Z48" s="10"/>
      <c r="AA48" s="345"/>
      <c r="AB48" s="10"/>
      <c r="AC48" s="345"/>
      <c r="AD48" s="348"/>
    </row>
    <row r="49" spans="1:30" x14ac:dyDescent="0.2">
      <c r="A49" t="str">
        <f t="shared" si="24"/>
        <v>51 Skilled agricultural and related trades</v>
      </c>
      <c r="B49" s="11">
        <v>2.7151023211192886E-2</v>
      </c>
      <c r="C49" s="11">
        <v>4.2635357498595788E-2</v>
      </c>
      <c r="D49" s="11">
        <f t="shared" si="25"/>
        <v>1.5484334287402902E-2</v>
      </c>
      <c r="E49" s="11">
        <v>2.4998242922263297E-2</v>
      </c>
      <c r="F49" s="11">
        <f t="shared" si="26"/>
        <v>4.04825772096662E-2</v>
      </c>
      <c r="G49" s="200">
        <f t="shared" si="27"/>
        <v>4.4473598569759742E-2</v>
      </c>
      <c r="I49" s="11" t="str">
        <f t="shared" si="33"/>
        <v>Elementary occupations</v>
      </c>
      <c r="J49" s="11">
        <v>7.4091951095303026</v>
      </c>
      <c r="K49" s="11">
        <v>11.488304233451446</v>
      </c>
      <c r="L49" s="11">
        <v>4.0791091239211443</v>
      </c>
      <c r="M49" s="11">
        <v>5.9468018454728568</v>
      </c>
      <c r="N49" s="11">
        <v>10.025910969394001</v>
      </c>
      <c r="P49" s="10" t="str">
        <f>name!D17</f>
        <v>51 Skilled agricultural and related trades</v>
      </c>
      <c r="Q49" s="11">
        <v>1.7372380196571466</v>
      </c>
      <c r="R49" s="11">
        <v>2.6139378722189606</v>
      </c>
      <c r="S49" s="345">
        <f t="shared" si="28"/>
        <v>0.87669985256181393</v>
      </c>
      <c r="T49" s="345">
        <v>1.512881285104499</v>
      </c>
      <c r="U49" s="345">
        <f t="shared" si="29"/>
        <v>2.3895811376663127</v>
      </c>
      <c r="V49" s="346">
        <f t="shared" si="30"/>
        <v>4.2643880309137572E-2</v>
      </c>
      <c r="X49" s="10"/>
      <c r="Y49" s="10"/>
      <c r="Z49" s="10"/>
      <c r="AA49" s="345"/>
      <c r="AB49" s="10"/>
      <c r="AC49" s="345"/>
      <c r="AD49" s="348"/>
    </row>
    <row r="50" spans="1:30" x14ac:dyDescent="0.2">
      <c r="A50" t="str">
        <f t="shared" si="24"/>
        <v>52 Skilled metal, electrical and electronic trades</v>
      </c>
      <c r="B50" s="11">
        <v>3.5582633612171705E-2</v>
      </c>
      <c r="C50" s="11">
        <v>5.2073232204868675E-2</v>
      </c>
      <c r="D50" s="11">
        <f t="shared" si="25"/>
        <v>1.649059859269697E-2</v>
      </c>
      <c r="E50" s="11">
        <v>1.9157644137506903E-2</v>
      </c>
      <c r="F50" s="11">
        <f t="shared" si="26"/>
        <v>3.5648242730203873E-2</v>
      </c>
      <c r="G50" s="200">
        <f t="shared" si="27"/>
        <v>2.9132422013196768E-2</v>
      </c>
      <c r="O50" s="71"/>
      <c r="P50" s="10" t="str">
        <f>name!D18</f>
        <v>52 Skilled metal, electrical and electronic trades</v>
      </c>
      <c r="Q50" s="11">
        <v>0.86611894068007089</v>
      </c>
      <c r="R50" s="11">
        <v>2.5181215537684758</v>
      </c>
      <c r="S50" s="345">
        <f t="shared" si="28"/>
        <v>1.6520026130884049</v>
      </c>
      <c r="T50" s="345">
        <v>1.1280330985506601</v>
      </c>
      <c r="U50" s="345">
        <f t="shared" si="29"/>
        <v>2.7800357116390648</v>
      </c>
      <c r="V50" s="346">
        <f t="shared" si="30"/>
        <v>5.7171342919305257E-2</v>
      </c>
      <c r="X50" s="10"/>
      <c r="Y50" s="10"/>
      <c r="Z50" s="10"/>
      <c r="AA50" s="345"/>
      <c r="AB50" s="10"/>
      <c r="AC50" s="345"/>
      <c r="AD50" s="348"/>
    </row>
    <row r="51" spans="1:30" x14ac:dyDescent="0.2">
      <c r="A51" t="str">
        <f t="shared" si="24"/>
        <v>53 Skilled construction and building trades</v>
      </c>
      <c r="B51" s="11">
        <v>1.0926339312871151E-2</v>
      </c>
      <c r="C51" s="11">
        <v>1.860378190518297E-2</v>
      </c>
      <c r="D51" s="11">
        <f t="shared" ref="D51" si="34">C51-B51</f>
        <v>7.677442592311819E-3</v>
      </c>
      <c r="E51" s="11">
        <v>7.9180314395804786E-3</v>
      </c>
      <c r="F51" s="11">
        <f t="shared" ref="F51" si="35">SUM(D51:E51)</f>
        <v>1.5595474031892298E-2</v>
      </c>
      <c r="G51" s="200">
        <f t="shared" si="27"/>
        <v>3.7004076920000406E-2</v>
      </c>
      <c r="I51" s="87" t="str">
        <f>name!F7</f>
        <v>RQF5 Foundation degree;Nursing;Teaching</v>
      </c>
      <c r="J51" s="11"/>
      <c r="K51" s="11"/>
      <c r="L51" s="11"/>
      <c r="M51" s="11"/>
      <c r="N51" s="11"/>
      <c r="P51" s="10" t="str">
        <f>name!D19</f>
        <v>53 Skilled construction and building trades</v>
      </c>
      <c r="Q51" s="11">
        <v>0.41329507279645616</v>
      </c>
      <c r="R51" s="11">
        <v>0.47474786684368797</v>
      </c>
      <c r="S51" s="345">
        <f t="shared" si="28"/>
        <v>6.1452794047231807E-2</v>
      </c>
      <c r="T51" s="345">
        <v>0.21898010943816679</v>
      </c>
      <c r="U51" s="345">
        <f t="shared" si="29"/>
        <v>0.28043290348539862</v>
      </c>
      <c r="V51" s="346">
        <f t="shared" si="30"/>
        <v>2.8749713276501998E-2</v>
      </c>
      <c r="X51" s="10"/>
      <c r="Y51" s="10"/>
      <c r="Z51" s="10"/>
      <c r="AA51" s="345"/>
      <c r="AB51" s="10"/>
      <c r="AC51" s="345"/>
      <c r="AD51" s="348"/>
    </row>
    <row r="52" spans="1:30" x14ac:dyDescent="0.2">
      <c r="A52" t="str">
        <f t="shared" si="24"/>
        <v>54 Textiles, printing and other skilled trades</v>
      </c>
      <c r="B52" s="11">
        <v>6.5153381599793239E-2</v>
      </c>
      <c r="C52" s="11">
        <v>0.11417138652468115</v>
      </c>
      <c r="D52" s="11">
        <f t="shared" si="25"/>
        <v>4.9018004924887906E-2</v>
      </c>
      <c r="E52" s="11">
        <v>4.8149138605337198E-2</v>
      </c>
      <c r="F52" s="11">
        <f t="shared" si="26"/>
        <v>9.7167143530225097E-2</v>
      </c>
      <c r="G52" s="200">
        <f t="shared" si="27"/>
        <v>3.7576612349787153E-2</v>
      </c>
      <c r="I52" s="11" t="str">
        <f>I41</f>
        <v>Managers, directors and senior officials</v>
      </c>
      <c r="J52" s="11">
        <f t="array" ref="J52:J60">MMULT(aggregation!$B$13:$AA$21,B123:B148)</f>
        <v>6.8459702893558889</v>
      </c>
      <c r="K52" s="11">
        <f t="array" ref="K52:K60">MMULT(aggregation!$B$13:$AA$21,C123:C148)</f>
        <v>8.2142872759098378</v>
      </c>
      <c r="L52" s="11">
        <f t="array" ref="L52:L60">MMULT(aggregation!$B$13:$AA$21,D123:D148)</f>
        <v>1.3683169865539484</v>
      </c>
      <c r="M52" s="11">
        <f t="array" ref="M52:M60">MMULT(aggregation!$B$13:$AA$21,E123:E148)</f>
        <v>4.2986546853433865</v>
      </c>
      <c r="N52" s="11">
        <f t="array" ref="N52:N60">MMULT(aggregation!$B$13:$AA$21,F123:F148)</f>
        <v>5.6669716718973344</v>
      </c>
      <c r="P52" s="10" t="str">
        <f>name!D20</f>
        <v>54 Textiles, printing and other skilled trades</v>
      </c>
      <c r="Q52" s="11">
        <v>6.848681996037099</v>
      </c>
      <c r="R52" s="11">
        <v>7.6864838569079899</v>
      </c>
      <c r="S52" s="345">
        <f t="shared" si="28"/>
        <v>0.83780186087089081</v>
      </c>
      <c r="T52" s="345">
        <v>4.2148420190839939</v>
      </c>
      <c r="U52" s="345">
        <f t="shared" si="29"/>
        <v>5.0526438799548847</v>
      </c>
      <c r="V52" s="346">
        <f t="shared" si="30"/>
        <v>3.248978932548785E-2</v>
      </c>
      <c r="X52" s="10"/>
      <c r="Y52" s="10"/>
      <c r="Z52" s="10"/>
      <c r="AA52" s="345"/>
      <c r="AB52" s="10"/>
      <c r="AC52" s="345"/>
      <c r="AD52" s="348"/>
    </row>
    <row r="53" spans="1:30" x14ac:dyDescent="0.2">
      <c r="A53" t="str">
        <f t="shared" si="24"/>
        <v>61 Caring personal service occupations</v>
      </c>
      <c r="B53" s="11">
        <v>5.9588306448196099E-2</v>
      </c>
      <c r="C53" s="11">
        <v>0.11391277010191188</v>
      </c>
      <c r="D53" s="11">
        <f t="shared" si="25"/>
        <v>5.4324463653715779E-2</v>
      </c>
      <c r="E53" s="11">
        <v>4.9704525857815936E-2</v>
      </c>
      <c r="F53" s="11">
        <f t="shared" si="26"/>
        <v>0.10402898951153172</v>
      </c>
      <c r="G53" s="200">
        <f t="shared" si="27"/>
        <v>4.1266850552544865E-2</v>
      </c>
      <c r="I53" s="11" t="str">
        <f>I42</f>
        <v>Professional occupations</v>
      </c>
      <c r="J53" s="11">
        <v>9.9555688159689595</v>
      </c>
      <c r="K53" s="11">
        <v>7.4925605792984591</v>
      </c>
      <c r="L53" s="11">
        <v>-2.4630082366705017</v>
      </c>
      <c r="M53" s="11">
        <v>3.1127630784262581</v>
      </c>
      <c r="N53" s="11">
        <v>0.64975484175575671</v>
      </c>
      <c r="P53" s="10" t="str">
        <f>name!D21</f>
        <v>61 Caring personal service occupations</v>
      </c>
      <c r="Q53" s="11">
        <v>46.129982324719528</v>
      </c>
      <c r="R53" s="11">
        <v>50.344774626592219</v>
      </c>
      <c r="S53" s="345">
        <f t="shared" si="28"/>
        <v>4.2147923018726914</v>
      </c>
      <c r="T53" s="345">
        <v>28.287601274698837</v>
      </c>
      <c r="U53" s="345">
        <f t="shared" si="29"/>
        <v>32.502393576571528</v>
      </c>
      <c r="V53" s="346">
        <f t="shared" si="30"/>
        <v>3.2395616113716219E-2</v>
      </c>
      <c r="X53" s="10"/>
      <c r="Y53" s="10"/>
      <c r="Z53" s="10"/>
      <c r="AA53" s="345"/>
      <c r="AB53" s="10"/>
      <c r="AC53" s="345"/>
      <c r="AD53" s="348"/>
    </row>
    <row r="54" spans="1:30" x14ac:dyDescent="0.2">
      <c r="A54" t="str">
        <f t="shared" si="24"/>
        <v>62 Leisure, travel and related personal service occupations</v>
      </c>
      <c r="B54" s="11">
        <v>4.038103266861176E-2</v>
      </c>
      <c r="C54" s="11">
        <v>6.7260734955679857E-2</v>
      </c>
      <c r="D54" s="11">
        <f t="shared" ref="D54:D55" si="36">C54-B54</f>
        <v>2.6879702287068097E-2</v>
      </c>
      <c r="E54" s="11">
        <v>3.021138160932034E-2</v>
      </c>
      <c r="F54" s="11">
        <f t="shared" ref="F54:F55" si="37">SUM(D54:E54)</f>
        <v>5.7091083896388437E-2</v>
      </c>
      <c r="G54" s="200">
        <f t="shared" si="27"/>
        <v>3.7939502608470788E-2</v>
      </c>
      <c r="I54" s="11" t="str">
        <f>I43</f>
        <v>Associate professional occupations</v>
      </c>
      <c r="J54" s="11">
        <v>9.3358695078258691</v>
      </c>
      <c r="K54" s="11">
        <v>9.4402738890813467</v>
      </c>
      <c r="L54" s="11">
        <v>0.10440438125547868</v>
      </c>
      <c r="M54" s="11">
        <v>4.177918480335606</v>
      </c>
      <c r="N54" s="11">
        <v>4.2823228615910853</v>
      </c>
      <c r="P54" s="10" t="str">
        <f>name!D22</f>
        <v>62 Leisure, travel and related personal service occupations</v>
      </c>
      <c r="Q54" s="11">
        <v>14.917913914685251</v>
      </c>
      <c r="R54" s="11">
        <v>14.637544416966168</v>
      </c>
      <c r="S54" s="345">
        <f t="shared" si="28"/>
        <v>-0.28036949771908226</v>
      </c>
      <c r="T54" s="345">
        <v>7.9750902304869822</v>
      </c>
      <c r="U54" s="345">
        <f t="shared" si="29"/>
        <v>7.6947207327678999</v>
      </c>
      <c r="V54" s="346">
        <f t="shared" si="30"/>
        <v>2.8962733609217528E-2</v>
      </c>
      <c r="X54" s="10"/>
      <c r="Y54" s="10"/>
      <c r="Z54" s="10"/>
      <c r="AA54" s="345"/>
      <c r="AB54" s="10"/>
      <c r="AC54" s="345"/>
      <c r="AD54" s="348"/>
    </row>
    <row r="55" spans="1:30" x14ac:dyDescent="0.2">
      <c r="A55" t="str">
        <f t="shared" si="24"/>
        <v>63 Community and civil enforcement occupations</v>
      </c>
      <c r="B55" s="11">
        <v>2.2002080633734353E-3</v>
      </c>
      <c r="C55" s="11">
        <v>3.2462230058451017E-3</v>
      </c>
      <c r="D55" s="11">
        <f t="shared" si="36"/>
        <v>1.0460149424716663E-3</v>
      </c>
      <c r="E55" s="11">
        <v>1.431277301856065E-3</v>
      </c>
      <c r="F55" s="11">
        <f t="shared" si="37"/>
        <v>2.4772922443277315E-3</v>
      </c>
      <c r="G55" s="200">
        <f t="shared" si="27"/>
        <v>3.3970233957499874E-2</v>
      </c>
      <c r="I55" s="11" t="str">
        <f>I44</f>
        <v>Administrative and secretarial occupations</v>
      </c>
      <c r="J55" s="11">
        <v>7.2622637325560824</v>
      </c>
      <c r="K55" s="11">
        <v>8.9581645072971021</v>
      </c>
      <c r="L55" s="11">
        <v>1.6959007747410191</v>
      </c>
      <c r="M55" s="11">
        <v>4.7375748146900829</v>
      </c>
      <c r="N55" s="11">
        <v>6.4334755894311018</v>
      </c>
      <c r="P55" s="10" t="str">
        <f>name!D23</f>
        <v>63 Community and civil enforcement occupations</v>
      </c>
      <c r="Q55" s="11">
        <v>0.22460251262381611</v>
      </c>
      <c r="R55" s="11">
        <v>0.28941098583168323</v>
      </c>
      <c r="S55" s="345">
        <f t="shared" si="28"/>
        <v>6.4808473207867118E-2</v>
      </c>
      <c r="T55" s="345">
        <v>0.1766486387622731</v>
      </c>
      <c r="U55" s="345">
        <f t="shared" si="29"/>
        <v>0.24145711197014022</v>
      </c>
      <c r="V55" s="346">
        <f t="shared" si="30"/>
        <v>3.9441643404867444E-2</v>
      </c>
      <c r="X55" s="10"/>
      <c r="Y55" s="10"/>
      <c r="Z55" s="10"/>
      <c r="AA55" s="345"/>
      <c r="AB55" s="10"/>
      <c r="AC55" s="345"/>
      <c r="AD55" s="348"/>
    </row>
    <row r="56" spans="1:30" x14ac:dyDescent="0.2">
      <c r="A56" t="str">
        <f t="shared" si="24"/>
        <v>71 Sales occupations</v>
      </c>
      <c r="B56" s="11">
        <v>0.15345620577016131</v>
      </c>
      <c r="C56" s="11">
        <v>0.21394821448127363</v>
      </c>
      <c r="D56" s="11">
        <f t="shared" si="25"/>
        <v>6.0492008711112322E-2</v>
      </c>
      <c r="E56" s="11">
        <v>8.6720776109429951E-2</v>
      </c>
      <c r="F56" s="11">
        <f t="shared" si="26"/>
        <v>0.14721278482054229</v>
      </c>
      <c r="G56" s="200">
        <f t="shared" si="27"/>
        <v>3.0314460338063398E-2</v>
      </c>
      <c r="I56" s="11" t="str">
        <f t="shared" ref="I56:I60" si="38">I45</f>
        <v>Skilled trades occupations</v>
      </c>
      <c r="J56" s="11">
        <v>2.2926969798649188</v>
      </c>
      <c r="K56" s="11">
        <v>3.1666762496752852</v>
      </c>
      <c r="L56" s="11">
        <v>0.87397926981036633</v>
      </c>
      <c r="M56" s="11">
        <v>1.567511032229401</v>
      </c>
      <c r="N56" s="11">
        <v>2.4414903020397674</v>
      </c>
      <c r="P56" s="10" t="str">
        <f>name!D24</f>
        <v>71 Sales occupations</v>
      </c>
      <c r="Q56" s="11">
        <v>28.919583868434842</v>
      </c>
      <c r="R56" s="11">
        <v>24.148704536285752</v>
      </c>
      <c r="S56" s="345">
        <f t="shared" si="28"/>
        <v>-4.7708793321490894</v>
      </c>
      <c r="T56" s="345">
        <v>13.724293153961993</v>
      </c>
      <c r="U56" s="345">
        <f t="shared" si="29"/>
        <v>8.9534138218129034</v>
      </c>
      <c r="V56" s="346">
        <f t="shared" si="30"/>
        <v>2.622906234419542E-2</v>
      </c>
      <c r="X56" s="10"/>
      <c r="Y56" s="10"/>
      <c r="Z56" s="10"/>
      <c r="AA56" s="345"/>
      <c r="AB56" s="10"/>
      <c r="AC56" s="345"/>
      <c r="AD56" s="348"/>
    </row>
    <row r="57" spans="1:30" x14ac:dyDescent="0.2">
      <c r="A57" t="str">
        <f t="shared" si="24"/>
        <v>72 Customer service occupations</v>
      </c>
      <c r="B57" s="11">
        <v>6.0814384444454909E-2</v>
      </c>
      <c r="C57" s="11">
        <v>0.12503329722075535</v>
      </c>
      <c r="D57" s="11">
        <f t="shared" si="25"/>
        <v>6.421891277630043E-2</v>
      </c>
      <c r="E57" s="11">
        <v>4.5343073592912703E-2</v>
      </c>
      <c r="F57" s="11">
        <f t="shared" si="26"/>
        <v>0.10956198636921313</v>
      </c>
      <c r="G57" s="200">
        <f t="shared" si="27"/>
        <v>3.7838107233677087E-2</v>
      </c>
      <c r="I57" s="11" t="str">
        <f t="shared" si="38"/>
        <v>Caring, leisure and other service occupations</v>
      </c>
      <c r="J57" s="11">
        <v>7.8491630961538643</v>
      </c>
      <c r="K57" s="11">
        <v>9.2831329522293977</v>
      </c>
      <c r="L57" s="11">
        <v>1.433969856075535</v>
      </c>
      <c r="M57" s="11">
        <v>5.03525436089752</v>
      </c>
      <c r="N57" s="11">
        <v>6.4692242169730543</v>
      </c>
      <c r="P57" s="10" t="str">
        <f>name!D25</f>
        <v>72 Customer service occupations</v>
      </c>
      <c r="Q57" s="11">
        <v>8.9805283391063746</v>
      </c>
      <c r="R57" s="11">
        <v>12.000904760624659</v>
      </c>
      <c r="S57" s="345">
        <f t="shared" si="28"/>
        <v>3.020376421518284</v>
      </c>
      <c r="T57" s="345">
        <v>5.8385969273259075</v>
      </c>
      <c r="U57" s="345">
        <f t="shared" si="29"/>
        <v>8.8589733488441915</v>
      </c>
      <c r="V57" s="346">
        <f t="shared" si="30"/>
        <v>3.3954383497584173E-2</v>
      </c>
      <c r="X57" s="10"/>
      <c r="Y57" s="10"/>
      <c r="Z57" s="10"/>
      <c r="AA57" s="345"/>
      <c r="AB57" s="10"/>
      <c r="AC57" s="345"/>
      <c r="AD57" s="348"/>
    </row>
    <row r="58" spans="1:30" x14ac:dyDescent="0.2">
      <c r="A58" t="str">
        <f t="shared" si="24"/>
        <v>81 Process, plant and machine operatives</v>
      </c>
      <c r="B58" s="11">
        <v>3.469912506872741E-2</v>
      </c>
      <c r="C58" s="11">
        <v>7.9507732146035376E-2</v>
      </c>
      <c r="D58" s="11">
        <f t="shared" ref="D58:D59" si="39">C58-B58</f>
        <v>4.4808607077307966E-2</v>
      </c>
      <c r="E58" s="11">
        <v>2.9503188710857813E-2</v>
      </c>
      <c r="F58" s="11">
        <f t="shared" ref="F58:F59" si="40">SUM(D58:E58)</f>
        <v>7.4311795788165783E-2</v>
      </c>
      <c r="G58" s="200">
        <f t="shared" si="27"/>
        <v>4.1874663815184787E-2</v>
      </c>
      <c r="I58" s="11" t="str">
        <f t="shared" si="38"/>
        <v>Sales and customer service occupations</v>
      </c>
      <c r="J58" s="11">
        <v>3.2676983323575084</v>
      </c>
      <c r="K58" s="11">
        <v>4.2818893662325905</v>
      </c>
      <c r="L58" s="11">
        <v>1.0141910338750826</v>
      </c>
      <c r="M58" s="11">
        <v>1.9998884977918434</v>
      </c>
      <c r="N58" s="11">
        <v>3.0140795316669258</v>
      </c>
      <c r="P58" s="10" t="str">
        <f>name!D26</f>
        <v>81 Process, plant and machine operatives</v>
      </c>
      <c r="Q58" s="11">
        <v>1.8863091923547008</v>
      </c>
      <c r="R58" s="11">
        <v>2.2470511361744152</v>
      </c>
      <c r="S58" s="345">
        <f t="shared" si="28"/>
        <v>0.36074194381971436</v>
      </c>
      <c r="T58" s="345">
        <v>1.0354031753432897</v>
      </c>
      <c r="U58" s="345">
        <f t="shared" si="29"/>
        <v>1.3961451191630041</v>
      </c>
      <c r="V58" s="346">
        <f t="shared" si="30"/>
        <v>2.9599457786594119E-2</v>
      </c>
      <c r="X58" s="10"/>
      <c r="Y58" s="10"/>
      <c r="Z58" s="10"/>
      <c r="AA58" s="345"/>
      <c r="AB58" s="10"/>
      <c r="AC58" s="345"/>
      <c r="AD58" s="348"/>
    </row>
    <row r="59" spans="1:30" x14ac:dyDescent="0.2">
      <c r="A59" t="str">
        <f t="shared" si="24"/>
        <v>82 Transport and mobile machine drivers and operatives</v>
      </c>
      <c r="B59" s="11">
        <v>6.9733200551285249E-2</v>
      </c>
      <c r="C59" s="11">
        <v>0.13406870396638709</v>
      </c>
      <c r="D59" s="11">
        <f t="shared" si="39"/>
        <v>6.4335503415101844E-2</v>
      </c>
      <c r="E59" s="11">
        <v>6.9362767484764762E-2</v>
      </c>
      <c r="F59" s="11">
        <f t="shared" si="40"/>
        <v>0.13369827089986661</v>
      </c>
      <c r="G59" s="200">
        <f t="shared" si="27"/>
        <v>4.7108446527502457E-2</v>
      </c>
      <c r="I59" s="11" t="str">
        <f t="shared" si="38"/>
        <v>Process, plant and machine operatives</v>
      </c>
      <c r="J59" s="11">
        <v>0.88284076157214386</v>
      </c>
      <c r="K59" s="11">
        <v>1.4989334802342036</v>
      </c>
      <c r="L59" s="11">
        <v>0.61609271866205961</v>
      </c>
      <c r="M59" s="11">
        <v>0.74022948085060913</v>
      </c>
      <c r="N59" s="11">
        <v>1.3563221995126686</v>
      </c>
      <c r="P59" s="10" t="str">
        <f>name!D27</f>
        <v>82 Transport and mobile machine drivers and operatives</v>
      </c>
      <c r="Q59" s="11">
        <v>2.0113905335174942</v>
      </c>
      <c r="R59" s="11">
        <v>3.4477223541156352</v>
      </c>
      <c r="S59" s="345">
        <f t="shared" si="28"/>
        <v>1.436331820598141</v>
      </c>
      <c r="T59" s="345">
        <v>1.7772210689557117</v>
      </c>
      <c r="U59" s="345">
        <f t="shared" si="29"/>
        <v>3.2135528895538528</v>
      </c>
      <c r="V59" s="346">
        <f t="shared" si="30"/>
        <v>4.3115131949632124E-2</v>
      </c>
      <c r="X59" s="10"/>
      <c r="Y59" s="10"/>
      <c r="Z59" s="10"/>
      <c r="AA59" s="345"/>
      <c r="AB59" s="10"/>
      <c r="AC59" s="345"/>
      <c r="AD59" s="348"/>
    </row>
    <row r="60" spans="1:30" x14ac:dyDescent="0.2">
      <c r="A60" t="str">
        <f t="shared" si="24"/>
        <v>91 Elementary trades and related occupations</v>
      </c>
      <c r="B60" s="11">
        <v>6.9350926456514933E-4</v>
      </c>
      <c r="C60" s="11">
        <v>7.2349074028306112E-4</v>
      </c>
      <c r="D60" s="11">
        <f t="shared" si="25"/>
        <v>2.9981475717911783E-5</v>
      </c>
      <c r="E60" s="11">
        <v>3.9491722155252275E-4</v>
      </c>
      <c r="F60" s="11">
        <f t="shared" si="26"/>
        <v>4.2489869727043453E-4</v>
      </c>
      <c r="G60" s="200">
        <f t="shared" si="27"/>
        <v>3.0504254083908666E-2</v>
      </c>
      <c r="I60" s="11" t="str">
        <f t="shared" si="38"/>
        <v>Elementary occupations</v>
      </c>
      <c r="J60" s="11">
        <v>3.8615417663160398</v>
      </c>
      <c r="K60" s="11">
        <v>5.9437684914083881</v>
      </c>
      <c r="L60" s="11">
        <v>2.0822267250923483</v>
      </c>
      <c r="M60" s="11">
        <v>2.9520412306624304</v>
      </c>
      <c r="N60" s="11">
        <v>5.0342679557547791</v>
      </c>
      <c r="P60" s="10" t="str">
        <f>name!D28</f>
        <v>91 Elementary trades and related occupations</v>
      </c>
      <c r="Q60" s="11">
        <v>1.4799762098318061</v>
      </c>
      <c r="R60" s="11">
        <v>1.247976840708076</v>
      </c>
      <c r="S60" s="345">
        <f t="shared" si="28"/>
        <v>-0.23199936912373009</v>
      </c>
      <c r="T60" s="345">
        <v>0.73984925509061672</v>
      </c>
      <c r="U60" s="345">
        <f t="shared" si="29"/>
        <v>0.50784988596688663</v>
      </c>
      <c r="V60" s="346">
        <f t="shared" si="30"/>
        <v>2.7395374958000929E-2</v>
      </c>
      <c r="X60" s="10"/>
      <c r="Y60" s="10"/>
      <c r="Z60" s="10"/>
      <c r="AA60" s="345"/>
      <c r="AB60" s="10"/>
      <c r="AC60" s="345"/>
      <c r="AD60" s="348"/>
    </row>
    <row r="61" spans="1:30" x14ac:dyDescent="0.2">
      <c r="A61" t="str">
        <f t="shared" si="24"/>
        <v>92 Elementary administration and service occupations</v>
      </c>
      <c r="B61" s="11">
        <v>6.6764425269880467E-2</v>
      </c>
      <c r="C61" s="11">
        <v>0.10486587607611009</v>
      </c>
      <c r="D61" s="11">
        <f t="shared" ref="D61" si="41">C61-B61</f>
        <v>3.810145080622962E-2</v>
      </c>
      <c r="E61" s="11">
        <v>4.9975286941275995E-2</v>
      </c>
      <c r="F61" s="11">
        <f t="shared" ref="F61" si="42">SUM(D61:E61)</f>
        <v>8.8076737747505615E-2</v>
      </c>
      <c r="G61" s="200">
        <f t="shared" ref="G61" si="43">IF(B61&gt;0,(1+(E61/B61))^(1/($C$6-$B$6))-1,0)</f>
        <v>3.7954302748741897E-2</v>
      </c>
      <c r="P61" s="10" t="str">
        <f>name!D29</f>
        <v>92 Elementary administration and service occupations</v>
      </c>
      <c r="Q61" s="11">
        <v>40.474360613831635</v>
      </c>
      <c r="R61" s="11">
        <v>39.962668670625092</v>
      </c>
      <c r="S61" s="345">
        <f t="shared" ref="S61" si="44">R61-Q61</f>
        <v>-0.51169194320654299</v>
      </c>
      <c r="T61" s="345">
        <v>22.990686921158492</v>
      </c>
      <c r="U61" s="345">
        <f t="shared" ref="U61" si="45">SUM(S61:T61)</f>
        <v>22.478994977951949</v>
      </c>
      <c r="V61" s="346">
        <f t="shared" ref="V61" si="46">IF(Q61&gt;0,(1+(T61/Q61))^(1/($C$6-$B$6))-1,0)</f>
        <v>3.044221112784129E-2</v>
      </c>
      <c r="X61" s="10"/>
      <c r="Y61" s="10"/>
      <c r="Z61" s="10"/>
      <c r="AA61" s="345"/>
      <c r="AB61" s="10"/>
      <c r="AC61" s="345"/>
      <c r="AD61" s="348"/>
    </row>
    <row r="62" spans="1:30" x14ac:dyDescent="0.2">
      <c r="A62" t="str">
        <f t="shared" si="24"/>
        <v>All occupations</v>
      </c>
      <c r="B62" s="11">
        <f>SUM(B36:B61)</f>
        <v>15.530347057630047</v>
      </c>
      <c r="C62" s="11">
        <f t="shared" ref="C62:F62" si="47">SUM(C36:C61)</f>
        <v>22.716025092912172</v>
      </c>
      <c r="D62" s="11">
        <f t="shared" si="47"/>
        <v>7.1856780352821206</v>
      </c>
      <c r="E62" s="11">
        <f t="shared" si="47"/>
        <v>9.3516052974305754</v>
      </c>
      <c r="F62" s="11">
        <f t="shared" si="47"/>
        <v>16.537283332712693</v>
      </c>
      <c r="G62" s="200">
        <f t="shared" si="27"/>
        <v>3.1922035021259898E-2</v>
      </c>
      <c r="I62" s="87" t="str">
        <f>name!F8</f>
        <v>RQF4 HE below degree level</v>
      </c>
      <c r="J62" s="11"/>
      <c r="K62" s="11"/>
      <c r="L62" s="11"/>
      <c r="M62" s="11"/>
      <c r="N62" s="11"/>
      <c r="P62" s="10" t="str">
        <f>name!D3</f>
        <v>All occupations</v>
      </c>
      <c r="Q62" s="11">
        <f>SUM(Q36:Q61)</f>
        <v>423.54278214167107</v>
      </c>
      <c r="R62" s="11">
        <f>SUM(R36:R61)</f>
        <v>451.97932849804113</v>
      </c>
      <c r="S62" s="345">
        <f>R62-Q62</f>
        <v>28.436546356370059</v>
      </c>
      <c r="T62" s="11">
        <f>SUM(T36:T61)</f>
        <v>245.94781021048212</v>
      </c>
      <c r="U62" s="345">
        <f>SUM(S62:T62)</f>
        <v>274.38435656685215</v>
      </c>
      <c r="V62" s="346">
        <f t="shared" si="30"/>
        <v>3.0994811221212615E-2</v>
      </c>
      <c r="X62" s="10"/>
      <c r="Y62" s="10"/>
      <c r="Z62" s="10"/>
      <c r="AA62" s="345"/>
      <c r="AB62" s="10"/>
      <c r="AC62" s="345"/>
      <c r="AD62" s="348"/>
    </row>
    <row r="63" spans="1:30" x14ac:dyDescent="0.2">
      <c r="I63" s="11" t="str">
        <f>I52</f>
        <v>Managers, directors and senior officials</v>
      </c>
      <c r="J63" s="11">
        <f t="array" ref="J63:J71">MMULT(aggregation!$B$13:$AA$21,B152:B177)</f>
        <v>9.1598297451457462</v>
      </c>
      <c r="K63" s="11">
        <f t="array" ref="K63:K71">MMULT(aggregation!$B$13:$AA$21,C152:C177)</f>
        <v>10.514361788184484</v>
      </c>
      <c r="L63" s="11">
        <f t="array" ref="L63:L71">MMULT(aggregation!$B$13:$AA$21,D152:D177)</f>
        <v>1.3545320430387378</v>
      </c>
      <c r="M63" s="11">
        <f t="array" ref="M63:M71">MMULT(aggregation!$B$13:$AA$21,E152:E177)</f>
        <v>5.3648143348358523</v>
      </c>
      <c r="N63" s="11">
        <f t="array" ref="N63:N71">MMULT(aggregation!$B$13:$AA$21,F152:F177)</f>
        <v>6.7193463778745901</v>
      </c>
      <c r="P63" s="24"/>
      <c r="Q63" s="34"/>
      <c r="R63" s="34"/>
      <c r="S63" s="34"/>
      <c r="T63" s="34"/>
      <c r="U63" s="34"/>
      <c r="V63" s="34"/>
      <c r="X63" s="10"/>
      <c r="Y63" s="10"/>
      <c r="Z63" s="10"/>
      <c r="AA63" s="345"/>
      <c r="AB63" s="10"/>
      <c r="AC63" s="345"/>
      <c r="AD63" s="348"/>
    </row>
    <row r="64" spans="1:30" ht="38.25" x14ac:dyDescent="0.2">
      <c r="A64" s="201" t="str">
        <f>CONCATENATE(name!F5," (Constrained)")</f>
        <v>RQF7 Other higher degree (Constrained)</v>
      </c>
      <c r="B64" s="88">
        <f t="shared" ref="B64:G64" si="48">B6</f>
        <v>2020</v>
      </c>
      <c r="C64" s="88">
        <f t="shared" si="48"/>
        <v>2035</v>
      </c>
      <c r="D64" s="88" t="str">
        <f t="shared" si="48"/>
        <v>Net Change</v>
      </c>
      <c r="E64" s="88" t="str">
        <f t="shared" si="48"/>
        <v>Replacement Demand level</v>
      </c>
      <c r="F64" s="88" t="str">
        <f t="shared" si="48"/>
        <v>Total Requirement</v>
      </c>
      <c r="G64" s="88" t="str">
        <f t="shared" si="48"/>
        <v>Replacement Demand rate</v>
      </c>
      <c r="I64" s="11" t="str">
        <f>I53</f>
        <v>Professional occupations</v>
      </c>
      <c r="J64" s="11">
        <v>11.255991987489725</v>
      </c>
      <c r="K64" s="11">
        <v>11.916730940807007</v>
      </c>
      <c r="L64" s="11">
        <v>0.66073895331728216</v>
      </c>
      <c r="M64" s="11">
        <v>5.0157065756675241</v>
      </c>
      <c r="N64" s="11">
        <v>5.6764455289848064</v>
      </c>
      <c r="P64" s="11"/>
      <c r="Q64" s="11"/>
      <c r="R64" s="11"/>
      <c r="S64" s="341"/>
      <c r="T64" s="341"/>
      <c r="U64" s="341"/>
      <c r="X64" s="10"/>
      <c r="Y64" s="10"/>
      <c r="Z64" s="10"/>
      <c r="AA64" s="345"/>
      <c r="AB64" s="10"/>
      <c r="AC64" s="345"/>
      <c r="AD64" s="348"/>
    </row>
    <row r="65" spans="1:30" x14ac:dyDescent="0.2">
      <c r="A65" t="str">
        <f t="shared" ref="A65:A91" si="49">A7</f>
        <v>11 Corporate managers and directors</v>
      </c>
      <c r="B65" s="11">
        <v>11.290721240204533</v>
      </c>
      <c r="C65" s="11">
        <v>15.213161309320711</v>
      </c>
      <c r="D65" s="11">
        <f>C65-B65</f>
        <v>3.9224400691161776</v>
      </c>
      <c r="E65" s="11">
        <v>6.8903332256872716</v>
      </c>
      <c r="F65" s="11">
        <f>SUM(D65:E65)</f>
        <v>10.812773294803449</v>
      </c>
      <c r="G65" s="200">
        <f>IF(B65&gt;0,(1+(E65/B65))^(1/($C$6-$B$6))-1,0)</f>
        <v>3.226965027068962E-2</v>
      </c>
      <c r="I65" s="11" t="str">
        <f>I54</f>
        <v>Associate professional occupations</v>
      </c>
      <c r="J65" s="11">
        <v>8.6276480420946378</v>
      </c>
      <c r="K65" s="11">
        <v>8.555833260299476</v>
      </c>
      <c r="L65" s="11">
        <v>-7.1814781795161098E-2</v>
      </c>
      <c r="M65" s="11">
        <v>3.7949687269813506</v>
      </c>
      <c r="N65" s="11">
        <v>3.7231539451861893</v>
      </c>
      <c r="P65" s="11"/>
      <c r="Q65" s="11"/>
      <c r="R65" s="11"/>
      <c r="S65" s="341"/>
      <c r="T65" s="341"/>
      <c r="U65" s="341"/>
      <c r="X65" s="10"/>
      <c r="Y65" s="10"/>
      <c r="Z65" s="10"/>
      <c r="AA65" s="345"/>
      <c r="AB65" s="10"/>
      <c r="AC65" s="345"/>
      <c r="AD65" s="348"/>
    </row>
    <row r="66" spans="1:30" x14ac:dyDescent="0.2">
      <c r="A66" t="str">
        <f t="shared" si="49"/>
        <v>12 Other managers and proprietors</v>
      </c>
      <c r="B66" s="11">
        <v>4.0246337718354237</v>
      </c>
      <c r="C66" s="11">
        <v>7.9897103148752224</v>
      </c>
      <c r="D66" s="11">
        <f t="shared" ref="D66:D89" si="50">C66-B66</f>
        <v>3.9650765430397987</v>
      </c>
      <c r="E66" s="11">
        <v>3.8421305479832215</v>
      </c>
      <c r="F66" s="11">
        <f t="shared" ref="F66:F89" si="51">SUM(D66:E66)</f>
        <v>7.8072070910230202</v>
      </c>
      <c r="G66" s="200">
        <f t="shared" ref="G66:G89" si="52">IF(B66&gt;0,(1+(E66/B66))^(1/($C$6-$B$6))-1,0)</f>
        <v>4.5694085127587547E-2</v>
      </c>
      <c r="I66" s="11" t="str">
        <f>I55</f>
        <v>Administrative and secretarial occupations</v>
      </c>
      <c r="J66" s="11">
        <v>6.4523627705494508</v>
      </c>
      <c r="K66" s="11">
        <v>7.340639272468767</v>
      </c>
      <c r="L66" s="11">
        <v>0.88827650191931595</v>
      </c>
      <c r="M66" s="11">
        <v>3.7624727532476752</v>
      </c>
      <c r="N66" s="11">
        <v>4.6507492551669909</v>
      </c>
      <c r="P66" s="11"/>
      <c r="Q66" s="11"/>
      <c r="R66" s="11"/>
      <c r="S66" s="341"/>
      <c r="T66" s="341"/>
      <c r="U66" s="341"/>
      <c r="X66" s="10"/>
      <c r="Y66" s="10"/>
      <c r="Z66" s="10"/>
      <c r="AA66" s="345"/>
      <c r="AB66" s="10"/>
      <c r="AC66" s="345"/>
      <c r="AD66" s="348"/>
    </row>
    <row r="67" spans="1:30" x14ac:dyDescent="0.2">
      <c r="A67" t="str">
        <f t="shared" si="49"/>
        <v>21 Science, research, engineering and technology professionals</v>
      </c>
      <c r="B67" s="11">
        <v>16.730086728247379</v>
      </c>
      <c r="C67" s="11">
        <v>26.045451115130287</v>
      </c>
      <c r="D67" s="11">
        <f t="shared" si="50"/>
        <v>9.3153643868829086</v>
      </c>
      <c r="E67" s="11">
        <v>8.608092744441322</v>
      </c>
      <c r="F67" s="11">
        <f t="shared" si="51"/>
        <v>17.923457131324231</v>
      </c>
      <c r="G67" s="200">
        <f t="shared" si="52"/>
        <v>2.8060045439537884E-2</v>
      </c>
      <c r="I67" s="11" t="str">
        <f t="shared" ref="I67:I71" si="53">I56</f>
        <v>Skilled trades occupations</v>
      </c>
      <c r="J67" s="11">
        <v>4.6287587517976263</v>
      </c>
      <c r="K67" s="11">
        <v>6.0840008186769454</v>
      </c>
      <c r="L67" s="11">
        <v>1.4552420668793193</v>
      </c>
      <c r="M67" s="11">
        <v>2.8030810019002677</v>
      </c>
      <c r="N67" s="11">
        <v>4.2583230687795872</v>
      </c>
      <c r="P67" s="11"/>
      <c r="Q67" s="11"/>
      <c r="R67" s="11"/>
      <c r="S67" s="341"/>
      <c r="T67" s="341"/>
      <c r="U67" s="341"/>
      <c r="X67" s="10"/>
      <c r="Y67" s="10"/>
      <c r="Z67" s="10"/>
      <c r="AA67" s="345"/>
      <c r="AB67" s="10"/>
      <c r="AC67" s="345"/>
      <c r="AD67" s="348"/>
    </row>
    <row r="68" spans="1:30" x14ac:dyDescent="0.2">
      <c r="A68" t="str">
        <f t="shared" si="49"/>
        <v>22 Health professionals</v>
      </c>
      <c r="B68" s="11">
        <v>6.7615792567128787</v>
      </c>
      <c r="C68" s="11">
        <v>9.506849184127045</v>
      </c>
      <c r="D68" s="11">
        <f t="shared" si="50"/>
        <v>2.7452699274141663</v>
      </c>
      <c r="E68" s="11">
        <v>4.5290588404093004</v>
      </c>
      <c r="F68" s="11">
        <f t="shared" si="51"/>
        <v>7.2743287678234667</v>
      </c>
      <c r="G68" s="200">
        <f t="shared" si="52"/>
        <v>3.4772050069324489E-2</v>
      </c>
      <c r="I68" s="11" t="str">
        <f t="shared" si="53"/>
        <v>Caring, leisure and other service occupations</v>
      </c>
      <c r="J68" s="11">
        <v>5.7836200182303292</v>
      </c>
      <c r="K68" s="11">
        <v>7.6004214185424459</v>
      </c>
      <c r="L68" s="11">
        <v>1.8168014003121165</v>
      </c>
      <c r="M68" s="11">
        <v>4.036099897212809</v>
      </c>
      <c r="N68" s="11">
        <v>5.8529012975249248</v>
      </c>
      <c r="P68" s="11"/>
      <c r="Q68" s="11"/>
      <c r="R68" s="11"/>
      <c r="S68" s="341"/>
      <c r="T68" s="341"/>
      <c r="U68" s="341"/>
      <c r="X68" s="10"/>
      <c r="Y68" s="10"/>
      <c r="Z68" s="10"/>
      <c r="AA68" s="345"/>
      <c r="AB68" s="10"/>
      <c r="AC68" s="345"/>
      <c r="AD68" s="348"/>
    </row>
    <row r="69" spans="1:30" x14ac:dyDescent="0.2">
      <c r="A69" t="str">
        <f t="shared" si="49"/>
        <v>23 Teaching and other educational professionals</v>
      </c>
      <c r="B69" s="11">
        <v>19.859119201450408</v>
      </c>
      <c r="C69" s="11">
        <v>25.419618140693014</v>
      </c>
      <c r="D69" s="11">
        <f t="shared" ref="D69" si="54">C69-B69</f>
        <v>5.5604989392426063</v>
      </c>
      <c r="E69" s="11">
        <v>12.254899009839171</v>
      </c>
      <c r="F69" s="11">
        <f t="shared" ref="F69" si="55">SUM(D69:E69)</f>
        <v>17.815397949081778</v>
      </c>
      <c r="G69" s="200">
        <f t="shared" si="52"/>
        <v>3.256082596466503E-2</v>
      </c>
      <c r="I69" s="11" t="str">
        <f t="shared" si="53"/>
        <v>Sales and customer service occupations</v>
      </c>
      <c r="J69" s="11">
        <v>2.9185221262687859</v>
      </c>
      <c r="K69" s="11">
        <v>3.6175724441713628</v>
      </c>
      <c r="L69" s="11">
        <v>0.69905031790257643</v>
      </c>
      <c r="M69" s="11">
        <v>1.5282893567544917</v>
      </c>
      <c r="N69" s="11">
        <v>2.2273396746570682</v>
      </c>
      <c r="P69" s="11"/>
      <c r="Q69" s="11"/>
      <c r="R69" s="11"/>
      <c r="S69" s="341"/>
      <c r="T69" s="341"/>
      <c r="U69" s="341"/>
      <c r="X69" s="10"/>
      <c r="Y69" s="10"/>
      <c r="Z69" s="10"/>
      <c r="AA69" s="345"/>
      <c r="AB69" s="10"/>
      <c r="AC69" s="345"/>
      <c r="AD69" s="348"/>
    </row>
    <row r="70" spans="1:30" x14ac:dyDescent="0.2">
      <c r="A70" t="str">
        <f t="shared" si="49"/>
        <v>24 Business, media and public service professionals</v>
      </c>
      <c r="B70" s="11">
        <v>16.750517280132414</v>
      </c>
      <c r="C70" s="11">
        <v>25.055144820287417</v>
      </c>
      <c r="D70" s="11">
        <f t="shared" si="50"/>
        <v>8.3046275401550034</v>
      </c>
      <c r="E70" s="11">
        <v>10.624778925803801</v>
      </c>
      <c r="F70" s="11">
        <f t="shared" si="51"/>
        <v>18.929406465958806</v>
      </c>
      <c r="G70" s="200">
        <f t="shared" si="52"/>
        <v>3.32895571526024E-2</v>
      </c>
      <c r="I70" s="11" t="str">
        <f t="shared" si="53"/>
        <v>Process, plant and machine operatives</v>
      </c>
      <c r="J70" s="11">
        <v>1.6351772828593947</v>
      </c>
      <c r="K70" s="11">
        <v>2.4753034402184602</v>
      </c>
      <c r="L70" s="11">
        <v>0.84012615735906526</v>
      </c>
      <c r="M70" s="11">
        <v>1.2789099971265885</v>
      </c>
      <c r="N70" s="11">
        <v>2.1190361544856535</v>
      </c>
      <c r="P70" s="11"/>
      <c r="Q70" s="11"/>
      <c r="R70" s="11"/>
      <c r="S70" s="341"/>
      <c r="T70" s="341"/>
      <c r="U70" s="341"/>
      <c r="X70" s="10"/>
      <c r="Y70" s="10"/>
      <c r="Z70" s="10"/>
      <c r="AA70" s="345"/>
      <c r="AB70" s="10"/>
      <c r="AC70" s="345"/>
      <c r="AD70" s="348"/>
    </row>
    <row r="71" spans="1:30" x14ac:dyDescent="0.2">
      <c r="A71" t="str">
        <f t="shared" si="49"/>
        <v>31 Science, engineering and technology associate professionals</v>
      </c>
      <c r="B71" s="11">
        <v>2.6305783390071968</v>
      </c>
      <c r="C71" s="11">
        <v>3.1806449882456631</v>
      </c>
      <c r="D71" s="11">
        <f t="shared" si="50"/>
        <v>0.55006664923846627</v>
      </c>
      <c r="E71" s="11">
        <v>1.2106283768478807</v>
      </c>
      <c r="F71" s="11">
        <f t="shared" si="51"/>
        <v>1.760695026086347</v>
      </c>
      <c r="G71" s="200">
        <f t="shared" si="52"/>
        <v>2.5560052674250544E-2</v>
      </c>
      <c r="I71" s="11" t="str">
        <f t="shared" si="53"/>
        <v>Elementary occupations</v>
      </c>
      <c r="J71" s="11">
        <v>3.6085988296403273</v>
      </c>
      <c r="K71" s="11">
        <v>5.352563838062844</v>
      </c>
      <c r="L71" s="11">
        <v>1.7439650084225167</v>
      </c>
      <c r="M71" s="11">
        <v>2.6517545883136551</v>
      </c>
      <c r="N71" s="11">
        <v>4.3957195967361713</v>
      </c>
      <c r="P71" s="11"/>
      <c r="Q71" s="11"/>
      <c r="R71" s="11"/>
      <c r="S71" s="341"/>
      <c r="T71" s="341"/>
      <c r="U71" s="341"/>
      <c r="X71" s="10"/>
      <c r="Y71" s="10"/>
      <c r="Z71" s="10"/>
      <c r="AA71" s="345"/>
      <c r="AB71" s="10"/>
      <c r="AC71" s="345"/>
      <c r="AD71" s="348"/>
    </row>
    <row r="72" spans="1:30" x14ac:dyDescent="0.2">
      <c r="A72" t="str">
        <f t="shared" si="49"/>
        <v>32 Health and social care associate professionals</v>
      </c>
      <c r="B72" s="11">
        <v>1.7816683093487169</v>
      </c>
      <c r="C72" s="11">
        <v>2.6680770816606629</v>
      </c>
      <c r="D72" s="11">
        <f t="shared" si="50"/>
        <v>0.88640877231194604</v>
      </c>
      <c r="E72" s="11">
        <v>1.3258476365763725</v>
      </c>
      <c r="F72" s="11">
        <f t="shared" si="51"/>
        <v>2.2122564088883188</v>
      </c>
      <c r="G72" s="200">
        <f t="shared" si="52"/>
        <v>3.7781124578688541E-2</v>
      </c>
      <c r="I72" s="11"/>
      <c r="J72" s="11"/>
      <c r="K72" s="11"/>
      <c r="L72" s="11"/>
      <c r="M72" s="11"/>
      <c r="N72" s="11"/>
      <c r="P72" s="11"/>
      <c r="Q72" s="11"/>
      <c r="R72" s="11"/>
      <c r="S72" s="341"/>
      <c r="T72" s="341"/>
      <c r="U72" s="341"/>
      <c r="X72" s="10"/>
      <c r="Y72" s="10"/>
      <c r="Z72" s="10"/>
      <c r="AA72" s="345"/>
      <c r="AB72" s="10"/>
      <c r="AC72" s="345"/>
      <c r="AD72" s="348"/>
    </row>
    <row r="73" spans="1:30" x14ac:dyDescent="0.2">
      <c r="A73" t="str">
        <f t="shared" si="49"/>
        <v>33 Protective service occupations</v>
      </c>
      <c r="B73" s="11">
        <v>0.77948156383253531</v>
      </c>
      <c r="C73" s="11">
        <v>1.5875528292137036</v>
      </c>
      <c r="D73" s="11">
        <f t="shared" si="50"/>
        <v>0.80807126538116825</v>
      </c>
      <c r="E73" s="11">
        <v>0.40064820632835663</v>
      </c>
      <c r="F73" s="11">
        <f t="shared" si="51"/>
        <v>1.2087194717095249</v>
      </c>
      <c r="G73" s="200">
        <f t="shared" si="52"/>
        <v>2.8035853405828037E-2</v>
      </c>
      <c r="I73" s="87" t="str">
        <f>name!F9</f>
        <v>RQF3 A level &amp; equivalent</v>
      </c>
      <c r="J73" s="11"/>
      <c r="K73" s="11"/>
      <c r="L73" s="11"/>
      <c r="M73" s="11"/>
      <c r="N73" s="11"/>
      <c r="P73" s="11"/>
      <c r="Q73" s="11"/>
      <c r="R73" s="11"/>
      <c r="S73" s="341"/>
      <c r="T73" s="341"/>
      <c r="U73" s="341"/>
      <c r="X73" s="10"/>
      <c r="Y73" s="10"/>
      <c r="Z73" s="10"/>
      <c r="AA73" s="345"/>
      <c r="AB73" s="10"/>
      <c r="AC73" s="345"/>
      <c r="AD73" s="348"/>
    </row>
    <row r="74" spans="1:30" x14ac:dyDescent="0.2">
      <c r="A74" t="str">
        <f t="shared" si="49"/>
        <v>34 Culture, media and sports occupations</v>
      </c>
      <c r="B74" s="11">
        <v>4.5764868373611334</v>
      </c>
      <c r="C74" s="11">
        <v>6.6437755773543312</v>
      </c>
      <c r="D74" s="11">
        <f t="shared" ref="D74:D75" si="56">C74-B74</f>
        <v>2.0672887399931978</v>
      </c>
      <c r="E74" s="11">
        <v>2.9088683783060838</v>
      </c>
      <c r="F74" s="11">
        <f t="shared" ref="F74:F75" si="57">SUM(D74:E74)</f>
        <v>4.9761571182992821</v>
      </c>
      <c r="G74" s="200">
        <f t="shared" si="52"/>
        <v>3.3345009632080425E-2</v>
      </c>
      <c r="I74" s="11" t="str">
        <f>I63</f>
        <v>Managers, directors and senior officials</v>
      </c>
      <c r="J74" s="11">
        <f t="array" ref="J74:J82">MMULT(aggregation!$B$13:$AA$21,B181:B206)</f>
        <v>19.04430213125794</v>
      </c>
      <c r="K74" s="11">
        <f t="array" ref="K74:K82">MMULT(aggregation!$B$13:$AA$21,C181:C206)</f>
        <v>19.230372962586799</v>
      </c>
      <c r="L74" s="11">
        <f t="array" ref="L74:L82">MMULT(aggregation!$B$13:$AA$21,D181:D206)</f>
        <v>0.18607083132885816</v>
      </c>
      <c r="M74" s="11">
        <f t="array" ref="M74:M82">MMULT(aggregation!$B$13:$AA$21,E181:E206)</f>
        <v>8.5555549921209266</v>
      </c>
      <c r="N74" s="11">
        <f t="array" ref="N74:N82">MMULT(aggregation!$B$13:$AA$21,F181:F206)</f>
        <v>8.7416258234497839</v>
      </c>
      <c r="P74" s="11"/>
      <c r="Q74" s="11"/>
      <c r="R74" s="11"/>
      <c r="S74" s="341"/>
      <c r="T74" s="341"/>
      <c r="U74" s="341"/>
      <c r="X74" s="10"/>
      <c r="Y74" s="10"/>
      <c r="Z74" s="10"/>
      <c r="AA74" s="345"/>
      <c r="AB74" s="10"/>
      <c r="AC74" s="345"/>
      <c r="AD74" s="348"/>
    </row>
    <row r="75" spans="1:30" x14ac:dyDescent="0.2">
      <c r="A75" t="str">
        <f t="shared" si="49"/>
        <v>35 Business and public service associate professionals</v>
      </c>
      <c r="B75" s="11">
        <v>9.0840069192327313</v>
      </c>
      <c r="C75" s="11">
        <v>12.384506028844941</v>
      </c>
      <c r="D75" s="11">
        <f t="shared" si="56"/>
        <v>3.3004991096122094</v>
      </c>
      <c r="E75" s="11">
        <v>5.2774853130576611</v>
      </c>
      <c r="F75" s="11">
        <f t="shared" si="57"/>
        <v>8.5779844226698714</v>
      </c>
      <c r="G75" s="200">
        <f t="shared" si="52"/>
        <v>3.1006668024991413E-2</v>
      </c>
      <c r="I75" s="11" t="str">
        <f>I64</f>
        <v>Professional occupations</v>
      </c>
      <c r="J75" s="11">
        <v>20.499911780531477</v>
      </c>
      <c r="K75" s="11">
        <v>21.482671518618574</v>
      </c>
      <c r="L75" s="11">
        <v>0.98275973808710182</v>
      </c>
      <c r="M75" s="11">
        <v>8.4708002194428538</v>
      </c>
      <c r="N75" s="11">
        <v>9.4535599575299543</v>
      </c>
      <c r="P75" s="11"/>
      <c r="Q75" s="11"/>
      <c r="R75" s="11"/>
      <c r="S75" s="341"/>
      <c r="T75" s="341"/>
      <c r="U75" s="341"/>
      <c r="X75" s="10"/>
      <c r="Y75" s="10"/>
      <c r="Z75" s="10"/>
      <c r="AA75" s="345"/>
      <c r="AB75" s="10"/>
      <c r="AC75" s="345"/>
      <c r="AD75" s="348"/>
    </row>
    <row r="76" spans="1:30" x14ac:dyDescent="0.2">
      <c r="A76" t="str">
        <f t="shared" si="49"/>
        <v>41 Administrative occupations</v>
      </c>
      <c r="B76" s="11">
        <v>5.3416793014230972</v>
      </c>
      <c r="C76" s="11">
        <v>7.7432228688783367</v>
      </c>
      <c r="D76" s="11">
        <f t="shared" si="50"/>
        <v>2.4015435674552394</v>
      </c>
      <c r="E76" s="11">
        <v>3.4960216947008504</v>
      </c>
      <c r="F76" s="11">
        <f t="shared" si="51"/>
        <v>5.8975652621560899</v>
      </c>
      <c r="G76" s="200">
        <f t="shared" si="52"/>
        <v>3.4135466579224394E-2</v>
      </c>
      <c r="I76" s="11" t="str">
        <f>I65</f>
        <v>Associate professional occupations</v>
      </c>
      <c r="J76" s="11">
        <v>21.064169076370543</v>
      </c>
      <c r="K76" s="11">
        <v>18.790788243359948</v>
      </c>
      <c r="L76" s="11">
        <v>-2.2733808330105933</v>
      </c>
      <c r="M76" s="11">
        <v>8.1134712527100952</v>
      </c>
      <c r="N76" s="11">
        <v>5.8400904196995018</v>
      </c>
      <c r="P76" s="11"/>
      <c r="Q76" s="11"/>
      <c r="R76" s="11"/>
      <c r="S76" s="341"/>
      <c r="T76" s="341"/>
      <c r="U76" s="341"/>
      <c r="X76" s="10"/>
      <c r="Y76" s="10"/>
      <c r="Z76" s="10"/>
      <c r="AA76" s="345"/>
      <c r="AB76" s="10"/>
      <c r="AC76" s="345"/>
      <c r="AD76" s="348"/>
    </row>
    <row r="77" spans="1:30" x14ac:dyDescent="0.2">
      <c r="A77" t="str">
        <f t="shared" si="49"/>
        <v>42 Secretarial and related occupations</v>
      </c>
      <c r="B77" s="11">
        <v>0.99994224353325756</v>
      </c>
      <c r="C77" s="11">
        <v>1.84910907007181</v>
      </c>
      <c r="D77" s="11">
        <f t="shared" si="50"/>
        <v>0.84916682653855247</v>
      </c>
      <c r="E77" s="11">
        <v>0.91730863236934135</v>
      </c>
      <c r="F77" s="11">
        <f t="shared" si="51"/>
        <v>1.7664754589078937</v>
      </c>
      <c r="G77" s="200">
        <f t="shared" si="52"/>
        <v>4.435207810979791E-2</v>
      </c>
      <c r="I77" s="11" t="str">
        <f>I66</f>
        <v>Administrative and secretarial occupations</v>
      </c>
      <c r="J77" s="11">
        <v>18.399101406452555</v>
      </c>
      <c r="K77" s="11">
        <v>10.177499885507402</v>
      </c>
      <c r="L77" s="11">
        <v>-8.2216015209451516</v>
      </c>
      <c r="M77" s="11">
        <v>7.1140921530697581</v>
      </c>
      <c r="N77" s="11">
        <v>-1.1075093678753942</v>
      </c>
      <c r="P77" s="11"/>
      <c r="Q77" s="11"/>
      <c r="R77" s="11"/>
      <c r="S77" s="341"/>
      <c r="T77" s="341"/>
      <c r="U77" s="341"/>
      <c r="X77" s="10"/>
      <c r="Y77" s="10"/>
      <c r="Z77" s="10"/>
      <c r="AA77" s="345"/>
      <c r="AB77" s="10"/>
      <c r="AC77" s="345"/>
      <c r="AD77" s="348"/>
    </row>
    <row r="78" spans="1:30" x14ac:dyDescent="0.2">
      <c r="A78" t="str">
        <f t="shared" si="49"/>
        <v>51 Skilled agricultural and related trades</v>
      </c>
      <c r="B78" s="11">
        <v>0.15417272912254762</v>
      </c>
      <c r="C78" s="11">
        <v>0.2320796421534643</v>
      </c>
      <c r="D78" s="11">
        <f t="shared" si="50"/>
        <v>7.790691303091668E-2</v>
      </c>
      <c r="E78" s="11">
        <v>0.11170037915611725</v>
      </c>
      <c r="F78" s="11">
        <f t="shared" si="51"/>
        <v>0.18960729218703393</v>
      </c>
      <c r="G78" s="200">
        <f t="shared" si="52"/>
        <v>3.699769289582E-2</v>
      </c>
      <c r="I78" s="11" t="str">
        <f t="shared" ref="I78:I82" si="58">I67</f>
        <v>Skilled trades occupations</v>
      </c>
      <c r="J78" s="11">
        <v>22.760958845143417</v>
      </c>
      <c r="K78" s="11">
        <v>22.521226369578681</v>
      </c>
      <c r="L78" s="11">
        <v>-0.23973247556473321</v>
      </c>
      <c r="M78" s="11">
        <v>8.6249091406323597</v>
      </c>
      <c r="N78" s="11">
        <v>8.3851766650676272</v>
      </c>
      <c r="O78" s="71"/>
      <c r="P78" s="11"/>
      <c r="Q78" s="11"/>
      <c r="R78" s="11"/>
      <c r="S78" s="341"/>
      <c r="T78" s="341"/>
      <c r="U78" s="341"/>
      <c r="X78" s="10"/>
      <c r="Y78" s="10"/>
      <c r="Z78" s="10"/>
      <c r="AA78" s="345"/>
      <c r="AB78" s="10"/>
      <c r="AC78" s="345"/>
      <c r="AD78" s="348"/>
    </row>
    <row r="79" spans="1:30" x14ac:dyDescent="0.2">
      <c r="A79" t="str">
        <f t="shared" si="49"/>
        <v>52 Skilled metal, electrical and electronic trades</v>
      </c>
      <c r="B79" s="11">
        <v>0.70313211742098458</v>
      </c>
      <c r="C79" s="11">
        <v>1.5503967919052906</v>
      </c>
      <c r="D79" s="11">
        <f t="shared" si="50"/>
        <v>0.84726467448430598</v>
      </c>
      <c r="E79" s="11">
        <v>0.58626341774607771</v>
      </c>
      <c r="F79" s="11">
        <f t="shared" si="51"/>
        <v>1.4335280922303837</v>
      </c>
      <c r="G79" s="200">
        <f t="shared" si="52"/>
        <v>4.1253837691493933E-2</v>
      </c>
      <c r="I79" s="11" t="str">
        <f t="shared" si="58"/>
        <v>Caring, leisure and other service occupations</v>
      </c>
      <c r="J79" s="11">
        <v>26.100468768999388</v>
      </c>
      <c r="K79" s="11">
        <v>29.516633768421375</v>
      </c>
      <c r="L79" s="11">
        <v>3.4161649994219876</v>
      </c>
      <c r="M79" s="11">
        <v>15.210609708927107</v>
      </c>
      <c r="N79" s="11">
        <v>18.6267747083491</v>
      </c>
      <c r="X79" s="10"/>
      <c r="Y79" s="10"/>
      <c r="Z79" s="10"/>
      <c r="AA79" s="345"/>
      <c r="AB79" s="10"/>
      <c r="AC79" s="345"/>
      <c r="AD79" s="348"/>
    </row>
    <row r="80" spans="1:30" x14ac:dyDescent="0.2">
      <c r="A80" t="str">
        <f t="shared" si="49"/>
        <v>53 Skilled construction and building trades</v>
      </c>
      <c r="B80" s="11">
        <v>0.30469100637814667</v>
      </c>
      <c r="C80" s="11">
        <v>0.45532965238440692</v>
      </c>
      <c r="D80" s="11">
        <f t="shared" ref="D80" si="59">C80-B80</f>
        <v>0.15063864600626026</v>
      </c>
      <c r="E80" s="11">
        <v>0.19588190187734683</v>
      </c>
      <c r="F80" s="11">
        <f t="shared" ref="F80" si="60">SUM(D80:E80)</f>
        <v>0.34652054788360709</v>
      </c>
      <c r="G80" s="200">
        <f t="shared" si="52"/>
        <v>3.3650804690620539E-2</v>
      </c>
      <c r="I80" s="11" t="str">
        <f t="shared" si="58"/>
        <v>Sales and customer service occupations</v>
      </c>
      <c r="J80" s="11">
        <v>18.110434106218115</v>
      </c>
      <c r="K80" s="11">
        <v>18.576226043212444</v>
      </c>
      <c r="L80" s="11">
        <v>0.46579193699433086</v>
      </c>
      <c r="M80" s="11">
        <v>7.9919860431403649</v>
      </c>
      <c r="N80" s="11">
        <v>8.4577779801346953</v>
      </c>
      <c r="P80" s="85"/>
      <c r="Q80" s="74"/>
      <c r="R80" s="74"/>
      <c r="S80" s="342"/>
      <c r="T80" s="342"/>
      <c r="U80" s="342"/>
      <c r="X80" s="10"/>
      <c r="Y80" s="10"/>
      <c r="Z80" s="10"/>
      <c r="AA80" s="345"/>
      <c r="AB80" s="10"/>
      <c r="AC80" s="345"/>
      <c r="AD80" s="348"/>
    </row>
    <row r="81" spans="1:30" x14ac:dyDescent="0.2">
      <c r="A81" t="str">
        <f t="shared" si="49"/>
        <v>54 Textiles, printing and other skilled trades</v>
      </c>
      <c r="B81" s="11">
        <v>0.6594620863869437</v>
      </c>
      <c r="C81" s="11">
        <v>1.2101132825082774</v>
      </c>
      <c r="D81" s="11">
        <f t="shared" si="50"/>
        <v>0.55065119612133373</v>
      </c>
      <c r="E81" s="11">
        <v>0.52823686337523923</v>
      </c>
      <c r="F81" s="11">
        <f t="shared" si="51"/>
        <v>1.0788880594965731</v>
      </c>
      <c r="G81" s="200">
        <f t="shared" si="52"/>
        <v>4.0002626289938226E-2</v>
      </c>
      <c r="I81" s="11" t="str">
        <f t="shared" si="58"/>
        <v>Process, plant and machine operatives</v>
      </c>
      <c r="J81" s="11">
        <v>7.8532601905829758</v>
      </c>
      <c r="K81" s="11">
        <v>10.553029633559419</v>
      </c>
      <c r="L81" s="11">
        <v>2.6997694429764434</v>
      </c>
      <c r="M81" s="11">
        <v>4.3059994740855956</v>
      </c>
      <c r="N81" s="11">
        <v>7.0057689170620394</v>
      </c>
      <c r="P81" s="11"/>
      <c r="Q81" s="11"/>
      <c r="R81" s="11"/>
      <c r="S81" s="341"/>
      <c r="T81" s="341"/>
      <c r="U81" s="341"/>
      <c r="X81" s="10"/>
      <c r="Y81" s="10"/>
      <c r="Z81" s="10"/>
      <c r="AA81" s="345"/>
      <c r="AB81" s="10"/>
      <c r="AC81" s="345"/>
      <c r="AD81" s="348"/>
    </row>
    <row r="82" spans="1:30" x14ac:dyDescent="0.2">
      <c r="A82" t="str">
        <f t="shared" si="49"/>
        <v>61 Caring personal service occupations</v>
      </c>
      <c r="B82" s="11">
        <v>2.999527748141082</v>
      </c>
      <c r="C82" s="11">
        <v>5.3261763029660791</v>
      </c>
      <c r="D82" s="11">
        <f t="shared" si="50"/>
        <v>2.3266485548249971</v>
      </c>
      <c r="E82" s="11">
        <v>2.5487848961545629</v>
      </c>
      <c r="F82" s="11">
        <f t="shared" si="51"/>
        <v>4.8754334509795605</v>
      </c>
      <c r="G82" s="200">
        <f t="shared" si="52"/>
        <v>4.1854813981573091E-2</v>
      </c>
      <c r="I82" s="11" t="str">
        <f t="shared" si="58"/>
        <v>Elementary occupations</v>
      </c>
      <c r="J82" s="11">
        <v>16.517630328747899</v>
      </c>
      <c r="K82" s="11">
        <v>16.267832759685199</v>
      </c>
      <c r="L82" s="11">
        <v>-0.24979756906270034</v>
      </c>
      <c r="M82" s="11">
        <v>7.9938889341449979</v>
      </c>
      <c r="N82" s="11">
        <v>7.7440913650822969</v>
      </c>
      <c r="P82" s="11"/>
      <c r="Q82" s="11"/>
      <c r="R82" s="11"/>
      <c r="S82" s="341"/>
      <c r="T82" s="341"/>
      <c r="U82" s="341"/>
      <c r="X82" s="10"/>
      <c r="Y82" s="10"/>
      <c r="Z82" s="10"/>
      <c r="AA82" s="345"/>
      <c r="AB82" s="10"/>
      <c r="AC82" s="345"/>
      <c r="AD82" s="354"/>
    </row>
    <row r="83" spans="1:30" x14ac:dyDescent="0.2">
      <c r="A83" t="str">
        <f t="shared" si="49"/>
        <v>62 Leisure, travel and related personal service occupations</v>
      </c>
      <c r="B83" s="11">
        <v>0.5754392294059455</v>
      </c>
      <c r="C83" s="11">
        <v>0.94355179509805609</v>
      </c>
      <c r="D83" s="11">
        <f t="shared" ref="D83:D84" si="61">C83-B83</f>
        <v>0.36811256569211059</v>
      </c>
      <c r="E83" s="11">
        <v>0.43577124245972626</v>
      </c>
      <c r="F83" s="11">
        <f t="shared" ref="F83:F84" si="62">SUM(D83:E83)</f>
        <v>0.80388380815183691</v>
      </c>
      <c r="G83" s="200">
        <f t="shared" si="52"/>
        <v>3.8299885640976861E-2</v>
      </c>
      <c r="I83" s="11"/>
      <c r="J83" s="11"/>
      <c r="K83" s="11"/>
      <c r="L83" s="11"/>
      <c r="M83" s="11"/>
      <c r="N83" s="11"/>
      <c r="P83" s="11"/>
      <c r="Q83" s="11"/>
      <c r="R83" s="11"/>
      <c r="S83" s="341"/>
      <c r="T83" s="341"/>
      <c r="U83" s="341"/>
    </row>
    <row r="84" spans="1:30" x14ac:dyDescent="0.2">
      <c r="A84" t="str">
        <f t="shared" si="49"/>
        <v>63 Community and civil enforcement occupations</v>
      </c>
      <c r="B84" s="11">
        <v>4.9855972069987077E-2</v>
      </c>
      <c r="C84" s="11">
        <v>6.2418363772746246E-2</v>
      </c>
      <c r="D84" s="11">
        <f t="shared" si="61"/>
        <v>1.2562391702759169E-2</v>
      </c>
      <c r="E84" s="11">
        <v>2.7038295381581211E-2</v>
      </c>
      <c r="F84" s="11">
        <f t="shared" si="62"/>
        <v>3.9600687084340377E-2</v>
      </c>
      <c r="G84" s="200">
        <f t="shared" si="52"/>
        <v>2.9307455243439362E-2</v>
      </c>
      <c r="I84" s="87" t="str">
        <f>name!F10</f>
        <v>RQF2 GCSE(A-C) &amp; equivalent</v>
      </c>
      <c r="J84" s="11"/>
      <c r="K84" s="11"/>
      <c r="L84" s="11"/>
      <c r="M84" s="11"/>
      <c r="N84" s="11"/>
      <c r="P84" s="11"/>
      <c r="Q84" s="11"/>
      <c r="R84" s="11"/>
      <c r="S84" s="341"/>
      <c r="T84" s="341"/>
      <c r="U84" s="341"/>
    </row>
    <row r="85" spans="1:30" x14ac:dyDescent="0.2">
      <c r="A85" t="str">
        <f t="shared" si="49"/>
        <v>71 Sales occupations</v>
      </c>
      <c r="B85" s="11">
        <v>2.2810445165757165</v>
      </c>
      <c r="C85" s="11">
        <v>3.5787006518469529</v>
      </c>
      <c r="D85" s="11">
        <f t="shared" si="50"/>
        <v>1.2976561352712364</v>
      </c>
      <c r="E85" s="11">
        <v>1.3892905604378776</v>
      </c>
      <c r="F85" s="11">
        <f t="shared" si="51"/>
        <v>2.6869466957091142</v>
      </c>
      <c r="G85" s="200">
        <f t="shared" si="52"/>
        <v>3.2218084246266265E-2</v>
      </c>
      <c r="I85" s="11" t="str">
        <f>I74</f>
        <v>Managers, directors and senior officials</v>
      </c>
      <c r="J85" s="11">
        <f t="array" ref="J85:J93">MMULT(aggregation!$B$13:$AA$21,B210:B235)</f>
        <v>15.20968456468194</v>
      </c>
      <c r="K85" s="11">
        <f t="array" ref="K85:K93">MMULT(aggregation!$B$13:$AA$21,C210:C235)</f>
        <v>13.781421626003143</v>
      </c>
      <c r="L85" s="11">
        <f t="array" ref="L85:L93">MMULT(aggregation!$B$13:$AA$21,D210:D235)</f>
        <v>-1.4282629386787971</v>
      </c>
      <c r="M85" s="11">
        <f t="array" ref="M85:M93">MMULT(aggregation!$B$13:$AA$21,E210:E235)</f>
        <v>7.1851482366113792</v>
      </c>
      <c r="N85" s="11">
        <f t="array" ref="N85:N93">MMULT(aggregation!$B$13:$AA$21,F210:F235)</f>
        <v>5.7568852979325813</v>
      </c>
      <c r="P85" s="11"/>
      <c r="Q85" s="11"/>
      <c r="R85" s="11"/>
      <c r="S85" s="341"/>
      <c r="T85" s="341"/>
      <c r="U85" s="341"/>
    </row>
    <row r="86" spans="1:30" x14ac:dyDescent="0.2">
      <c r="A86" t="str">
        <f t="shared" si="49"/>
        <v>72 Customer service occupations</v>
      </c>
      <c r="B86" s="11">
        <v>0.72677774398118333</v>
      </c>
      <c r="C86" s="11">
        <v>1.5225862280742573</v>
      </c>
      <c r="D86" s="11">
        <f t="shared" si="50"/>
        <v>0.79580848409307392</v>
      </c>
      <c r="E86" s="11">
        <v>0.58416540573724907</v>
      </c>
      <c r="F86" s="11">
        <f t="shared" si="51"/>
        <v>1.3799738898303229</v>
      </c>
      <c r="G86" s="200">
        <f t="shared" si="52"/>
        <v>4.0108908077705729E-2</v>
      </c>
      <c r="I86" s="11" t="str">
        <f>I75</f>
        <v>Professional occupations</v>
      </c>
      <c r="J86" s="11">
        <v>13.84670598273722</v>
      </c>
      <c r="K86" s="11">
        <v>12.126563776324183</v>
      </c>
      <c r="L86" s="11">
        <v>-1.7201422064130374</v>
      </c>
      <c r="M86" s="11">
        <v>5.2178418535655355</v>
      </c>
      <c r="N86" s="11">
        <v>3.4976996471524977</v>
      </c>
      <c r="P86" s="11"/>
      <c r="Q86" s="11"/>
      <c r="R86" s="11"/>
      <c r="S86" s="341"/>
      <c r="T86" s="341"/>
      <c r="U86" s="341"/>
    </row>
    <row r="87" spans="1:30" x14ac:dyDescent="0.2">
      <c r="A87" t="str">
        <f t="shared" si="49"/>
        <v>81 Process, plant and machine operatives</v>
      </c>
      <c r="B87" s="11">
        <v>0.20691050615883391</v>
      </c>
      <c r="C87" s="11">
        <v>0.5066656449217638</v>
      </c>
      <c r="D87" s="11">
        <f t="shared" ref="D87:D88" si="63">C87-B87</f>
        <v>0.29975513876292992</v>
      </c>
      <c r="E87" s="11">
        <v>0.17045905279435897</v>
      </c>
      <c r="F87" s="11">
        <f t="shared" ref="F87:F88" si="64">SUM(D87:E87)</f>
        <v>0.47021419155728889</v>
      </c>
      <c r="G87" s="200">
        <f t="shared" si="52"/>
        <v>4.0875903742779052E-2</v>
      </c>
      <c r="I87" s="11" t="str">
        <f>I76</f>
        <v>Associate professional occupations</v>
      </c>
      <c r="J87" s="11">
        <v>15.200319624416412</v>
      </c>
      <c r="K87" s="11">
        <v>11.585524496181002</v>
      </c>
      <c r="L87" s="11">
        <v>-3.6147951282354089</v>
      </c>
      <c r="M87" s="11">
        <v>5.0990883543151808</v>
      </c>
      <c r="N87" s="11">
        <v>1.4842932260797719</v>
      </c>
      <c r="P87" s="11"/>
      <c r="Q87" s="11"/>
      <c r="R87" s="11"/>
      <c r="S87" s="341"/>
      <c r="T87" s="341"/>
      <c r="U87" s="341"/>
    </row>
    <row r="88" spans="1:30" x14ac:dyDescent="0.2">
      <c r="A88" t="str">
        <f t="shared" si="49"/>
        <v>82 Transport and mobile machine drivers and operatives</v>
      </c>
      <c r="B88" s="11">
        <v>0.61167539261485904</v>
      </c>
      <c r="C88" s="11">
        <v>1.0590185582706746</v>
      </c>
      <c r="D88" s="11">
        <f t="shared" si="63"/>
        <v>0.44734316565581556</v>
      </c>
      <c r="E88" s="11">
        <v>0.5390002873823917</v>
      </c>
      <c r="F88" s="11">
        <f t="shared" si="64"/>
        <v>0.98634345303820725</v>
      </c>
      <c r="G88" s="200">
        <f t="shared" si="52"/>
        <v>4.3026785890384112E-2</v>
      </c>
      <c r="I88" s="11" t="str">
        <f>I77</f>
        <v>Administrative and secretarial occupations</v>
      </c>
      <c r="J88" s="11">
        <v>18.505769856793957</v>
      </c>
      <c r="K88" s="11">
        <v>8.5319789991511588</v>
      </c>
      <c r="L88" s="11">
        <v>-9.9737908576427987</v>
      </c>
      <c r="M88" s="11">
        <v>5.6173869419338383</v>
      </c>
      <c r="N88" s="11">
        <v>-4.3564039157089613</v>
      </c>
      <c r="P88" s="11"/>
      <c r="Q88" s="11"/>
      <c r="R88" s="11"/>
      <c r="S88" s="341"/>
      <c r="T88" s="341"/>
      <c r="U88" s="341"/>
    </row>
    <row r="89" spans="1:30" x14ac:dyDescent="0.2">
      <c r="A89" t="str">
        <f t="shared" si="49"/>
        <v>91 Elementary trades and related occupations</v>
      </c>
      <c r="B89" s="11">
        <v>0.12279038930677916</v>
      </c>
      <c r="C89" s="11">
        <v>0.1788237610841332</v>
      </c>
      <c r="D89" s="11">
        <f t="shared" si="50"/>
        <v>5.6033371777354041E-2</v>
      </c>
      <c r="E89" s="11">
        <v>6.8308299031170611E-2</v>
      </c>
      <c r="F89" s="11">
        <f t="shared" si="51"/>
        <v>0.12434167080852465</v>
      </c>
      <c r="G89" s="200">
        <f t="shared" si="52"/>
        <v>2.9926474644491163E-2</v>
      </c>
      <c r="I89" s="11" t="str">
        <f t="shared" ref="I89:I93" si="65">I78</f>
        <v>Skilled trades occupations</v>
      </c>
      <c r="J89" s="11">
        <v>17.307226630540256</v>
      </c>
      <c r="K89" s="11">
        <v>16.358745820388517</v>
      </c>
      <c r="L89" s="11">
        <v>-0.94848081015174035</v>
      </c>
      <c r="M89" s="11">
        <v>7.0719344347406414</v>
      </c>
      <c r="N89" s="11">
        <v>6.1234536245889011</v>
      </c>
      <c r="P89" s="11"/>
      <c r="Q89" s="11"/>
      <c r="R89" s="11"/>
      <c r="S89" s="341"/>
      <c r="T89" s="341"/>
      <c r="U89" s="341"/>
    </row>
    <row r="90" spans="1:30" x14ac:dyDescent="0.2">
      <c r="A90" t="str">
        <f t="shared" si="49"/>
        <v>92 Elementary administration and service occupations</v>
      </c>
      <c r="B90" s="11">
        <v>2.2148429006617509</v>
      </c>
      <c r="C90" s="11">
        <v>4.1876785316611924</v>
      </c>
      <c r="D90" s="11">
        <f t="shared" ref="D90" si="66">C90-B90</f>
        <v>1.9728356309994415</v>
      </c>
      <c r="E90" s="11">
        <v>1.8435606538897189</v>
      </c>
      <c r="F90" s="11">
        <f t="shared" ref="F90" si="67">SUM(D90:E90)</f>
        <v>3.8163962848891604</v>
      </c>
      <c r="G90" s="200">
        <f t="shared" ref="G90:G91" si="68">IF(B90&gt;0,(1+(E90/B90))^(1/($C$6-$B$6))-1,0)</f>
        <v>4.1199985789262872E-2</v>
      </c>
      <c r="I90" s="11" t="str">
        <f t="shared" si="65"/>
        <v>Caring, leisure and other service occupations</v>
      </c>
      <c r="J90" s="11">
        <v>17.859776113199214</v>
      </c>
      <c r="K90" s="11">
        <v>14.403576208893663</v>
      </c>
      <c r="L90" s="11">
        <v>-3.4561999043055507</v>
      </c>
      <c r="M90" s="11">
        <v>7.6030631808704365</v>
      </c>
      <c r="N90" s="11">
        <v>4.1468632765648863</v>
      </c>
      <c r="P90" s="11"/>
      <c r="Q90" s="11"/>
      <c r="R90" s="11"/>
      <c r="S90" s="341"/>
      <c r="T90" s="341"/>
      <c r="U90" s="341"/>
    </row>
    <row r="91" spans="1:30" x14ac:dyDescent="0.2">
      <c r="A91" t="str">
        <f t="shared" si="49"/>
        <v>All occupations</v>
      </c>
      <c r="B91" s="11">
        <f>SUM(B65:B90)</f>
        <v>112.22082333054647</v>
      </c>
      <c r="C91" s="11">
        <f t="shared" ref="C91:F91" si="69">SUM(C65:C90)</f>
        <v>166.10036253535046</v>
      </c>
      <c r="D91" s="11">
        <f t="shared" si="69"/>
        <v>53.879539204803976</v>
      </c>
      <c r="E91" s="11">
        <f t="shared" si="69"/>
        <v>71.314562787774051</v>
      </c>
      <c r="F91" s="11">
        <f t="shared" si="69"/>
        <v>125.19410199257807</v>
      </c>
      <c r="G91" s="200">
        <f t="shared" si="68"/>
        <v>3.3339642155039817E-2</v>
      </c>
      <c r="I91" s="11" t="str">
        <f t="shared" si="65"/>
        <v>Sales and customer service occupations</v>
      </c>
      <c r="J91" s="11">
        <v>15.514348949063908</v>
      </c>
      <c r="K91" s="11">
        <v>12.15381506554804</v>
      </c>
      <c r="L91" s="11">
        <v>-3.3605338835158691</v>
      </c>
      <c r="M91" s="11">
        <v>6.0067259749910633</v>
      </c>
      <c r="N91" s="11">
        <v>2.6461920914751937</v>
      </c>
      <c r="P91" s="11"/>
      <c r="Q91" s="11"/>
      <c r="R91" s="11"/>
      <c r="S91" s="341"/>
      <c r="T91" s="341"/>
      <c r="U91" s="341"/>
    </row>
    <row r="92" spans="1:30" x14ac:dyDescent="0.2">
      <c r="B92" s="11"/>
      <c r="C92" s="11"/>
      <c r="D92" s="11"/>
      <c r="E92" s="11"/>
      <c r="F92" s="11"/>
      <c r="G92" s="11"/>
      <c r="I92" s="11" t="str">
        <f t="shared" si="65"/>
        <v>Process, plant and machine operatives</v>
      </c>
      <c r="J92" s="11">
        <v>9.7546466184100122</v>
      </c>
      <c r="K92" s="11">
        <v>11.091972869288963</v>
      </c>
      <c r="L92" s="11">
        <v>1.337326250878951</v>
      </c>
      <c r="M92" s="11">
        <v>5.2739622207173129</v>
      </c>
      <c r="N92" s="11">
        <v>6.6112884715962634</v>
      </c>
      <c r="P92" s="11"/>
      <c r="Q92" s="11"/>
      <c r="R92" s="11"/>
      <c r="S92" s="341"/>
      <c r="T92" s="341"/>
      <c r="U92" s="341"/>
    </row>
    <row r="93" spans="1:30" ht="38.25" x14ac:dyDescent="0.2">
      <c r="A93" s="201" t="str">
        <f>CONCATENATE(name!F6," (Constrained)")</f>
        <v>RQF6 First degree (Constrained)</v>
      </c>
      <c r="B93" s="88">
        <f t="shared" ref="B93:G93" si="70">B6</f>
        <v>2020</v>
      </c>
      <c r="C93" s="88">
        <f t="shared" si="70"/>
        <v>2035</v>
      </c>
      <c r="D93" s="88" t="str">
        <f t="shared" si="70"/>
        <v>Net Change</v>
      </c>
      <c r="E93" s="88" t="str">
        <f t="shared" si="70"/>
        <v>Replacement Demand level</v>
      </c>
      <c r="F93" s="88" t="str">
        <f t="shared" si="70"/>
        <v>Total Requirement</v>
      </c>
      <c r="G93" s="88" t="str">
        <f t="shared" si="70"/>
        <v>Replacement Demand rate</v>
      </c>
      <c r="I93" s="11" t="str">
        <f t="shared" si="65"/>
        <v>Elementary occupations</v>
      </c>
      <c r="J93" s="11">
        <v>23.48699530316896</v>
      </c>
      <c r="K93" s="11">
        <v>21.812525772544824</v>
      </c>
      <c r="L93" s="11">
        <v>-1.6744695306241355</v>
      </c>
      <c r="M93" s="11">
        <v>10.589356301663246</v>
      </c>
      <c r="N93" s="11">
        <v>8.9148867710391109</v>
      </c>
      <c r="P93" s="11"/>
      <c r="Q93" s="11"/>
      <c r="R93" s="11"/>
      <c r="S93" s="341"/>
      <c r="T93" s="341"/>
      <c r="U93" s="341"/>
    </row>
    <row r="94" spans="1:30" x14ac:dyDescent="0.2">
      <c r="A94" t="str">
        <f t="shared" ref="A94:A120" si="71">A7</f>
        <v>11 Corporate managers and directors</v>
      </c>
      <c r="B94" s="11">
        <v>23.685473083806109</v>
      </c>
      <c r="C94" s="11">
        <v>26.191775369493467</v>
      </c>
      <c r="D94" s="11">
        <f>C94-B94</f>
        <v>2.506302285687358</v>
      </c>
      <c r="E94" s="11">
        <v>13.711126898060591</v>
      </c>
      <c r="F94" s="11">
        <f>SUM(D94:E94)</f>
        <v>16.217429183747949</v>
      </c>
      <c r="G94" s="200">
        <f>IF(B94&gt;0,(1+(E94/B94))^(1/($C$6-$B$6))-1,0)</f>
        <v>3.0916135343471041E-2</v>
      </c>
      <c r="I94" s="85"/>
      <c r="J94" s="74"/>
      <c r="K94" s="74"/>
      <c r="L94" s="72"/>
      <c r="M94" s="72"/>
      <c r="N94" s="72"/>
      <c r="P94" s="11"/>
      <c r="Q94" s="11"/>
      <c r="R94" s="11"/>
      <c r="S94" s="341"/>
      <c r="T94" s="341"/>
      <c r="U94" s="341"/>
    </row>
    <row r="95" spans="1:30" x14ac:dyDescent="0.2">
      <c r="A95" t="str">
        <f t="shared" si="71"/>
        <v>12 Other managers and proprietors</v>
      </c>
      <c r="B95" s="11">
        <v>7.6546378168647315</v>
      </c>
      <c r="C95" s="11">
        <v>12.343306163848801</v>
      </c>
      <c r="D95" s="11">
        <f t="shared" ref="D95:D118" si="72">C95-B95</f>
        <v>4.6886683469840698</v>
      </c>
      <c r="E95" s="11">
        <v>6.7259353940827218</v>
      </c>
      <c r="F95" s="11">
        <f t="shared" ref="F95:F118" si="73">SUM(D95:E95)</f>
        <v>11.414603741066792</v>
      </c>
      <c r="G95" s="200">
        <f t="shared" ref="G95:G120" si="74">IF(B95&gt;0,(1+(E95/B95))^(1/($C$6-$B$6))-1,0)</f>
        <v>4.2933866035897328E-2</v>
      </c>
      <c r="I95" s="87" t="str">
        <f>name!F11</f>
        <v>RQF1 GCSE(below grade C) &amp; equivalent</v>
      </c>
      <c r="J95" s="11"/>
      <c r="K95" s="11"/>
      <c r="L95" s="11"/>
      <c r="M95" s="11"/>
      <c r="N95" s="11"/>
      <c r="P95" s="11"/>
      <c r="Q95" s="11"/>
      <c r="R95" s="11"/>
      <c r="S95" s="341"/>
      <c r="T95" s="341"/>
      <c r="U95" s="341"/>
    </row>
    <row r="96" spans="1:30" x14ac:dyDescent="0.2">
      <c r="A96" t="str">
        <f t="shared" si="71"/>
        <v>21 Science, research, engineering and technology professionals</v>
      </c>
      <c r="B96" s="11">
        <v>24.627521670016844</v>
      </c>
      <c r="C96" s="11">
        <v>27.164272798180747</v>
      </c>
      <c r="D96" s="11">
        <f t="shared" si="72"/>
        <v>2.5367511281639032</v>
      </c>
      <c r="E96" s="11">
        <v>10.429349377211039</v>
      </c>
      <c r="F96" s="11">
        <f t="shared" si="73"/>
        <v>12.966100505374943</v>
      </c>
      <c r="G96" s="200">
        <f t="shared" si="74"/>
        <v>2.3819733564803602E-2</v>
      </c>
      <c r="I96" s="11" t="str">
        <f>I85</f>
        <v>Managers, directors and senior officials</v>
      </c>
      <c r="J96" s="11">
        <f t="array" ref="J96:J104">MMULT(aggregation!$B$13:$AA$21,B239:B264)</f>
        <v>9.1713316997052647</v>
      </c>
      <c r="K96" s="11">
        <f t="array" ref="K96:K104">MMULT(aggregation!$B$13:$AA$21,C239:C264)</f>
        <v>7.4462199258655826</v>
      </c>
      <c r="L96" s="11">
        <f t="array" ref="L96:L104">MMULT(aggregation!$B$13:$AA$21,D239:D264)</f>
        <v>-1.7251117738396826</v>
      </c>
      <c r="M96" s="11">
        <f t="array" ref="M96:M104">MMULT(aggregation!$B$13:$AA$21,E239:E264)</f>
        <v>3.830701707600527</v>
      </c>
      <c r="N96" s="11">
        <f t="array" ref="N96:N104">MMULT(aggregation!$B$13:$AA$21,F239:F264)</f>
        <v>2.1055899337608448</v>
      </c>
      <c r="P96" s="11"/>
      <c r="Q96" s="11"/>
      <c r="R96" s="11"/>
      <c r="S96" s="341"/>
      <c r="T96" s="341"/>
      <c r="U96" s="341"/>
    </row>
    <row r="97" spans="1:21" x14ac:dyDescent="0.2">
      <c r="A97" t="str">
        <f t="shared" si="71"/>
        <v>22 Health professionals</v>
      </c>
      <c r="B97" s="11">
        <v>12.47714033470529</v>
      </c>
      <c r="C97" s="11">
        <v>15.076619923972487</v>
      </c>
      <c r="D97" s="11">
        <f t="shared" si="72"/>
        <v>2.5994795892671974</v>
      </c>
      <c r="E97" s="11">
        <v>8.0284042056137945</v>
      </c>
      <c r="F97" s="11">
        <f t="shared" si="73"/>
        <v>10.627883794880992</v>
      </c>
      <c r="G97" s="200">
        <f t="shared" si="74"/>
        <v>3.3674374152768749E-2</v>
      </c>
      <c r="I97" s="11" t="str">
        <f>I86</f>
        <v>Professional occupations</v>
      </c>
      <c r="J97" s="11">
        <v>8.1907589335565998</v>
      </c>
      <c r="K97" s="11">
        <v>6.2710476434431284</v>
      </c>
      <c r="L97" s="11">
        <v>-1.9197112901134719</v>
      </c>
      <c r="M97" s="11">
        <v>2.8098814754833468</v>
      </c>
      <c r="N97" s="11">
        <v>0.8901701853698748</v>
      </c>
      <c r="P97" s="11"/>
      <c r="Q97" s="11"/>
      <c r="R97" s="11"/>
      <c r="S97" s="341"/>
      <c r="T97" s="341"/>
      <c r="U97" s="341"/>
    </row>
    <row r="98" spans="1:21" x14ac:dyDescent="0.2">
      <c r="A98" t="str">
        <f t="shared" si="71"/>
        <v>23 Teaching and other educational professionals</v>
      </c>
      <c r="B98" s="11">
        <v>11.073205505832906</v>
      </c>
      <c r="C98" s="11">
        <v>8.7817535666512416</v>
      </c>
      <c r="D98" s="11">
        <f t="shared" ref="D98" si="75">C98-B98</f>
        <v>-2.2914519391816643</v>
      </c>
      <c r="E98" s="11">
        <v>5.0276502271047203</v>
      </c>
      <c r="F98" s="11">
        <f t="shared" ref="F98" si="76">SUM(D98:E98)</f>
        <v>2.736198287923056</v>
      </c>
      <c r="G98" s="200">
        <f t="shared" si="74"/>
        <v>2.5270291307324166E-2</v>
      </c>
      <c r="I98" s="11" t="str">
        <f>I87</f>
        <v>Associate professional occupations</v>
      </c>
      <c r="J98" s="11">
        <v>8.6141759313642066</v>
      </c>
      <c r="K98" s="11">
        <v>5.4549060425236586</v>
      </c>
      <c r="L98" s="11">
        <v>-3.1592698888405479</v>
      </c>
      <c r="M98" s="11">
        <v>2.5376602292181705</v>
      </c>
      <c r="N98" s="11">
        <v>-0.62160965962237769</v>
      </c>
      <c r="P98" s="11"/>
      <c r="Q98" s="11"/>
      <c r="R98" s="11"/>
      <c r="S98" s="341"/>
      <c r="T98" s="341"/>
      <c r="U98" s="341"/>
    </row>
    <row r="99" spans="1:21" x14ac:dyDescent="0.2">
      <c r="A99" t="str">
        <f t="shared" si="71"/>
        <v>24 Business, media and public service professionals</v>
      </c>
      <c r="B99" s="11">
        <v>25.677091687829506</v>
      </c>
      <c r="C99" s="11">
        <v>30.869680787544326</v>
      </c>
      <c r="D99" s="11">
        <f t="shared" si="72"/>
        <v>5.1925890997148194</v>
      </c>
      <c r="E99" s="11">
        <v>14.802005667940602</v>
      </c>
      <c r="F99" s="11">
        <f t="shared" si="73"/>
        <v>19.994594767655421</v>
      </c>
      <c r="G99" s="200">
        <f t="shared" si="74"/>
        <v>3.0810892788428079E-2</v>
      </c>
      <c r="I99" s="11" t="str">
        <f>I88</f>
        <v>Administrative and secretarial occupations</v>
      </c>
      <c r="J99" s="11">
        <v>10.227042194661031</v>
      </c>
      <c r="K99" s="11">
        <v>1.8007880287277409</v>
      </c>
      <c r="L99" s="11">
        <v>-8.4262541659332904</v>
      </c>
      <c r="M99" s="11">
        <v>2.0030998882885171</v>
      </c>
      <c r="N99" s="11">
        <v>-6.4231542776447732</v>
      </c>
      <c r="P99" s="11"/>
      <c r="Q99" s="11"/>
      <c r="R99" s="11"/>
      <c r="S99" s="341"/>
      <c r="T99" s="341"/>
      <c r="U99" s="341"/>
    </row>
    <row r="100" spans="1:21" x14ac:dyDescent="0.2">
      <c r="A100" t="str">
        <f t="shared" si="71"/>
        <v>31 Science, engineering and technology associate professionals</v>
      </c>
      <c r="B100" s="11">
        <v>5.6354421084714037</v>
      </c>
      <c r="C100" s="11">
        <v>5.8240581646687435</v>
      </c>
      <c r="D100" s="11">
        <f t="shared" si="72"/>
        <v>0.18861605619733979</v>
      </c>
      <c r="E100" s="11">
        <v>2.4676666433450816</v>
      </c>
      <c r="F100" s="11">
        <f t="shared" si="73"/>
        <v>2.6562826995424214</v>
      </c>
      <c r="G100" s="200">
        <f t="shared" si="74"/>
        <v>2.4506956523420609E-2</v>
      </c>
      <c r="I100" s="11" t="str">
        <f t="shared" ref="I100:I104" si="77">I89</f>
        <v>Skilled trades occupations</v>
      </c>
      <c r="J100" s="11">
        <v>10.131227518686387</v>
      </c>
      <c r="K100" s="11">
        <v>9.2354183381405619</v>
      </c>
      <c r="L100" s="11">
        <v>-0.89580918054582526</v>
      </c>
      <c r="M100" s="11">
        <v>3.9351830214950896</v>
      </c>
      <c r="N100" s="11">
        <v>3.0393738409492643</v>
      </c>
      <c r="P100" s="11"/>
      <c r="Q100" s="11"/>
      <c r="R100" s="11"/>
      <c r="S100" s="341"/>
      <c r="T100" s="341"/>
      <c r="U100" s="341"/>
    </row>
    <row r="101" spans="1:21" x14ac:dyDescent="0.2">
      <c r="A101" t="str">
        <f t="shared" si="71"/>
        <v>32 Health and social care associate professionals</v>
      </c>
      <c r="B101" s="11">
        <v>4.6044746491907338</v>
      </c>
      <c r="C101" s="11">
        <v>5.8318120477483362</v>
      </c>
      <c r="D101" s="11">
        <f t="shared" si="72"/>
        <v>1.2273373985576024</v>
      </c>
      <c r="E101" s="11">
        <v>3.2895792644173585</v>
      </c>
      <c r="F101" s="11">
        <f t="shared" si="73"/>
        <v>4.5169166629749604</v>
      </c>
      <c r="G101" s="200">
        <f t="shared" si="74"/>
        <v>3.6592351634417541E-2</v>
      </c>
      <c r="I101" s="11" t="str">
        <f t="shared" si="77"/>
        <v>Caring, leisure and other service occupations</v>
      </c>
      <c r="J101" s="11">
        <v>5.5351021892429735</v>
      </c>
      <c r="K101" s="11">
        <v>4.0294375617671685</v>
      </c>
      <c r="L101" s="11">
        <v>-1.5056646274758048</v>
      </c>
      <c r="M101" s="11">
        <v>1.8169952511407752</v>
      </c>
      <c r="N101" s="11">
        <v>0.31133062366497055</v>
      </c>
      <c r="P101" s="11"/>
      <c r="Q101" s="11"/>
      <c r="R101" s="11"/>
      <c r="S101" s="341"/>
      <c r="T101" s="341"/>
      <c r="U101" s="341"/>
    </row>
    <row r="102" spans="1:21" x14ac:dyDescent="0.2">
      <c r="A102" t="str">
        <f t="shared" si="71"/>
        <v>33 Protective service occupations</v>
      </c>
      <c r="B102" s="11">
        <v>2.9226084770079659</v>
      </c>
      <c r="C102" s="11">
        <v>5.1475270599238945</v>
      </c>
      <c r="D102" s="11">
        <f t="shared" si="72"/>
        <v>2.2249185829159286</v>
      </c>
      <c r="E102" s="11">
        <v>1.7409111789683289</v>
      </c>
      <c r="F102" s="11">
        <f t="shared" si="73"/>
        <v>3.9658297618842573</v>
      </c>
      <c r="G102" s="200">
        <f t="shared" si="74"/>
        <v>3.1643259134118473E-2</v>
      </c>
      <c r="I102" s="11" t="str">
        <f t="shared" si="77"/>
        <v>Sales and customer service occupations</v>
      </c>
      <c r="J102" s="11">
        <v>9.3287994676876327</v>
      </c>
      <c r="K102" s="11">
        <v>4.1009222857186716</v>
      </c>
      <c r="L102" s="11">
        <v>-5.2278771819689602</v>
      </c>
      <c r="M102" s="11">
        <v>2.2921251593346375</v>
      </c>
      <c r="N102" s="11">
        <v>-2.9357520226343228</v>
      </c>
      <c r="P102" s="11"/>
      <c r="Q102" s="11"/>
      <c r="R102" s="11"/>
      <c r="S102" s="341"/>
      <c r="T102" s="341"/>
      <c r="U102" s="341"/>
    </row>
    <row r="103" spans="1:21" x14ac:dyDescent="0.2">
      <c r="A103" t="str">
        <f t="shared" si="71"/>
        <v>34 Culture, media and sports occupations</v>
      </c>
      <c r="B103" s="11">
        <v>8.1365515608266925</v>
      </c>
      <c r="C103" s="11">
        <v>9.0273349375427667</v>
      </c>
      <c r="D103" s="11">
        <f t="shared" ref="D103:D104" si="78">C103-B103</f>
        <v>0.89078337671607422</v>
      </c>
      <c r="E103" s="11">
        <v>4.1074478653125288</v>
      </c>
      <c r="F103" s="11">
        <f t="shared" ref="F103:F104" si="79">SUM(D103:E103)</f>
        <v>4.998231242028603</v>
      </c>
      <c r="G103" s="200">
        <f t="shared" si="74"/>
        <v>2.7619163639906574E-2</v>
      </c>
      <c r="I103" s="11" t="str">
        <f t="shared" si="77"/>
        <v>Process, plant and machine operatives</v>
      </c>
      <c r="J103" s="11">
        <v>7.4520642108903354</v>
      </c>
      <c r="K103" s="11">
        <v>4.9334837972713057</v>
      </c>
      <c r="L103" s="11">
        <v>-2.5185804136190297</v>
      </c>
      <c r="M103" s="11">
        <v>2.7634662129301408</v>
      </c>
      <c r="N103" s="11">
        <v>0.24488579931111143</v>
      </c>
      <c r="P103" s="11"/>
      <c r="Q103" s="11"/>
      <c r="R103" s="11"/>
      <c r="S103" s="341"/>
      <c r="T103" s="341"/>
      <c r="U103" s="341"/>
    </row>
    <row r="104" spans="1:21" x14ac:dyDescent="0.2">
      <c r="A104" t="str">
        <f t="shared" si="71"/>
        <v>35 Business and public service associate professionals</v>
      </c>
      <c r="B104" s="11">
        <v>17.304573291052765</v>
      </c>
      <c r="C104" s="11">
        <v>18.25174679039068</v>
      </c>
      <c r="D104" s="11">
        <f t="shared" si="78"/>
        <v>0.94717349933791439</v>
      </c>
      <c r="E104" s="11">
        <v>8.7830620695328445</v>
      </c>
      <c r="F104" s="11">
        <f t="shared" si="79"/>
        <v>9.7302355688707589</v>
      </c>
      <c r="G104" s="200">
        <f t="shared" si="74"/>
        <v>2.7743932217101808E-2</v>
      </c>
      <c r="I104" s="11" t="str">
        <f t="shared" si="77"/>
        <v>Elementary occupations</v>
      </c>
      <c r="J104" s="11">
        <v>19.760267220963605</v>
      </c>
      <c r="K104" s="11">
        <v>13.662111093161533</v>
      </c>
      <c r="L104" s="11">
        <v>-6.0981561278020733</v>
      </c>
      <c r="M104" s="11">
        <v>6.8661399322991956</v>
      </c>
      <c r="N104" s="11">
        <v>0.76798380449712278</v>
      </c>
      <c r="P104" s="11"/>
      <c r="Q104" s="11"/>
      <c r="R104" s="11"/>
      <c r="S104" s="341"/>
      <c r="T104" s="341"/>
      <c r="U104" s="341"/>
    </row>
    <row r="105" spans="1:21" x14ac:dyDescent="0.2">
      <c r="A105" t="str">
        <f t="shared" si="71"/>
        <v>41 Administrative occupations</v>
      </c>
      <c r="B105" s="11">
        <v>15.141661837542566</v>
      </c>
      <c r="C105" s="11">
        <v>17.746552255358385</v>
      </c>
      <c r="D105" s="11">
        <f t="shared" si="72"/>
        <v>2.6048904178158185</v>
      </c>
      <c r="E105" s="11">
        <v>8.9481208206036982</v>
      </c>
      <c r="F105" s="11">
        <f t="shared" si="73"/>
        <v>11.553011238419517</v>
      </c>
      <c r="G105" s="200">
        <f t="shared" si="74"/>
        <v>3.1439967407668412E-2</v>
      </c>
      <c r="I105" s="11"/>
      <c r="J105" s="11"/>
      <c r="K105" s="11"/>
      <c r="L105" s="11"/>
      <c r="M105" s="11"/>
      <c r="N105" s="11"/>
      <c r="P105" s="11"/>
      <c r="Q105" s="11"/>
      <c r="R105" s="11"/>
      <c r="S105" s="341"/>
      <c r="T105" s="341"/>
      <c r="U105" s="341"/>
    </row>
    <row r="106" spans="1:21" x14ac:dyDescent="0.2">
      <c r="A106" t="str">
        <f t="shared" si="71"/>
        <v>42 Secretarial and related occupations</v>
      </c>
      <c r="B106" s="11">
        <v>3.0616577668112304</v>
      </c>
      <c r="C106" s="11">
        <v>6.6594656393109952</v>
      </c>
      <c r="D106" s="11">
        <f t="shared" si="72"/>
        <v>3.5978078724997649</v>
      </c>
      <c r="E106" s="11">
        <v>2.9899615847554948</v>
      </c>
      <c r="F106" s="11">
        <f t="shared" si="73"/>
        <v>6.5877694572552592</v>
      </c>
      <c r="G106" s="200">
        <f t="shared" si="74"/>
        <v>4.6472123771017726E-2</v>
      </c>
      <c r="I106" s="87" t="str">
        <f>name!F12</f>
        <v>No Qualification</v>
      </c>
      <c r="J106" s="11"/>
      <c r="K106" s="11"/>
      <c r="L106" s="11"/>
      <c r="M106" s="11"/>
      <c r="N106" s="11"/>
      <c r="O106" s="71"/>
      <c r="P106" s="11"/>
      <c r="Q106" s="11"/>
      <c r="R106" s="11"/>
      <c r="S106" s="341"/>
      <c r="T106" s="341"/>
      <c r="U106" s="341"/>
    </row>
    <row r="107" spans="1:21" x14ac:dyDescent="0.2">
      <c r="A107" t="str">
        <f t="shared" si="71"/>
        <v>51 Skilled agricultural and related trades</v>
      </c>
      <c r="B107" s="11">
        <v>1.2379870987143518</v>
      </c>
      <c r="C107" s="11">
        <v>2.1150087908364101</v>
      </c>
      <c r="D107" s="11">
        <f t="shared" si="72"/>
        <v>0.87702169212205838</v>
      </c>
      <c r="E107" s="11">
        <v>1.1255440473332783</v>
      </c>
      <c r="F107" s="11">
        <f t="shared" si="73"/>
        <v>2.0025657394553367</v>
      </c>
      <c r="G107" s="200">
        <f t="shared" si="74"/>
        <v>4.4054126125233184E-2</v>
      </c>
      <c r="I107" s="11" t="str">
        <f>I96</f>
        <v>Managers, directors and senior officials</v>
      </c>
      <c r="J107" s="11">
        <f t="array" ref="J107:J115">MMULT(aggregation!$B$13:$AA$21,B268:B293)</f>
        <v>1.9744350306724097</v>
      </c>
      <c r="K107" s="11">
        <f t="array" ref="K107:K115">MMULT(aggregation!$B$13:$AA$21,C268:C293)</f>
        <v>3.1717788969281138</v>
      </c>
      <c r="L107" s="11">
        <f t="array" ref="L107:L115">MMULT(aggregation!$B$13:$AA$21,D268:D293)</f>
        <v>1.1973438662557039</v>
      </c>
      <c r="M107" s="11">
        <f t="array" ref="M107:M115">MMULT(aggregation!$B$13:$AA$21,E268:E293)</f>
        <v>0.84036648045939577</v>
      </c>
      <c r="N107" s="11">
        <f t="array" ref="N107:N115">MMULT(aggregation!$B$13:$AA$21,F268:F293)</f>
        <v>2.0377103467150999</v>
      </c>
      <c r="P107" s="11"/>
      <c r="Q107" s="11"/>
      <c r="R107" s="11"/>
      <c r="S107" s="341"/>
      <c r="T107" s="341"/>
      <c r="U107" s="341"/>
    </row>
    <row r="108" spans="1:21" x14ac:dyDescent="0.2">
      <c r="A108" t="str">
        <f t="shared" si="71"/>
        <v>52 Skilled metal, electrical and electronic trades</v>
      </c>
      <c r="B108" s="11">
        <v>1.6342701873163277</v>
      </c>
      <c r="C108" s="11">
        <v>2.4441963588308049</v>
      </c>
      <c r="D108" s="11">
        <f t="shared" si="72"/>
        <v>0.80992617151447721</v>
      </c>
      <c r="E108" s="11">
        <v>1.0536931977444572</v>
      </c>
      <c r="F108" s="11">
        <f t="shared" si="73"/>
        <v>1.8636193692589345</v>
      </c>
      <c r="G108" s="200">
        <f t="shared" si="74"/>
        <v>3.3728839665526644E-2</v>
      </c>
      <c r="I108" s="11" t="str">
        <f>I97</f>
        <v>Professional occupations</v>
      </c>
      <c r="J108" s="11">
        <v>1.8121714860234366</v>
      </c>
      <c r="K108" s="11">
        <v>4.1933547761913434</v>
      </c>
      <c r="L108" s="11">
        <v>2.3811832901679071</v>
      </c>
      <c r="M108" s="11">
        <v>0.96213901923659351</v>
      </c>
      <c r="N108" s="11">
        <v>3.3433223094045004</v>
      </c>
      <c r="P108" s="85"/>
      <c r="Q108" s="74"/>
      <c r="R108" s="74"/>
      <c r="S108" s="342"/>
      <c r="T108" s="342"/>
      <c r="U108" s="342"/>
    </row>
    <row r="109" spans="1:21" x14ac:dyDescent="0.2">
      <c r="A109" t="str">
        <f t="shared" si="71"/>
        <v>53 Skilled construction and building trades</v>
      </c>
      <c r="B109" s="11">
        <v>0.90051231941596643</v>
      </c>
      <c r="C109" s="11">
        <v>1.2227480681930778</v>
      </c>
      <c r="D109" s="11">
        <f t="shared" ref="D109" si="80">C109-B109</f>
        <v>0.32223574877711136</v>
      </c>
      <c r="E109" s="11">
        <v>0.58560147044907518</v>
      </c>
      <c r="F109" s="11">
        <f t="shared" ref="F109" si="81">SUM(D109:E109)</f>
        <v>0.90783721922618654</v>
      </c>
      <c r="G109" s="200">
        <f t="shared" si="74"/>
        <v>3.3961005872201078E-2</v>
      </c>
      <c r="I109" s="11" t="str">
        <f>I98</f>
        <v>Associate professional occupations</v>
      </c>
      <c r="J109" s="11">
        <v>1.9514378634288718</v>
      </c>
      <c r="K109" s="11">
        <v>3.3919282038985026</v>
      </c>
      <c r="L109" s="11">
        <v>1.4404903404696308</v>
      </c>
      <c r="M109" s="11">
        <v>0.80016983460472235</v>
      </c>
      <c r="N109" s="11">
        <v>2.2406601750743529</v>
      </c>
      <c r="P109" s="11"/>
      <c r="Q109" s="11"/>
      <c r="R109" s="11"/>
      <c r="S109" s="341"/>
      <c r="T109" s="341"/>
      <c r="U109" s="341"/>
    </row>
    <row r="110" spans="1:21" x14ac:dyDescent="0.2">
      <c r="A110" t="str">
        <f t="shared" si="71"/>
        <v>54 Textiles, printing and other skilled trades</v>
      </c>
      <c r="B110" s="11">
        <v>1.6504740715637547</v>
      </c>
      <c r="C110" s="11">
        <v>2.6193482737021765</v>
      </c>
      <c r="D110" s="11">
        <f t="shared" si="72"/>
        <v>0.96887420213842179</v>
      </c>
      <c r="E110" s="11">
        <v>1.218382226612043</v>
      </c>
      <c r="F110" s="11">
        <f t="shared" si="73"/>
        <v>2.187256428750465</v>
      </c>
      <c r="G110" s="200">
        <f t="shared" si="74"/>
        <v>3.7544356728170136E-2</v>
      </c>
      <c r="I110" s="11" t="str">
        <f>I99</f>
        <v>Administrative and secretarial occupations</v>
      </c>
      <c r="J110" s="11">
        <v>2.4533386675703008</v>
      </c>
      <c r="K110" s="11">
        <v>1.6122687787572825</v>
      </c>
      <c r="L110" s="11">
        <v>-0.84106988881301836</v>
      </c>
      <c r="M110" s="11">
        <v>0.56928175030724348</v>
      </c>
      <c r="N110" s="11">
        <v>-0.27178813850577477</v>
      </c>
      <c r="P110" s="11"/>
      <c r="Q110" s="11"/>
      <c r="R110" s="11"/>
      <c r="S110" s="341"/>
      <c r="T110" s="341"/>
      <c r="U110" s="341"/>
    </row>
    <row r="111" spans="1:21" x14ac:dyDescent="0.2">
      <c r="A111" t="str">
        <f t="shared" si="71"/>
        <v>61 Caring personal service occupations</v>
      </c>
      <c r="B111" s="11">
        <v>7.9524043144736289</v>
      </c>
      <c r="C111" s="11">
        <v>11.235019018760161</v>
      </c>
      <c r="D111" s="11">
        <f>C111-B111</f>
        <v>3.2826147042865319</v>
      </c>
      <c r="E111" s="11">
        <v>6.2975411445618619</v>
      </c>
      <c r="F111" s="11">
        <f>SUM(D111:E111)</f>
        <v>9.5801558488483938</v>
      </c>
      <c r="G111" s="200">
        <f t="shared" si="74"/>
        <v>3.9651177999286524E-2</v>
      </c>
      <c r="I111" s="11" t="str">
        <f t="shared" ref="I111:I115" si="82">I100</f>
        <v>Skilled trades occupations</v>
      </c>
      <c r="J111" s="11">
        <v>4.0191806419772007</v>
      </c>
      <c r="K111" s="11">
        <v>2.3406426708138008</v>
      </c>
      <c r="L111" s="11">
        <v>-1.6785379711633992</v>
      </c>
      <c r="M111" s="11">
        <v>0.9743345779429311</v>
      </c>
      <c r="N111" s="11">
        <v>-0.7042033932204681</v>
      </c>
      <c r="P111" s="11"/>
      <c r="Q111" s="11"/>
      <c r="R111" s="11"/>
      <c r="S111" s="341"/>
      <c r="T111" s="341"/>
      <c r="U111" s="341"/>
    </row>
    <row r="112" spans="1:21" x14ac:dyDescent="0.2">
      <c r="A112" t="str">
        <f t="shared" si="71"/>
        <v>62 Leisure, travel and related personal service occupations</v>
      </c>
      <c r="B112" s="11">
        <v>2.4832490651077292</v>
      </c>
      <c r="C112" s="11">
        <v>4.1061564023128643</v>
      </c>
      <c r="D112" s="11">
        <f t="shared" ref="D112:D113" si="83">C112-B112</f>
        <v>1.622907337205135</v>
      </c>
      <c r="E112" s="11">
        <v>2.0300118349508889</v>
      </c>
      <c r="F112" s="11">
        <f t="shared" ref="F112:F113" si="84">SUM(D112:E112)</f>
        <v>3.6529191721560239</v>
      </c>
      <c r="G112" s="200">
        <f t="shared" si="74"/>
        <v>4.0633998498227353E-2</v>
      </c>
      <c r="I112" s="11" t="str">
        <f t="shared" si="82"/>
        <v>Caring, leisure and other service occupations</v>
      </c>
      <c r="J112" s="11">
        <v>1.4535306601652291</v>
      </c>
      <c r="K112" s="11">
        <v>1.6239622202780288</v>
      </c>
      <c r="L112" s="11">
        <v>0.17043156011279947</v>
      </c>
      <c r="M112" s="11">
        <v>0.41817784775512695</v>
      </c>
      <c r="N112" s="11">
        <v>0.58860940786792637</v>
      </c>
      <c r="P112" s="11"/>
      <c r="Q112" s="11"/>
      <c r="R112" s="11"/>
      <c r="S112" s="341"/>
      <c r="T112" s="341"/>
      <c r="U112" s="341"/>
    </row>
    <row r="113" spans="1:21" x14ac:dyDescent="0.2">
      <c r="A113" t="str">
        <f t="shared" si="71"/>
        <v>63 Community and civil enforcement occupations</v>
      </c>
      <c r="B113" s="11">
        <v>0.18392313436230034</v>
      </c>
      <c r="C113" s="11">
        <v>0.2360567448746293</v>
      </c>
      <c r="D113" s="11">
        <f t="shared" si="83"/>
        <v>5.2133610512328954E-2</v>
      </c>
      <c r="E113" s="11">
        <v>0.13024213954376271</v>
      </c>
      <c r="F113" s="11">
        <f t="shared" si="84"/>
        <v>0.18237575005609166</v>
      </c>
      <c r="G113" s="200">
        <f t="shared" si="74"/>
        <v>3.6338075538457693E-2</v>
      </c>
      <c r="I113" s="11" t="str">
        <f t="shared" si="82"/>
        <v>Sales and customer service occupations</v>
      </c>
      <c r="J113" s="11">
        <v>3.3643470298012601</v>
      </c>
      <c r="K113" s="11">
        <v>3.2447070608136914</v>
      </c>
      <c r="L113" s="11">
        <v>-0.11963996898756857</v>
      </c>
      <c r="M113" s="11">
        <v>0.85230418544961317</v>
      </c>
      <c r="N113" s="11">
        <v>0.73266421646204472</v>
      </c>
      <c r="P113" s="11"/>
      <c r="Q113" s="11"/>
      <c r="R113" s="11"/>
      <c r="S113" s="341"/>
      <c r="T113" s="341"/>
      <c r="U113" s="341"/>
    </row>
    <row r="114" spans="1:21" x14ac:dyDescent="0.2">
      <c r="A114" t="str">
        <f t="shared" si="71"/>
        <v>71 Sales occupations</v>
      </c>
      <c r="B114" s="11">
        <v>7.9058957803056211</v>
      </c>
      <c r="C114" s="11">
        <v>10.428984190513292</v>
      </c>
      <c r="D114" s="11">
        <f t="shared" si="72"/>
        <v>2.5230884102076709</v>
      </c>
      <c r="E114" s="11">
        <v>4.7414715068480442</v>
      </c>
      <c r="F114" s="11">
        <f t="shared" si="73"/>
        <v>7.2645599170557151</v>
      </c>
      <c r="G114" s="200">
        <f t="shared" si="74"/>
        <v>3.1818403628317338E-2</v>
      </c>
      <c r="I114" s="11" t="str">
        <f t="shared" si="82"/>
        <v>Process, plant and machine operatives</v>
      </c>
      <c r="J114" s="11">
        <v>3.2006254019039915</v>
      </c>
      <c r="K114" s="11">
        <v>2.3710739511960672</v>
      </c>
      <c r="L114" s="11">
        <v>-0.82955145070792413</v>
      </c>
      <c r="M114" s="11">
        <v>0.99883143811662412</v>
      </c>
      <c r="N114" s="11">
        <v>0.16927998740869998</v>
      </c>
      <c r="P114" s="11"/>
      <c r="Q114" s="11"/>
      <c r="R114" s="11"/>
      <c r="S114" s="341"/>
      <c r="T114" s="341"/>
      <c r="U114" s="341"/>
    </row>
    <row r="115" spans="1:21" x14ac:dyDescent="0.2">
      <c r="A115" t="str">
        <f t="shared" si="71"/>
        <v>72 Customer service occupations</v>
      </c>
      <c r="B115" s="11">
        <v>2.5225066510332312</v>
      </c>
      <c r="C115" s="11">
        <v>4.4716407442612534</v>
      </c>
      <c r="D115" s="11">
        <f t="shared" si="72"/>
        <v>1.9491340932280221</v>
      </c>
      <c r="E115" s="11">
        <v>1.8641660760961736</v>
      </c>
      <c r="F115" s="11">
        <f t="shared" si="73"/>
        <v>3.8133001693241955</v>
      </c>
      <c r="G115" s="200">
        <f t="shared" si="74"/>
        <v>3.757666108061275E-2</v>
      </c>
      <c r="I115" s="11" t="str">
        <f t="shared" si="82"/>
        <v>Elementary occupations</v>
      </c>
      <c r="J115" s="11">
        <v>7.7650003544538091</v>
      </c>
      <c r="K115" s="11">
        <v>4.4489864882544499</v>
      </c>
      <c r="L115" s="11">
        <v>-3.3160138661993592</v>
      </c>
      <c r="M115" s="11">
        <v>1.3993285988131166</v>
      </c>
      <c r="N115" s="11">
        <v>-1.9166852673862427</v>
      </c>
      <c r="P115" s="11"/>
      <c r="Q115" s="11"/>
      <c r="R115" s="11"/>
      <c r="S115" s="341"/>
      <c r="T115" s="341"/>
      <c r="U115" s="341"/>
    </row>
    <row r="116" spans="1:21" x14ac:dyDescent="0.2">
      <c r="A116" t="str">
        <f t="shared" si="71"/>
        <v>81 Process, plant and machine operatives</v>
      </c>
      <c r="B116" s="11">
        <v>0.49670646935126583</v>
      </c>
      <c r="C116" s="11">
        <v>1.1619073904274293</v>
      </c>
      <c r="D116" s="11">
        <f t="shared" ref="D116:D117" si="85">C116-B116</f>
        <v>0.66520092107616346</v>
      </c>
      <c r="E116" s="11">
        <v>0.41788258779044196</v>
      </c>
      <c r="F116" s="11">
        <f t="shared" ref="F116:F117" si="86">SUM(D116:E116)</f>
        <v>1.0830835088666055</v>
      </c>
      <c r="G116" s="200">
        <f t="shared" si="74"/>
        <v>4.153790254361911E-2</v>
      </c>
      <c r="I116" s="11"/>
      <c r="J116" s="11"/>
      <c r="K116" s="11"/>
      <c r="L116" s="11"/>
      <c r="M116" s="11"/>
      <c r="N116" s="11"/>
      <c r="P116" s="11"/>
      <c r="Q116" s="11"/>
      <c r="R116" s="11"/>
      <c r="S116" s="341"/>
      <c r="T116" s="341"/>
      <c r="U116" s="341"/>
    </row>
    <row r="117" spans="1:21" x14ac:dyDescent="0.2">
      <c r="A117" t="str">
        <f t="shared" si="71"/>
        <v>82 Transport and mobile machine drivers and operatives</v>
      </c>
      <c r="B117" s="11">
        <v>1.4449960045720462</v>
      </c>
      <c r="C117" s="11">
        <v>2.1837790555368182</v>
      </c>
      <c r="D117" s="11">
        <f t="shared" si="85"/>
        <v>0.73878305096477193</v>
      </c>
      <c r="E117" s="11">
        <v>1.2031526408774689</v>
      </c>
      <c r="F117" s="11">
        <f t="shared" si="86"/>
        <v>1.9419356918422408</v>
      </c>
      <c r="G117" s="200">
        <f t="shared" si="74"/>
        <v>4.1210120711370424E-2</v>
      </c>
      <c r="I117" s="11"/>
      <c r="J117" s="11"/>
      <c r="K117" s="11"/>
      <c r="L117" s="11"/>
      <c r="M117" s="11"/>
      <c r="N117" s="11"/>
      <c r="P117" s="11"/>
      <c r="Q117" s="11"/>
      <c r="R117" s="11"/>
      <c r="S117" s="341"/>
      <c r="T117" s="341"/>
      <c r="U117" s="341"/>
    </row>
    <row r="118" spans="1:21" x14ac:dyDescent="0.2">
      <c r="A118" t="str">
        <f t="shared" si="71"/>
        <v>91 Elementary trades and related occupations</v>
      </c>
      <c r="B118" s="11">
        <v>0.42196263957337476</v>
      </c>
      <c r="C118" s="11">
        <v>0.40498775239989626</v>
      </c>
      <c r="D118" s="11">
        <f t="shared" si="72"/>
        <v>-1.6974887173478503E-2</v>
      </c>
      <c r="E118" s="11">
        <v>0.21339815539292237</v>
      </c>
      <c r="F118" s="11">
        <f t="shared" si="73"/>
        <v>0.19642326821944386</v>
      </c>
      <c r="G118" s="200">
        <f t="shared" si="74"/>
        <v>2.7660729288233821E-2</v>
      </c>
      <c r="I118" s="11"/>
      <c r="J118" s="11"/>
      <c r="K118" s="11"/>
      <c r="L118" s="11"/>
      <c r="M118" s="11"/>
      <c r="N118" s="11"/>
      <c r="P118" s="11"/>
      <c r="Q118" s="11"/>
      <c r="R118" s="11"/>
      <c r="S118" s="341"/>
      <c r="T118" s="341"/>
      <c r="U118" s="341"/>
    </row>
    <row r="119" spans="1:21" x14ac:dyDescent="0.2">
      <c r="A119" t="str">
        <f t="shared" si="71"/>
        <v>92 Elementary administration and service occupations</v>
      </c>
      <c r="B119" s="11">
        <v>6.9872324699569281</v>
      </c>
      <c r="C119" s="11">
        <v>11.083316481051551</v>
      </c>
      <c r="D119" s="11">
        <f t="shared" ref="D119" si="87">C119-B119</f>
        <v>4.0960840110946224</v>
      </c>
      <c r="E119" s="11">
        <v>5.7334036900799346</v>
      </c>
      <c r="F119" s="11">
        <f t="shared" ref="F119" si="88">SUM(D119:E119)</f>
        <v>9.8294877011745569</v>
      </c>
      <c r="G119" s="200">
        <f t="shared" si="74"/>
        <v>4.075117341489487E-2</v>
      </c>
      <c r="I119" s="11"/>
      <c r="J119" s="11"/>
      <c r="K119" s="11"/>
      <c r="L119" s="11"/>
      <c r="M119" s="11"/>
      <c r="N119" s="11"/>
      <c r="P119" s="11"/>
      <c r="Q119" s="11"/>
      <c r="R119" s="11"/>
      <c r="S119" s="341"/>
      <c r="T119" s="341"/>
      <c r="U119" s="341"/>
    </row>
    <row r="120" spans="1:21" x14ac:dyDescent="0.2">
      <c r="A120" t="str">
        <f t="shared" si="71"/>
        <v>All occupations</v>
      </c>
      <c r="B120" s="11">
        <f>SUM(B94:B119)</f>
        <v>197.82415999570523</v>
      </c>
      <c r="C120" s="11">
        <f t="shared" ref="C120:F120" si="89">SUM(C94:C119)</f>
        <v>242.62905477633529</v>
      </c>
      <c r="D120" s="11">
        <f t="shared" si="89"/>
        <v>44.804894780629965</v>
      </c>
      <c r="E120" s="11">
        <f t="shared" si="89"/>
        <v>117.66571191522914</v>
      </c>
      <c r="F120" s="11">
        <f t="shared" si="89"/>
        <v>162.47060669585915</v>
      </c>
      <c r="G120" s="200">
        <f t="shared" si="74"/>
        <v>3.1605715017538616E-2</v>
      </c>
      <c r="I120" s="11"/>
      <c r="J120" s="11"/>
      <c r="K120" s="11"/>
      <c r="L120" s="11"/>
      <c r="M120" s="11"/>
      <c r="N120" s="11"/>
      <c r="P120" s="11"/>
      <c r="Q120" s="11"/>
      <c r="R120" s="11"/>
      <c r="S120" s="341"/>
      <c r="T120" s="341"/>
      <c r="U120" s="341"/>
    </row>
    <row r="121" spans="1:21" x14ac:dyDescent="0.2">
      <c r="I121" s="11"/>
      <c r="J121" s="11"/>
      <c r="K121" s="11"/>
      <c r="L121" s="11"/>
      <c r="M121" s="11"/>
      <c r="N121" s="11"/>
      <c r="P121" s="11"/>
      <c r="Q121" s="11"/>
      <c r="R121" s="11"/>
      <c r="S121" s="341"/>
      <c r="T121" s="341"/>
      <c r="U121" s="341"/>
    </row>
    <row r="122" spans="1:21" ht="38.25" x14ac:dyDescent="0.2">
      <c r="A122" s="201" t="str">
        <f>CONCATENATE(name!F7," (Constrained)")</f>
        <v>RQF5 Foundation degree;Nursing;Teaching (Constrained)</v>
      </c>
      <c r="B122" s="88">
        <f t="shared" ref="B122:G122" si="90">B35</f>
        <v>2020</v>
      </c>
      <c r="C122" s="88">
        <f t="shared" si="90"/>
        <v>2035</v>
      </c>
      <c r="D122" s="88" t="str">
        <f t="shared" si="90"/>
        <v>Net Change</v>
      </c>
      <c r="E122" s="88" t="str">
        <f t="shared" si="90"/>
        <v>Replacement Demand level</v>
      </c>
      <c r="F122" s="88" t="str">
        <f t="shared" si="90"/>
        <v>Total Requirement</v>
      </c>
      <c r="G122" s="88" t="str">
        <f t="shared" si="90"/>
        <v>Replacement Demand rate</v>
      </c>
      <c r="I122" s="85"/>
      <c r="J122" s="74"/>
      <c r="K122" s="74"/>
      <c r="L122" s="72"/>
      <c r="M122" s="72"/>
      <c r="N122" s="72"/>
      <c r="P122" s="11"/>
      <c r="Q122" s="11"/>
      <c r="R122" s="11"/>
      <c r="S122" s="341"/>
      <c r="T122" s="341"/>
      <c r="U122" s="341"/>
    </row>
    <row r="123" spans="1:21" x14ac:dyDescent="0.2">
      <c r="A123" t="str">
        <f t="shared" ref="A123:A149" si="91">A36</f>
        <v>11 Corporate managers and directors</v>
      </c>
      <c r="B123" s="11">
        <v>4.522208236436037</v>
      </c>
      <c r="C123" s="11">
        <v>4.640195967995254</v>
      </c>
      <c r="D123" s="11">
        <f>C123-B123</f>
        <v>0.11798773155921705</v>
      </c>
      <c r="E123" s="11">
        <v>2.3106740757093442</v>
      </c>
      <c r="F123" s="11">
        <f>SUM(D123:E123)</f>
        <v>2.4286618072685613</v>
      </c>
      <c r="G123" s="200">
        <f>IF(B123&gt;0,(1+(E123/B123))^(1/($C$6-$B$6))-1,0)</f>
        <v>2.789848413770657E-2</v>
      </c>
      <c r="I123" s="11"/>
      <c r="J123" s="11"/>
      <c r="K123" s="11"/>
      <c r="L123" s="11"/>
      <c r="M123" s="11"/>
      <c r="N123" s="11"/>
      <c r="P123" s="11"/>
      <c r="Q123" s="11"/>
      <c r="R123" s="11"/>
      <c r="S123" s="341"/>
      <c r="T123" s="341"/>
      <c r="U123" s="341"/>
    </row>
    <row r="124" spans="1:21" x14ac:dyDescent="0.2">
      <c r="A124" t="str">
        <f t="shared" si="91"/>
        <v>12 Other managers and proprietors</v>
      </c>
      <c r="B124" s="11">
        <v>2.3237620529198519</v>
      </c>
      <c r="C124" s="11">
        <v>3.5740913079145833</v>
      </c>
      <c r="D124" s="11">
        <f t="shared" ref="D124:D139" si="92">C124-B124</f>
        <v>1.2503292549947314</v>
      </c>
      <c r="E124" s="11">
        <v>1.987980609634042</v>
      </c>
      <c r="F124" s="11">
        <f t="shared" ref="F124:F131" si="93">SUM(D124:E124)</f>
        <v>3.2383098646287731</v>
      </c>
      <c r="G124" s="200">
        <f t="shared" ref="G124:G147" si="94">IF(B124&gt;0,(1+(E124/B124))^(1/($C$6-$B$6))-1,0)</f>
        <v>4.207124436499643E-2</v>
      </c>
      <c r="I124" s="11"/>
      <c r="J124" s="11"/>
      <c r="K124" s="11"/>
      <c r="L124" s="11"/>
      <c r="M124" s="11"/>
      <c r="N124" s="11"/>
      <c r="P124" s="11"/>
      <c r="Q124" s="11"/>
      <c r="R124" s="11"/>
      <c r="S124" s="341"/>
      <c r="T124" s="341"/>
      <c r="U124" s="341"/>
    </row>
    <row r="125" spans="1:21" x14ac:dyDescent="0.2">
      <c r="A125" t="str">
        <f t="shared" si="91"/>
        <v>21 Science, research, engineering and technology professionals</v>
      </c>
      <c r="B125" s="11">
        <v>2.6741529901377774</v>
      </c>
      <c r="C125" s="11">
        <v>3.32096117617112</v>
      </c>
      <c r="D125" s="11">
        <f t="shared" si="92"/>
        <v>0.64680818603334256</v>
      </c>
      <c r="E125" s="11">
        <v>1.1602394982674358</v>
      </c>
      <c r="F125" s="11">
        <f t="shared" si="93"/>
        <v>1.8070476843007783</v>
      </c>
      <c r="G125" s="200">
        <f t="shared" si="94"/>
        <v>2.4316152105663846E-2</v>
      </c>
      <c r="I125" s="11"/>
      <c r="J125" s="11"/>
      <c r="K125" s="11"/>
      <c r="L125" s="11"/>
      <c r="M125" s="11"/>
      <c r="N125" s="11"/>
      <c r="P125" s="11"/>
      <c r="Q125" s="11"/>
      <c r="R125" s="11"/>
      <c r="S125" s="341"/>
      <c r="T125" s="341"/>
      <c r="U125" s="341"/>
    </row>
    <row r="126" spans="1:21" x14ac:dyDescent="0.2">
      <c r="A126" t="str">
        <f t="shared" si="91"/>
        <v>22 Health professionals</v>
      </c>
      <c r="B126" s="11">
        <v>3.9179069896910232</v>
      </c>
      <c r="C126" s="11">
        <v>0.9135566304257895</v>
      </c>
      <c r="D126" s="11">
        <f t="shared" si="92"/>
        <v>-3.0043503592652336</v>
      </c>
      <c r="E126" s="11">
        <v>0.79309516268270819</v>
      </c>
      <c r="F126" s="11">
        <f t="shared" si="93"/>
        <v>-2.2112551965825253</v>
      </c>
      <c r="G126" s="200">
        <f t="shared" si="94"/>
        <v>1.2365365123548466E-2</v>
      </c>
      <c r="I126" s="11"/>
      <c r="J126" s="11"/>
      <c r="K126" s="11"/>
      <c r="L126" s="11"/>
      <c r="M126" s="11"/>
      <c r="N126" s="11"/>
      <c r="P126" s="11"/>
      <c r="Q126" s="11"/>
      <c r="R126" s="11"/>
      <c r="S126" s="341"/>
      <c r="T126" s="341"/>
      <c r="U126" s="341"/>
    </row>
    <row r="127" spans="1:21" x14ac:dyDescent="0.2">
      <c r="A127" t="str">
        <f t="shared" si="91"/>
        <v>23 Teaching and other educational professionals</v>
      </c>
      <c r="B127" s="11">
        <v>0.87612366951649634</v>
      </c>
      <c r="C127" s="11">
        <v>0.62843602493875106</v>
      </c>
      <c r="D127" s="11">
        <f t="shared" si="92"/>
        <v>-0.24768764457774528</v>
      </c>
      <c r="E127" s="11">
        <v>0.19783979526998685</v>
      </c>
      <c r="F127" s="11">
        <f t="shared" si="93"/>
        <v>-4.9847849307758429E-2</v>
      </c>
      <c r="G127" s="200">
        <f>IF(B127&gt;0,(1+(E127/B127))^(1/($C$6-$B$6))-1,0)</f>
        <v>1.3666139558413448E-2</v>
      </c>
      <c r="I127" s="11"/>
      <c r="J127" s="11"/>
      <c r="K127" s="11"/>
      <c r="L127" s="11"/>
      <c r="M127" s="11"/>
      <c r="N127" s="11"/>
      <c r="P127" s="11"/>
      <c r="Q127" s="11"/>
      <c r="R127" s="11"/>
      <c r="S127" s="341"/>
      <c r="T127" s="341"/>
      <c r="U127" s="341"/>
    </row>
    <row r="128" spans="1:21" x14ac:dyDescent="0.2">
      <c r="A128" t="str">
        <f t="shared" si="91"/>
        <v>24 Business, media and public service professionals</v>
      </c>
      <c r="B128" s="11">
        <v>2.4873851666236639</v>
      </c>
      <c r="C128" s="11">
        <v>2.6296067477627987</v>
      </c>
      <c r="D128" s="11">
        <f t="shared" si="92"/>
        <v>0.14222158113913475</v>
      </c>
      <c r="E128" s="11">
        <v>0.9615886222061274</v>
      </c>
      <c r="F128" s="11">
        <f t="shared" si="93"/>
        <v>1.1038102033452621</v>
      </c>
      <c r="G128" s="200">
        <f t="shared" si="94"/>
        <v>2.2028775342856521E-2</v>
      </c>
      <c r="I128" s="11"/>
      <c r="J128" s="11"/>
      <c r="K128" s="11"/>
      <c r="L128" s="11"/>
      <c r="M128" s="11"/>
      <c r="N128" s="11"/>
      <c r="P128" s="11"/>
      <c r="Q128" s="11"/>
      <c r="R128" s="11"/>
      <c r="S128" s="341"/>
      <c r="T128" s="341"/>
      <c r="U128" s="341"/>
    </row>
    <row r="129" spans="1:21" x14ac:dyDescent="0.2">
      <c r="A129" t="str">
        <f t="shared" si="91"/>
        <v>31 Science, engineering and technology associate professionals</v>
      </c>
      <c r="B129" s="11">
        <v>0.89475458089102256</v>
      </c>
      <c r="C129" s="11">
        <v>1.202376498814387</v>
      </c>
      <c r="D129" s="11">
        <f t="shared" si="92"/>
        <v>0.30762191792336446</v>
      </c>
      <c r="E129" s="11">
        <v>0.48681067663908972</v>
      </c>
      <c r="F129" s="11">
        <f t="shared" si="93"/>
        <v>0.79443259456245419</v>
      </c>
      <c r="G129" s="200">
        <f t="shared" si="94"/>
        <v>2.9384990568299463E-2</v>
      </c>
      <c r="I129" s="11"/>
      <c r="J129" s="11"/>
      <c r="K129" s="11"/>
      <c r="L129" s="11"/>
      <c r="M129" s="11"/>
      <c r="N129" s="11"/>
      <c r="P129" s="11"/>
      <c r="Q129" s="11"/>
      <c r="R129" s="11"/>
      <c r="S129" s="341"/>
      <c r="T129" s="341"/>
      <c r="U129" s="341"/>
    </row>
    <row r="130" spans="1:21" x14ac:dyDescent="0.2">
      <c r="A130" t="str">
        <f t="shared" si="91"/>
        <v>32 Health and social care associate professionals</v>
      </c>
      <c r="B130" s="11">
        <v>2.1770092605125551</v>
      </c>
      <c r="C130" s="11">
        <v>0.96722485817099857</v>
      </c>
      <c r="D130" s="11">
        <f t="shared" si="92"/>
        <v>-1.2097844023415565</v>
      </c>
      <c r="E130" s="11">
        <v>0.62051316195844219</v>
      </c>
      <c r="F130" s="11">
        <f t="shared" si="93"/>
        <v>-0.58927124038311429</v>
      </c>
      <c r="G130" s="200">
        <f t="shared" si="94"/>
        <v>1.6859350783454019E-2</v>
      </c>
      <c r="I130" s="11"/>
      <c r="J130" s="11"/>
      <c r="K130" s="11"/>
      <c r="L130" s="11"/>
      <c r="M130" s="11"/>
      <c r="N130" s="11"/>
      <c r="P130" s="11"/>
      <c r="Q130" s="11"/>
      <c r="R130" s="11"/>
      <c r="S130" s="341"/>
      <c r="T130" s="341"/>
      <c r="U130" s="341"/>
    </row>
    <row r="131" spans="1:21" x14ac:dyDescent="0.2">
      <c r="A131" t="str">
        <f t="shared" si="91"/>
        <v>33 Protective service occupations</v>
      </c>
      <c r="B131" s="11">
        <v>0.73291473949666075</v>
      </c>
      <c r="C131" s="11">
        <v>1.1709210502767282</v>
      </c>
      <c r="D131" s="11">
        <f t="shared" si="92"/>
        <v>0.43800631078006746</v>
      </c>
      <c r="E131" s="11">
        <v>0.36781865642100664</v>
      </c>
      <c r="F131" s="11">
        <f t="shared" si="93"/>
        <v>0.8058249672010741</v>
      </c>
      <c r="G131" s="200">
        <f t="shared" si="94"/>
        <v>2.7484421261446235E-2</v>
      </c>
      <c r="I131" s="11"/>
      <c r="J131" s="11"/>
      <c r="K131" s="11"/>
      <c r="L131" s="11"/>
      <c r="M131" s="11"/>
      <c r="N131" s="11"/>
      <c r="P131" s="11"/>
      <c r="Q131" s="11"/>
      <c r="R131" s="11"/>
      <c r="S131" s="341"/>
      <c r="T131" s="341"/>
      <c r="U131" s="341"/>
    </row>
    <row r="132" spans="1:21" x14ac:dyDescent="0.2">
      <c r="A132" t="str">
        <f t="shared" si="91"/>
        <v>34 Culture, media and sports occupations</v>
      </c>
      <c r="B132" s="11">
        <v>1.0262526860418524</v>
      </c>
      <c r="C132" s="11">
        <v>1.19287559553151</v>
      </c>
      <c r="D132" s="11">
        <f t="shared" si="92"/>
        <v>0.16662290948965763</v>
      </c>
      <c r="E132" s="11">
        <v>0.47610886342525494</v>
      </c>
      <c r="F132" s="11">
        <f t="shared" ref="F132:F133" si="95">SUM(D132:E132)</f>
        <v>0.64273177291491257</v>
      </c>
      <c r="G132" s="200">
        <f t="shared" si="94"/>
        <v>2.5733824199390298E-2</v>
      </c>
      <c r="I132" s="11"/>
      <c r="J132" s="11"/>
      <c r="K132" s="11"/>
      <c r="L132" s="11"/>
      <c r="M132" s="11"/>
      <c r="N132" s="11"/>
      <c r="P132" s="11"/>
      <c r="Q132" s="11"/>
      <c r="R132" s="11"/>
      <c r="S132" s="341"/>
      <c r="T132" s="341"/>
      <c r="U132" s="341"/>
    </row>
    <row r="133" spans="1:21" x14ac:dyDescent="0.2">
      <c r="A133" t="str">
        <f t="shared" si="91"/>
        <v>35 Business and public service associate professionals</v>
      </c>
      <c r="B133" s="11">
        <v>4.5049382408837779</v>
      </c>
      <c r="C133" s="11">
        <v>4.9068758862877235</v>
      </c>
      <c r="D133" s="11">
        <f t="shared" si="92"/>
        <v>0.40193764540394561</v>
      </c>
      <c r="E133" s="11">
        <v>2.2266671218918126</v>
      </c>
      <c r="F133" s="11">
        <f t="shared" si="95"/>
        <v>2.6286047672957582</v>
      </c>
      <c r="G133" s="200">
        <f t="shared" si="94"/>
        <v>2.7137661963168247E-2</v>
      </c>
      <c r="I133" s="11"/>
      <c r="J133" s="11"/>
      <c r="K133" s="11"/>
      <c r="L133" s="11"/>
      <c r="M133" s="11"/>
      <c r="N133" s="11"/>
      <c r="P133" s="11"/>
      <c r="Q133" s="11"/>
      <c r="R133" s="11"/>
      <c r="S133" s="341"/>
      <c r="T133" s="341"/>
      <c r="U133" s="341"/>
    </row>
    <row r="134" spans="1:21" x14ac:dyDescent="0.2">
      <c r="A134" t="str">
        <f t="shared" si="91"/>
        <v>41 Administrative occupations</v>
      </c>
      <c r="B134" s="11">
        <v>5.7377225635600091</v>
      </c>
      <c r="C134" s="11">
        <v>6.4328884779275555</v>
      </c>
      <c r="D134" s="11">
        <f t="shared" si="92"/>
        <v>0.69516591436754638</v>
      </c>
      <c r="E134" s="11">
        <v>3.4704860231822856</v>
      </c>
      <c r="F134" s="11">
        <f t="shared" ref="F134:F137" si="96">SUM(D134:E134)</f>
        <v>4.165651937549832</v>
      </c>
      <c r="G134" s="200">
        <f t="shared" si="94"/>
        <v>3.203804382479114E-2</v>
      </c>
      <c r="I134" s="11"/>
      <c r="J134" s="11"/>
      <c r="K134" s="11"/>
      <c r="L134" s="11"/>
      <c r="M134" s="11"/>
      <c r="N134" s="11"/>
      <c r="P134" s="11"/>
      <c r="Q134" s="11"/>
      <c r="R134" s="11"/>
      <c r="S134" s="341"/>
      <c r="T134" s="341"/>
      <c r="U134" s="341"/>
    </row>
    <row r="135" spans="1:21" x14ac:dyDescent="0.2">
      <c r="A135" t="str">
        <f t="shared" si="91"/>
        <v>42 Secretarial and related occupations</v>
      </c>
      <c r="B135" s="11">
        <v>1.5245411689960731</v>
      </c>
      <c r="C135" s="11">
        <v>2.5252760293695458</v>
      </c>
      <c r="D135" s="11">
        <f t="shared" si="92"/>
        <v>1.0007348603734727</v>
      </c>
      <c r="E135" s="11">
        <v>1.2670887915077969</v>
      </c>
      <c r="F135" s="11">
        <f t="shared" si="96"/>
        <v>2.2678236518812698</v>
      </c>
      <c r="G135" s="200">
        <f t="shared" si="94"/>
        <v>4.1153059347991849E-2</v>
      </c>
      <c r="I135" s="11"/>
      <c r="J135" s="11"/>
      <c r="K135" s="11"/>
      <c r="L135" s="11"/>
      <c r="M135" s="11"/>
      <c r="N135" s="11"/>
    </row>
    <row r="136" spans="1:21" x14ac:dyDescent="0.2">
      <c r="A136" t="str">
        <f t="shared" si="91"/>
        <v>51 Skilled agricultural and related trades</v>
      </c>
      <c r="B136" s="11">
        <v>0.50168331414527356</v>
      </c>
      <c r="C136" s="11">
        <v>0.7876323179581558</v>
      </c>
      <c r="D136" s="11">
        <f t="shared" si="92"/>
        <v>0.28594900381288224</v>
      </c>
      <c r="E136" s="11">
        <v>0.46188922959731549</v>
      </c>
      <c r="F136" s="11">
        <f t="shared" si="96"/>
        <v>0.74783823341019773</v>
      </c>
      <c r="G136" s="200">
        <f t="shared" si="94"/>
        <v>4.4472437707207435E-2</v>
      </c>
      <c r="I136" s="11"/>
      <c r="J136" s="11"/>
      <c r="K136" s="11"/>
      <c r="L136" s="11"/>
      <c r="M136" s="11"/>
      <c r="N136" s="11"/>
      <c r="O136" s="71"/>
    </row>
    <row r="137" spans="1:21" x14ac:dyDescent="0.2">
      <c r="A137" t="str">
        <f t="shared" si="91"/>
        <v>52 Skilled metal, electrical and electronic trades</v>
      </c>
      <c r="B137" s="11">
        <v>0.59099364310501312</v>
      </c>
      <c r="C137" s="11">
        <v>0.76427561842348313</v>
      </c>
      <c r="D137" s="11">
        <f t="shared" si="92"/>
        <v>0.17328197531847001</v>
      </c>
      <c r="E137" s="11">
        <v>0.30847515482095939</v>
      </c>
      <c r="F137" s="11">
        <f t="shared" si="96"/>
        <v>0.48175713013942939</v>
      </c>
      <c r="G137" s="200">
        <f t="shared" si="94"/>
        <v>2.8395622948443444E-2</v>
      </c>
      <c r="I137" s="11"/>
      <c r="J137" s="11"/>
      <c r="K137" s="11"/>
      <c r="L137" s="11"/>
      <c r="M137" s="11"/>
      <c r="N137" s="11"/>
    </row>
    <row r="138" spans="1:21" x14ac:dyDescent="0.2">
      <c r="A138" t="str">
        <f t="shared" si="91"/>
        <v>53 Skilled construction and building trades</v>
      </c>
      <c r="B138" s="11">
        <v>0.61021705703253892</v>
      </c>
      <c r="C138" s="11">
        <v>0.8223006015699158</v>
      </c>
      <c r="D138" s="11">
        <f t="shared" si="92"/>
        <v>0.21208354453737688</v>
      </c>
      <c r="E138" s="11">
        <v>0.42417497880875216</v>
      </c>
      <c r="F138" s="11">
        <f t="shared" ref="F138" si="97">SUM(D138:E138)</f>
        <v>0.63625852334612909</v>
      </c>
      <c r="G138" s="200">
        <f t="shared" si="94"/>
        <v>3.580989386626876E-2</v>
      </c>
      <c r="I138" s="11"/>
      <c r="J138" s="11"/>
      <c r="K138" s="11"/>
      <c r="L138" s="11"/>
      <c r="M138" s="11"/>
      <c r="N138" s="11"/>
      <c r="P138" s="85"/>
      <c r="Q138" s="74"/>
      <c r="R138" s="74"/>
      <c r="S138" s="342"/>
      <c r="T138" s="342"/>
      <c r="U138" s="342"/>
    </row>
    <row r="139" spans="1:21" x14ac:dyDescent="0.2">
      <c r="A139" t="str">
        <f t="shared" si="91"/>
        <v>54 Textiles, printing and other skilled trades</v>
      </c>
      <c r="B139" s="11">
        <v>0.58980296558209322</v>
      </c>
      <c r="C139" s="11">
        <v>0.79246771172373043</v>
      </c>
      <c r="D139" s="11">
        <f t="shared" si="92"/>
        <v>0.20266474614163721</v>
      </c>
      <c r="E139" s="11">
        <v>0.37297166900237416</v>
      </c>
      <c r="F139" s="11">
        <f t="shared" ref="F139" si="98">SUM(D139:E139)</f>
        <v>0.57563641514401143</v>
      </c>
      <c r="G139" s="200">
        <f t="shared" si="94"/>
        <v>3.3208203779599321E-2</v>
      </c>
      <c r="I139" s="11"/>
      <c r="J139" s="11"/>
      <c r="K139" s="11"/>
      <c r="L139" s="11"/>
      <c r="M139" s="11"/>
      <c r="N139" s="11"/>
      <c r="P139" s="11"/>
      <c r="Q139" s="11"/>
      <c r="R139" s="11"/>
      <c r="S139" s="341"/>
      <c r="T139" s="341"/>
      <c r="U139" s="341"/>
    </row>
    <row r="140" spans="1:21" x14ac:dyDescent="0.2">
      <c r="A140" t="str">
        <f t="shared" si="91"/>
        <v>61 Caring personal service occupations</v>
      </c>
      <c r="B140" s="11">
        <v>6.2706830281747008</v>
      </c>
      <c r="C140" s="11">
        <v>6.9855335945954096</v>
      </c>
      <c r="D140" s="11">
        <f>C140-B140</f>
        <v>0.71485056642070877</v>
      </c>
      <c r="E140" s="11">
        <v>3.8688633020963752</v>
      </c>
      <c r="F140" s="11">
        <f>SUM(D140:E140)</f>
        <v>4.5837138685170835</v>
      </c>
      <c r="G140" s="200">
        <f t="shared" si="94"/>
        <v>3.2555913738690379E-2</v>
      </c>
      <c r="I140" s="11"/>
      <c r="J140" s="11"/>
      <c r="K140" s="11"/>
      <c r="L140" s="11"/>
      <c r="M140" s="11"/>
      <c r="N140" s="11"/>
      <c r="P140" s="11"/>
      <c r="Q140" s="11"/>
      <c r="R140" s="11"/>
      <c r="S140" s="341"/>
      <c r="T140" s="341"/>
      <c r="U140" s="341"/>
    </row>
    <row r="141" spans="1:21" x14ac:dyDescent="0.2">
      <c r="A141" t="str">
        <f t="shared" si="91"/>
        <v>62 Leisure, travel and related personal service occupations</v>
      </c>
      <c r="B141" s="11">
        <v>1.5233686160290272</v>
      </c>
      <c r="C141" s="11">
        <v>2.2434065453327827</v>
      </c>
      <c r="D141" s="11">
        <f t="shared" ref="D141:D147" si="99">C141-B141</f>
        <v>0.72003792930375554</v>
      </c>
      <c r="E141" s="11">
        <v>1.137191693406755</v>
      </c>
      <c r="F141" s="11">
        <f t="shared" ref="F141:F142" si="100">SUM(D141:E141)</f>
        <v>1.8572296227105105</v>
      </c>
      <c r="G141" s="200">
        <f t="shared" si="94"/>
        <v>3.7873779582804357E-2</v>
      </c>
      <c r="I141" s="11"/>
      <c r="J141" s="11"/>
      <c r="K141" s="11"/>
      <c r="L141" s="11"/>
      <c r="M141" s="11"/>
      <c r="N141" s="11"/>
      <c r="P141" s="11"/>
      <c r="Q141" s="11"/>
      <c r="R141" s="11"/>
      <c r="S141" s="341"/>
      <c r="T141" s="341"/>
      <c r="U141" s="341"/>
    </row>
    <row r="142" spans="1:21" x14ac:dyDescent="0.2">
      <c r="A142" t="str">
        <f t="shared" si="91"/>
        <v>63 Community and civil enforcement occupations</v>
      </c>
      <c r="B142" s="11">
        <v>5.5111451950136101E-2</v>
      </c>
      <c r="C142" s="11">
        <v>5.4192812301206747E-2</v>
      </c>
      <c r="D142" s="11">
        <f t="shared" si="99"/>
        <v>-9.1863964892935357E-4</v>
      </c>
      <c r="E142" s="11">
        <v>2.9199365394389248E-2</v>
      </c>
      <c r="F142" s="11">
        <f t="shared" si="100"/>
        <v>2.8280725745459895E-2</v>
      </c>
      <c r="G142" s="200">
        <f t="shared" si="94"/>
        <v>2.87490087872595E-2</v>
      </c>
      <c r="I142" s="11"/>
      <c r="J142" s="11"/>
      <c r="K142" s="11"/>
      <c r="L142" s="11"/>
      <c r="M142" s="11"/>
      <c r="N142" s="11"/>
      <c r="P142" s="11"/>
      <c r="Q142" s="11"/>
      <c r="R142" s="11"/>
      <c r="S142" s="341"/>
      <c r="T142" s="341"/>
      <c r="U142" s="341"/>
    </row>
    <row r="143" spans="1:21" x14ac:dyDescent="0.2">
      <c r="A143" t="str">
        <f t="shared" si="91"/>
        <v>71 Sales occupations</v>
      </c>
      <c r="B143" s="11">
        <v>2.4006115624125259</v>
      </c>
      <c r="C143" s="11">
        <v>2.7930490356333952</v>
      </c>
      <c r="D143" s="11">
        <f t="shared" si="99"/>
        <v>0.3924374732208693</v>
      </c>
      <c r="E143" s="11">
        <v>1.3189203508756315</v>
      </c>
      <c r="F143" s="11">
        <f t="shared" ref="F143:F144" si="101">SUM(D143:E143)</f>
        <v>1.7113578240965008</v>
      </c>
      <c r="G143" s="200">
        <f t="shared" si="94"/>
        <v>2.9621872268419613E-2</v>
      </c>
      <c r="I143" s="11"/>
      <c r="J143" s="11"/>
      <c r="K143" s="11"/>
      <c r="L143" s="11"/>
      <c r="M143" s="11"/>
      <c r="N143" s="11"/>
      <c r="P143" s="11"/>
      <c r="Q143" s="11"/>
      <c r="R143" s="11"/>
      <c r="S143" s="341"/>
      <c r="T143" s="341"/>
      <c r="U143" s="341"/>
    </row>
    <row r="144" spans="1:21" x14ac:dyDescent="0.2">
      <c r="A144" t="str">
        <f t="shared" si="91"/>
        <v>72 Customer service occupations</v>
      </c>
      <c r="B144" s="11">
        <v>0.86708676994498235</v>
      </c>
      <c r="C144" s="11">
        <v>1.4888403305991955</v>
      </c>
      <c r="D144" s="11">
        <f t="shared" si="99"/>
        <v>0.62175356065421317</v>
      </c>
      <c r="E144" s="11">
        <v>0.68096814691621188</v>
      </c>
      <c r="F144" s="11">
        <f t="shared" si="101"/>
        <v>1.3027217075704249</v>
      </c>
      <c r="G144" s="200">
        <f t="shared" si="94"/>
        <v>3.9397306100314999E-2</v>
      </c>
      <c r="I144" s="11"/>
      <c r="J144" s="11"/>
      <c r="K144" s="11"/>
      <c r="L144" s="11"/>
      <c r="M144" s="11"/>
      <c r="N144" s="11"/>
      <c r="P144" s="11"/>
      <c r="Q144" s="11"/>
      <c r="R144" s="11"/>
      <c r="S144" s="341"/>
      <c r="T144" s="341"/>
      <c r="U144" s="341"/>
    </row>
    <row r="145" spans="1:21" x14ac:dyDescent="0.2">
      <c r="A145" t="str">
        <f t="shared" si="91"/>
        <v>81 Process, plant and machine operatives</v>
      </c>
      <c r="B145" s="11">
        <v>0.24248516497749548</v>
      </c>
      <c r="C145" s="11">
        <v>0.56746077622533142</v>
      </c>
      <c r="D145" s="11">
        <f t="shared" si="99"/>
        <v>0.32497561124783592</v>
      </c>
      <c r="E145" s="11">
        <v>0.20254759397992489</v>
      </c>
      <c r="F145" s="11">
        <f t="shared" ref="F145:F146" si="102">SUM(D145:E145)</f>
        <v>0.52752320522776075</v>
      </c>
      <c r="G145" s="200">
        <f t="shared" si="94"/>
        <v>4.1310994355433728E-2</v>
      </c>
      <c r="I145" s="11"/>
      <c r="J145" s="11"/>
      <c r="K145" s="11"/>
      <c r="L145" s="11"/>
      <c r="M145" s="11"/>
      <c r="N145" s="11"/>
      <c r="P145" s="11"/>
      <c r="Q145" s="11"/>
      <c r="R145" s="11"/>
      <c r="S145" s="341"/>
      <c r="T145" s="341"/>
      <c r="U145" s="341"/>
    </row>
    <row r="146" spans="1:21" x14ac:dyDescent="0.2">
      <c r="A146" t="str">
        <f t="shared" si="91"/>
        <v>82 Transport and mobile machine drivers and operatives</v>
      </c>
      <c r="B146" s="11">
        <v>0.64035559659464836</v>
      </c>
      <c r="C146" s="11">
        <v>0.93147270400887205</v>
      </c>
      <c r="D146" s="11">
        <f t="shared" si="99"/>
        <v>0.2911171074142237</v>
      </c>
      <c r="E146" s="11">
        <v>0.53768188687068419</v>
      </c>
      <c r="F146" s="11">
        <f t="shared" si="102"/>
        <v>0.82879899428490789</v>
      </c>
      <c r="G146" s="200">
        <f t="shared" si="94"/>
        <v>4.1475824688785856E-2</v>
      </c>
      <c r="I146" s="11"/>
      <c r="J146" s="11"/>
      <c r="K146" s="11"/>
      <c r="L146" s="11"/>
      <c r="M146" s="11"/>
      <c r="N146" s="11"/>
      <c r="P146" s="11"/>
      <c r="Q146" s="11"/>
      <c r="R146" s="11"/>
      <c r="S146" s="341"/>
      <c r="T146" s="341"/>
      <c r="U146" s="341"/>
    </row>
    <row r="147" spans="1:21" x14ac:dyDescent="0.2">
      <c r="A147" t="str">
        <f t="shared" si="91"/>
        <v>91 Elementary trades and related occupations</v>
      </c>
      <c r="B147" s="11">
        <v>0.30878825723105946</v>
      </c>
      <c r="C147" s="11">
        <v>0.39651997225329183</v>
      </c>
      <c r="D147" s="11">
        <f t="shared" si="99"/>
        <v>8.7731715022232371E-2</v>
      </c>
      <c r="E147" s="11">
        <v>0.17541513961797647</v>
      </c>
      <c r="F147" s="11">
        <f t="shared" ref="F147" si="103">SUM(D147:E147)</f>
        <v>0.26314685464020882</v>
      </c>
      <c r="G147" s="200">
        <f t="shared" si="94"/>
        <v>3.0444179279641936E-2</v>
      </c>
      <c r="I147" s="11"/>
      <c r="J147" s="11"/>
      <c r="K147" s="11"/>
      <c r="L147" s="11"/>
      <c r="M147" s="11"/>
      <c r="N147" s="11"/>
      <c r="P147" s="11"/>
      <c r="Q147" s="11"/>
      <c r="R147" s="11"/>
      <c r="S147" s="341"/>
      <c r="T147" s="341"/>
      <c r="U147" s="341"/>
    </row>
    <row r="148" spans="1:21" x14ac:dyDescent="0.2">
      <c r="A148" t="str">
        <f t="shared" si="91"/>
        <v>92 Elementary administration and service occupations</v>
      </c>
      <c r="B148" s="11">
        <v>3.5527535090849804</v>
      </c>
      <c r="C148" s="11">
        <v>5.5472485191550964</v>
      </c>
      <c r="D148" s="11">
        <f t="shared" ref="D148" si="104">C148-B148</f>
        <v>1.994495010070116</v>
      </c>
      <c r="E148" s="11">
        <v>2.776626091044454</v>
      </c>
      <c r="F148" s="11">
        <f t="shared" ref="F148" si="105">SUM(D148:E148)</f>
        <v>4.77112110111457</v>
      </c>
      <c r="G148" s="200">
        <f t="shared" ref="G148:G149" si="106">IF(B148&gt;0,(1+(E148/B148))^(1/($C$6-$B$6))-1,0)</f>
        <v>3.9249292994073759E-2</v>
      </c>
      <c r="I148" s="11"/>
      <c r="J148" s="11"/>
      <c r="K148" s="11"/>
      <c r="L148" s="11"/>
      <c r="M148" s="11"/>
      <c r="N148" s="11"/>
      <c r="P148" s="11"/>
      <c r="Q148" s="11"/>
      <c r="R148" s="11"/>
      <c r="S148" s="341"/>
      <c r="T148" s="341"/>
      <c r="U148" s="341"/>
    </row>
    <row r="149" spans="1:21" x14ac:dyDescent="0.2">
      <c r="A149" t="str">
        <f t="shared" si="91"/>
        <v>All occupations</v>
      </c>
      <c r="B149" s="11">
        <f>SUM(B123:B148)</f>
        <v>51.553613281971266</v>
      </c>
      <c r="C149" s="11">
        <f t="shared" ref="C149:F149" si="107">SUM(C123:C148)</f>
        <v>58.279686791366615</v>
      </c>
      <c r="D149" s="11">
        <f t="shared" si="107"/>
        <v>6.7260735093953361</v>
      </c>
      <c r="E149" s="11">
        <f t="shared" si="107"/>
        <v>28.621835661227138</v>
      </c>
      <c r="F149" s="11">
        <f t="shared" si="107"/>
        <v>35.347909170622472</v>
      </c>
      <c r="G149" s="200">
        <f t="shared" si="106"/>
        <v>2.9877300711045995E-2</v>
      </c>
      <c r="P149" s="11"/>
      <c r="Q149" s="11"/>
      <c r="R149" s="11"/>
      <c r="S149" s="341"/>
      <c r="T149" s="341"/>
      <c r="U149" s="341"/>
    </row>
    <row r="150" spans="1:21" x14ac:dyDescent="0.2">
      <c r="B150" s="11"/>
      <c r="C150" s="11"/>
      <c r="D150" s="11"/>
      <c r="E150" s="11"/>
      <c r="F150" s="11"/>
      <c r="G150" s="11"/>
      <c r="P150" s="11"/>
      <c r="Q150" s="11"/>
      <c r="R150" s="11"/>
      <c r="S150" s="341"/>
      <c r="T150" s="341"/>
      <c r="U150" s="341"/>
    </row>
    <row r="151" spans="1:21" ht="38.25" x14ac:dyDescent="0.2">
      <c r="A151" s="201" t="str">
        <f>CONCATENATE(name!F8," (Constrained)")</f>
        <v>RQF4 HE below degree level (Constrained)</v>
      </c>
      <c r="B151" s="88">
        <f t="shared" ref="B151:G151" si="108">B64</f>
        <v>2020</v>
      </c>
      <c r="C151" s="88">
        <f t="shared" si="108"/>
        <v>2035</v>
      </c>
      <c r="D151" s="88" t="str">
        <f t="shared" si="108"/>
        <v>Net Change</v>
      </c>
      <c r="E151" s="88" t="str">
        <f t="shared" si="108"/>
        <v>Replacement Demand level</v>
      </c>
      <c r="F151" s="88" t="str">
        <f t="shared" si="108"/>
        <v>Total Requirement</v>
      </c>
      <c r="G151" s="88" t="str">
        <f t="shared" si="108"/>
        <v>Replacement Demand rate</v>
      </c>
      <c r="P151" s="11"/>
      <c r="Q151" s="11"/>
      <c r="R151" s="11"/>
      <c r="S151" s="341"/>
      <c r="T151" s="341"/>
      <c r="U151" s="341"/>
    </row>
    <row r="152" spans="1:21" x14ac:dyDescent="0.2">
      <c r="A152" t="str">
        <f t="shared" ref="A152:A178" si="109">A65</f>
        <v>11 Corporate managers and directors</v>
      </c>
      <c r="B152" s="11">
        <v>6.6864499911184634</v>
      </c>
      <c r="C152" s="11">
        <v>6.7116773619660615</v>
      </c>
      <c r="D152" s="11">
        <f>C152-B152</f>
        <v>2.5227370847598074E-2</v>
      </c>
      <c r="E152" s="11">
        <v>3.3663756313875224</v>
      </c>
      <c r="F152" s="11">
        <f>SUM(D152:E152)</f>
        <v>3.3916030022351205</v>
      </c>
      <c r="G152" s="200">
        <f>IF(B152&gt;0,(1+(E152/B152))^(1/($C$6-$B$6))-1,0)</f>
        <v>2.7557586235350984E-2</v>
      </c>
      <c r="I152" s="85"/>
      <c r="J152" s="74"/>
      <c r="K152" s="74"/>
      <c r="L152" s="72"/>
      <c r="M152" s="72"/>
      <c r="N152" s="72"/>
      <c r="P152" s="11"/>
      <c r="Q152" s="11"/>
      <c r="R152" s="11"/>
      <c r="S152" s="341"/>
      <c r="T152" s="341"/>
      <c r="U152" s="341"/>
    </row>
    <row r="153" spans="1:21" x14ac:dyDescent="0.2">
      <c r="A153" t="str">
        <f t="shared" si="109"/>
        <v>12 Other managers and proprietors</v>
      </c>
      <c r="B153" s="11">
        <v>2.4733797540272837</v>
      </c>
      <c r="C153" s="11">
        <v>3.8026844262184234</v>
      </c>
      <c r="D153" s="11">
        <f t="shared" ref="D153:D168" si="110">C153-B153</f>
        <v>1.3293046721911397</v>
      </c>
      <c r="E153" s="11">
        <v>1.99843870344833</v>
      </c>
      <c r="F153" s="11">
        <f t="shared" ref="F153:F160" si="111">SUM(D153:E153)</f>
        <v>3.3277433756394696</v>
      </c>
      <c r="G153" s="200">
        <f t="shared" ref="G153:G155" si="112">IF(B153&gt;0,(1+(E153/B153))^(1/($C$6-$B$6))-1,0)</f>
        <v>4.0270359252980503E-2</v>
      </c>
      <c r="I153" s="11"/>
      <c r="J153" s="11"/>
      <c r="K153" s="11"/>
      <c r="L153" s="11"/>
      <c r="M153" s="11"/>
      <c r="N153" s="11"/>
      <c r="P153" s="11"/>
      <c r="Q153" s="11"/>
      <c r="R153" s="11"/>
      <c r="S153" s="341"/>
      <c r="T153" s="341"/>
      <c r="U153" s="341"/>
    </row>
    <row r="154" spans="1:21" x14ac:dyDescent="0.2">
      <c r="A154" t="str">
        <f t="shared" si="109"/>
        <v>21 Science, research, engineering and technology professionals</v>
      </c>
      <c r="B154" s="11">
        <v>5.8461716850112548</v>
      </c>
      <c r="C154" s="11">
        <v>5.5287717799172436</v>
      </c>
      <c r="D154" s="11">
        <f t="shared" si="110"/>
        <v>-0.31739990509401128</v>
      </c>
      <c r="E154" s="11">
        <v>2.0857685673800228</v>
      </c>
      <c r="F154" s="11">
        <f t="shared" si="111"/>
        <v>1.7683686622860115</v>
      </c>
      <c r="G154" s="200">
        <f t="shared" si="112"/>
        <v>2.0548991634482094E-2</v>
      </c>
      <c r="I154" s="11"/>
      <c r="J154" s="11"/>
      <c r="K154" s="11"/>
      <c r="L154" s="11"/>
      <c r="M154" s="11"/>
      <c r="N154" s="11"/>
      <c r="P154" s="11"/>
      <c r="Q154" s="11"/>
      <c r="R154" s="11"/>
      <c r="S154" s="341"/>
      <c r="T154" s="341"/>
      <c r="U154" s="341"/>
    </row>
    <row r="155" spans="1:21" x14ac:dyDescent="0.2">
      <c r="A155" t="str">
        <f t="shared" si="109"/>
        <v>22 Health professionals</v>
      </c>
      <c r="B155" s="11">
        <v>1.0313755125471249</v>
      </c>
      <c r="C155" s="11">
        <v>1.1468467359189374</v>
      </c>
      <c r="D155" s="11">
        <f t="shared" si="110"/>
        <v>0.11547122337181248</v>
      </c>
      <c r="E155" s="11">
        <v>0.56016860761210374</v>
      </c>
      <c r="F155" s="11">
        <f t="shared" si="111"/>
        <v>0.67563983098391622</v>
      </c>
      <c r="G155" s="200">
        <f t="shared" si="112"/>
        <v>2.9343021252672852E-2</v>
      </c>
      <c r="I155" s="11"/>
      <c r="J155" s="11"/>
      <c r="K155" s="11"/>
      <c r="L155" s="11"/>
      <c r="M155" s="11"/>
      <c r="N155" s="11"/>
      <c r="P155" s="11"/>
      <c r="Q155" s="11"/>
      <c r="R155" s="11"/>
      <c r="S155" s="341"/>
      <c r="T155" s="341"/>
      <c r="U155" s="341"/>
    </row>
    <row r="156" spans="1:21" x14ac:dyDescent="0.2">
      <c r="A156" t="str">
        <f t="shared" si="109"/>
        <v>23 Teaching and other educational professionals</v>
      </c>
      <c r="B156" s="11">
        <v>0.43870075672595843</v>
      </c>
      <c r="C156" s="11">
        <v>0.34442819408160974</v>
      </c>
      <c r="D156" s="11">
        <f t="shared" si="110"/>
        <v>-9.427256264434869E-2</v>
      </c>
      <c r="E156" s="11">
        <v>0.18076048452799573</v>
      </c>
      <c r="F156" s="11">
        <f t="shared" si="111"/>
        <v>8.648792188364704E-2</v>
      </c>
      <c r="G156" s="200">
        <f>IF(B156&gt;0,(1+(E156/B156))^(1/($C$6-$B$6))-1,0)</f>
        <v>2.3268763547921623E-2</v>
      </c>
      <c r="I156" s="11"/>
      <c r="J156" s="11"/>
      <c r="K156" s="11"/>
      <c r="L156" s="11"/>
      <c r="M156" s="11"/>
      <c r="N156" s="11"/>
      <c r="P156" s="11"/>
      <c r="Q156" s="11"/>
      <c r="R156" s="11"/>
      <c r="S156" s="341"/>
      <c r="T156" s="341"/>
      <c r="U156" s="341"/>
    </row>
    <row r="157" spans="1:21" x14ac:dyDescent="0.2">
      <c r="A157" t="str">
        <f t="shared" si="109"/>
        <v>24 Business, media and public service professionals</v>
      </c>
      <c r="B157" s="11">
        <v>3.9397440332053861</v>
      </c>
      <c r="C157" s="11">
        <v>4.8966842308892158</v>
      </c>
      <c r="D157" s="11">
        <f t="shared" si="110"/>
        <v>0.95694019768382965</v>
      </c>
      <c r="E157" s="11">
        <v>2.1890089161474018</v>
      </c>
      <c r="F157" s="11">
        <f t="shared" si="111"/>
        <v>3.1459491138312314</v>
      </c>
      <c r="G157" s="200">
        <f t="shared" ref="G157:G178" si="113">IF(B157&gt;0,(1+(E157/B157))^(1/($C$6-$B$6))-1,0)</f>
        <v>2.9896559313310034E-2</v>
      </c>
      <c r="I157" s="11"/>
      <c r="J157" s="11"/>
      <c r="K157" s="11"/>
      <c r="L157" s="11"/>
      <c r="M157" s="11"/>
      <c r="N157" s="11"/>
      <c r="P157" s="11"/>
      <c r="Q157" s="11"/>
      <c r="R157" s="11"/>
      <c r="S157" s="341"/>
      <c r="T157" s="341"/>
      <c r="U157" s="341"/>
    </row>
    <row r="158" spans="1:21" x14ac:dyDescent="0.2">
      <c r="A158" t="str">
        <f t="shared" si="109"/>
        <v>31 Science, engineering and technology associate professionals</v>
      </c>
      <c r="B158" s="11">
        <v>1.9070905388462562</v>
      </c>
      <c r="C158" s="11">
        <v>1.5424532655774714</v>
      </c>
      <c r="D158" s="11">
        <f t="shared" si="110"/>
        <v>-0.36463727326878481</v>
      </c>
      <c r="E158" s="11">
        <v>0.61914384873033257</v>
      </c>
      <c r="F158" s="11">
        <f t="shared" si="111"/>
        <v>0.25450657546154776</v>
      </c>
      <c r="G158" s="200">
        <f t="shared" si="113"/>
        <v>1.8920160634860794E-2</v>
      </c>
      <c r="I158" s="11"/>
      <c r="J158" s="11"/>
      <c r="K158" s="11"/>
      <c r="L158" s="11"/>
      <c r="M158" s="11"/>
      <c r="N158" s="11"/>
      <c r="P158" s="11"/>
      <c r="Q158" s="11"/>
      <c r="R158" s="11"/>
      <c r="S158" s="341"/>
      <c r="T158" s="341"/>
      <c r="U158" s="341"/>
    </row>
    <row r="159" spans="1:21" x14ac:dyDescent="0.2">
      <c r="A159" t="str">
        <f t="shared" si="109"/>
        <v>32 Health and social care associate professionals</v>
      </c>
      <c r="B159" s="11">
        <v>0.78359897304665649</v>
      </c>
      <c r="C159" s="11">
        <v>0.80558670606850957</v>
      </c>
      <c r="D159" s="11">
        <f t="shared" si="110"/>
        <v>2.1987733021853084E-2</v>
      </c>
      <c r="E159" s="11">
        <v>0.43814031492143357</v>
      </c>
      <c r="F159" s="11">
        <f t="shared" si="111"/>
        <v>0.46012804794328666</v>
      </c>
      <c r="G159" s="200">
        <f t="shared" si="113"/>
        <v>3.0051594623923039E-2</v>
      </c>
      <c r="I159" s="11"/>
      <c r="J159" s="11"/>
      <c r="K159" s="11"/>
      <c r="L159" s="11"/>
      <c r="M159" s="11"/>
      <c r="N159" s="11"/>
      <c r="P159" s="11"/>
      <c r="Q159" s="11"/>
      <c r="R159" s="11"/>
      <c r="S159" s="341"/>
      <c r="T159" s="341"/>
      <c r="U159" s="341"/>
    </row>
    <row r="160" spans="1:21" x14ac:dyDescent="0.2">
      <c r="A160" t="str">
        <f t="shared" si="109"/>
        <v>33 Protective service occupations</v>
      </c>
      <c r="B160" s="11">
        <v>0.59996999762046299</v>
      </c>
      <c r="C160" s="11">
        <v>0.73661477894733807</v>
      </c>
      <c r="D160" s="11">
        <f t="shared" si="110"/>
        <v>0.13664478132687508</v>
      </c>
      <c r="E160" s="11">
        <v>0.24558473639477449</v>
      </c>
      <c r="F160" s="11">
        <f t="shared" si="111"/>
        <v>0.38222951772164959</v>
      </c>
      <c r="G160" s="200">
        <f t="shared" si="113"/>
        <v>2.3137837896437086E-2</v>
      </c>
      <c r="I160" s="11"/>
      <c r="J160" s="11"/>
      <c r="K160" s="11"/>
      <c r="L160" s="11"/>
      <c r="M160" s="11"/>
      <c r="N160" s="11"/>
      <c r="P160" s="11"/>
      <c r="Q160" s="11"/>
      <c r="R160" s="11"/>
      <c r="S160" s="341"/>
      <c r="T160" s="341"/>
      <c r="U160" s="341"/>
    </row>
    <row r="161" spans="1:21" x14ac:dyDescent="0.2">
      <c r="A161" t="str">
        <f t="shared" si="109"/>
        <v>34 Culture, media and sports occupations</v>
      </c>
      <c r="B161" s="11">
        <v>1.1905920599143167</v>
      </c>
      <c r="C161" s="11">
        <v>1.0886214963046956</v>
      </c>
      <c r="D161" s="11">
        <f t="shared" si="110"/>
        <v>-0.10197056360962109</v>
      </c>
      <c r="E161" s="11">
        <v>0.50488877845551838</v>
      </c>
      <c r="F161" s="11">
        <f t="shared" ref="F161:F162" si="114">SUM(D161:E161)</f>
        <v>0.40291821484589729</v>
      </c>
      <c r="G161" s="200">
        <f t="shared" si="113"/>
        <v>2.3847624372741016E-2</v>
      </c>
      <c r="I161" s="11"/>
      <c r="J161" s="11"/>
      <c r="K161" s="11"/>
      <c r="L161" s="11"/>
      <c r="M161" s="11"/>
      <c r="N161" s="11"/>
      <c r="P161" s="11"/>
      <c r="Q161" s="11"/>
      <c r="R161" s="11"/>
      <c r="S161" s="341"/>
      <c r="T161" s="341"/>
      <c r="U161" s="341"/>
    </row>
    <row r="162" spans="1:21" x14ac:dyDescent="0.2">
      <c r="A162" t="str">
        <f t="shared" si="109"/>
        <v>35 Business and public service associate professionals</v>
      </c>
      <c r="B162" s="11">
        <v>4.1463964726669458</v>
      </c>
      <c r="C162" s="11">
        <v>4.3825570134014624</v>
      </c>
      <c r="D162" s="11">
        <f t="shared" si="110"/>
        <v>0.23616054073451664</v>
      </c>
      <c r="E162" s="11">
        <v>1.9872110484792915</v>
      </c>
      <c r="F162" s="11">
        <f t="shared" si="114"/>
        <v>2.2233715892138082</v>
      </c>
      <c r="G162" s="200">
        <f t="shared" si="113"/>
        <v>2.6446560441602207E-2</v>
      </c>
      <c r="I162" s="11"/>
      <c r="J162" s="11"/>
      <c r="K162" s="11"/>
      <c r="L162" s="11"/>
      <c r="M162" s="11"/>
      <c r="N162" s="11"/>
      <c r="P162" s="11"/>
      <c r="Q162" s="11"/>
      <c r="R162" s="11"/>
      <c r="S162" s="341"/>
      <c r="T162" s="341"/>
      <c r="U162" s="341"/>
    </row>
    <row r="163" spans="1:21" x14ac:dyDescent="0.2">
      <c r="A163" t="str">
        <f t="shared" si="109"/>
        <v>41 Administrative occupations</v>
      </c>
      <c r="B163" s="11">
        <v>5.2749617967298237</v>
      </c>
      <c r="C163" s="11">
        <v>5.7772319070003908</v>
      </c>
      <c r="D163" s="11">
        <f t="shared" si="110"/>
        <v>0.50227011027056712</v>
      </c>
      <c r="E163" s="11">
        <v>2.9213677271351037</v>
      </c>
      <c r="F163" s="11">
        <f t="shared" ref="F163:F166" si="115">SUM(D163:E163)</f>
        <v>3.4236378374056708</v>
      </c>
      <c r="G163" s="200">
        <f t="shared" si="113"/>
        <v>2.9816879834523746E-2</v>
      </c>
      <c r="I163" s="11"/>
      <c r="J163" s="11"/>
      <c r="K163" s="11"/>
      <c r="L163" s="11"/>
      <c r="M163" s="11"/>
      <c r="N163" s="11"/>
      <c r="P163" s="11"/>
      <c r="Q163" s="11"/>
      <c r="R163" s="11"/>
      <c r="S163" s="341"/>
      <c r="T163" s="341"/>
      <c r="U163" s="341"/>
    </row>
    <row r="164" spans="1:21" x14ac:dyDescent="0.2">
      <c r="A164" t="str">
        <f t="shared" si="109"/>
        <v>42 Secretarial and related occupations</v>
      </c>
      <c r="B164" s="11">
        <v>1.1774009738196276</v>
      </c>
      <c r="C164" s="11">
        <v>1.5634073654683764</v>
      </c>
      <c r="D164" s="11">
        <f t="shared" si="110"/>
        <v>0.38600639164874884</v>
      </c>
      <c r="E164" s="11">
        <v>0.84110502611257132</v>
      </c>
      <c r="F164" s="11">
        <f t="shared" si="115"/>
        <v>1.22711141776132</v>
      </c>
      <c r="G164" s="200">
        <f t="shared" si="113"/>
        <v>3.6590068553682187E-2</v>
      </c>
      <c r="I164" s="11"/>
      <c r="J164" s="11"/>
      <c r="K164" s="11"/>
      <c r="L164" s="11"/>
      <c r="M164" s="11"/>
      <c r="N164" s="11"/>
      <c r="P164" s="11"/>
      <c r="Q164" s="11"/>
      <c r="R164" s="11"/>
      <c r="S164" s="341"/>
      <c r="T164" s="341"/>
      <c r="U164" s="341"/>
    </row>
    <row r="165" spans="1:21" x14ac:dyDescent="0.2">
      <c r="A165" t="str">
        <f t="shared" si="109"/>
        <v>51 Skilled agricultural and related trades</v>
      </c>
      <c r="B165" s="11">
        <v>0.72997406129829667</v>
      </c>
      <c r="C165" s="11">
        <v>1.0643092325420989</v>
      </c>
      <c r="D165" s="11">
        <f t="shared" si="110"/>
        <v>0.33433517124380219</v>
      </c>
      <c r="E165" s="11">
        <v>0.56346835757164604</v>
      </c>
      <c r="F165" s="11">
        <f t="shared" si="115"/>
        <v>0.89780352881544823</v>
      </c>
      <c r="G165" s="200">
        <f t="shared" si="113"/>
        <v>3.8873443799010365E-2</v>
      </c>
      <c r="I165" s="11"/>
      <c r="J165" s="11"/>
      <c r="K165" s="11"/>
      <c r="L165" s="11"/>
      <c r="M165" s="11"/>
      <c r="N165" s="11"/>
      <c r="P165" s="11"/>
      <c r="Q165" s="11"/>
      <c r="R165" s="11"/>
      <c r="S165" s="341"/>
      <c r="T165" s="341"/>
      <c r="U165" s="341"/>
    </row>
    <row r="166" spans="1:21" x14ac:dyDescent="0.2">
      <c r="A166" t="str">
        <f t="shared" si="109"/>
        <v>52 Skilled metal, electrical and electronic trades</v>
      </c>
      <c r="B166" s="11">
        <v>2.3528865145873517</v>
      </c>
      <c r="C166" s="11">
        <v>2.9100468617970501</v>
      </c>
      <c r="D166" s="11">
        <f t="shared" si="110"/>
        <v>0.55716034720969843</v>
      </c>
      <c r="E166" s="11">
        <v>1.2019821852821453</v>
      </c>
      <c r="F166" s="11">
        <f t="shared" si="115"/>
        <v>1.7591425324918437</v>
      </c>
      <c r="G166" s="200">
        <f t="shared" si="113"/>
        <v>2.7893624271427386E-2</v>
      </c>
      <c r="I166" s="11"/>
      <c r="J166" s="11"/>
      <c r="K166" s="11"/>
      <c r="L166" s="11"/>
      <c r="M166" s="11"/>
      <c r="N166" s="11"/>
      <c r="P166" s="11"/>
      <c r="Q166" s="11"/>
      <c r="R166" s="11"/>
      <c r="S166" s="341"/>
      <c r="T166" s="341"/>
      <c r="U166" s="341"/>
    </row>
    <row r="167" spans="1:21" x14ac:dyDescent="0.2">
      <c r="A167" t="str">
        <f t="shared" si="109"/>
        <v>53 Skilled construction and building trades</v>
      </c>
      <c r="B167" s="11">
        <v>0.81844630764252857</v>
      </c>
      <c r="C167" s="11">
        <v>1.0532713282602351</v>
      </c>
      <c r="D167" s="11">
        <f t="shared" si="110"/>
        <v>0.23482502061770649</v>
      </c>
      <c r="E167" s="11">
        <v>0.54931236375604631</v>
      </c>
      <c r="F167" s="11">
        <f t="shared" ref="F167" si="116">SUM(D167:E167)</f>
        <v>0.7841373843737528</v>
      </c>
      <c r="G167" s="200">
        <f t="shared" si="113"/>
        <v>3.4827478216399976E-2</v>
      </c>
      <c r="I167" s="11"/>
      <c r="J167" s="11"/>
      <c r="K167" s="11"/>
      <c r="L167" s="11"/>
      <c r="M167" s="11"/>
      <c r="N167" s="11"/>
      <c r="P167" s="11"/>
      <c r="Q167" s="11"/>
      <c r="R167" s="11"/>
      <c r="S167" s="341"/>
      <c r="T167" s="341"/>
      <c r="U167" s="341"/>
    </row>
    <row r="168" spans="1:21" x14ac:dyDescent="0.2">
      <c r="A168" t="str">
        <f t="shared" si="109"/>
        <v>54 Textiles, printing and other skilled trades</v>
      </c>
      <c r="B168" s="11">
        <v>0.72745186826944952</v>
      </c>
      <c r="C168" s="11">
        <v>1.0563733960775619</v>
      </c>
      <c r="D168" s="11">
        <f t="shared" si="110"/>
        <v>0.32892152780811235</v>
      </c>
      <c r="E168" s="11">
        <v>0.48831809529043035</v>
      </c>
      <c r="F168" s="11">
        <f t="shared" ref="F168" si="117">SUM(D168:E168)</f>
        <v>0.8172396230985427</v>
      </c>
      <c r="G168" s="200">
        <f t="shared" si="113"/>
        <v>3.4831904312492723E-2</v>
      </c>
      <c r="I168" s="11"/>
      <c r="J168" s="11"/>
      <c r="K168" s="11"/>
      <c r="L168" s="11"/>
      <c r="M168" s="11"/>
      <c r="N168" s="11"/>
      <c r="P168" s="11"/>
      <c r="Q168" s="11"/>
      <c r="R168" s="11"/>
      <c r="S168" s="341"/>
      <c r="T168" s="341"/>
      <c r="U168" s="341"/>
    </row>
    <row r="169" spans="1:21" x14ac:dyDescent="0.2">
      <c r="A169" t="str">
        <f t="shared" si="109"/>
        <v>61 Caring personal service occupations</v>
      </c>
      <c r="B169" s="11">
        <v>3.6890345536817968</v>
      </c>
      <c r="C169" s="11">
        <v>4.2613353411490591</v>
      </c>
      <c r="D169" s="11">
        <f>C169-B169</f>
        <v>0.57230078746726232</v>
      </c>
      <c r="E169" s="11">
        <v>2.3638262166362791</v>
      </c>
      <c r="F169" s="11">
        <f>SUM(D169:E169)</f>
        <v>2.9361270041035414</v>
      </c>
      <c r="G169" s="200">
        <f t="shared" si="113"/>
        <v>3.3561993086338671E-2</v>
      </c>
      <c r="I169" s="11"/>
      <c r="J169" s="11"/>
      <c r="K169" s="11"/>
      <c r="L169" s="11"/>
      <c r="M169" s="11"/>
      <c r="N169" s="11"/>
      <c r="P169" s="11"/>
      <c r="Q169" s="11"/>
      <c r="R169" s="11"/>
      <c r="S169" s="341"/>
      <c r="T169" s="341"/>
      <c r="U169" s="341"/>
    </row>
    <row r="170" spans="1:21" x14ac:dyDescent="0.2">
      <c r="A170" t="str">
        <f t="shared" si="109"/>
        <v>62 Leisure, travel and related personal service occupations</v>
      </c>
      <c r="B170" s="11">
        <v>2.0455246036435639</v>
      </c>
      <c r="C170" s="11">
        <v>3.2980248009307425</v>
      </c>
      <c r="D170" s="11">
        <f t="shared" ref="D170:D176" si="118">C170-B170</f>
        <v>1.2525001972871785</v>
      </c>
      <c r="E170" s="11">
        <v>1.6485874931067623</v>
      </c>
      <c r="F170" s="11">
        <f t="shared" ref="F170:F171" si="119">SUM(D170:E170)</f>
        <v>2.9010876903939407</v>
      </c>
      <c r="G170" s="200">
        <f t="shared" si="113"/>
        <v>4.0192434659609422E-2</v>
      </c>
      <c r="I170" s="11"/>
      <c r="J170" s="11"/>
      <c r="K170" s="11"/>
      <c r="L170" s="11"/>
      <c r="M170" s="11"/>
      <c r="N170" s="11"/>
      <c r="P170" s="11"/>
      <c r="Q170" s="11"/>
      <c r="R170" s="11"/>
      <c r="S170" s="341"/>
      <c r="T170" s="341"/>
      <c r="U170" s="341"/>
    </row>
    <row r="171" spans="1:21" x14ac:dyDescent="0.2">
      <c r="A171" t="str">
        <f t="shared" si="109"/>
        <v>63 Community and civil enforcement occupations</v>
      </c>
      <c r="B171" s="11">
        <v>4.9060860904968119E-2</v>
      </c>
      <c r="C171" s="11">
        <v>4.1061276462643632E-2</v>
      </c>
      <c r="D171" s="11">
        <f t="shared" si="118"/>
        <v>-7.9995844423244866E-3</v>
      </c>
      <c r="E171" s="11">
        <v>2.3686187469767622E-2</v>
      </c>
      <c r="F171" s="11">
        <f t="shared" si="119"/>
        <v>1.5686603027443135E-2</v>
      </c>
      <c r="G171" s="200">
        <f t="shared" si="113"/>
        <v>2.6609662351341434E-2</v>
      </c>
      <c r="I171" s="11"/>
      <c r="J171" s="11"/>
      <c r="K171" s="11"/>
      <c r="L171" s="11"/>
      <c r="M171" s="11"/>
      <c r="N171" s="11"/>
      <c r="P171" s="11"/>
      <c r="Q171" s="11"/>
      <c r="R171" s="11"/>
      <c r="S171" s="341"/>
      <c r="T171" s="341"/>
      <c r="U171" s="341"/>
    </row>
    <row r="172" spans="1:21" x14ac:dyDescent="0.2">
      <c r="A172" t="str">
        <f t="shared" si="109"/>
        <v>71 Sales occupations</v>
      </c>
      <c r="B172" s="11">
        <v>1.9833382227907921</v>
      </c>
      <c r="C172" s="11">
        <v>2.2217562555734771</v>
      </c>
      <c r="D172" s="11">
        <f t="shared" si="118"/>
        <v>0.23841803278268503</v>
      </c>
      <c r="E172" s="11">
        <v>0.91015280587377301</v>
      </c>
      <c r="F172" s="11">
        <f t="shared" ref="F172:F173" si="120">SUM(D172:E172)</f>
        <v>1.1485708386564579</v>
      </c>
      <c r="G172" s="200">
        <f t="shared" si="113"/>
        <v>2.5498486869032888E-2</v>
      </c>
      <c r="I172" s="11"/>
      <c r="J172" s="11"/>
      <c r="K172" s="11"/>
      <c r="L172" s="11"/>
      <c r="M172" s="11"/>
      <c r="N172" s="11"/>
      <c r="P172" s="11"/>
      <c r="Q172" s="11"/>
      <c r="R172" s="11"/>
      <c r="S172" s="341"/>
      <c r="T172" s="341"/>
      <c r="U172" s="341"/>
    </row>
    <row r="173" spans="1:21" x14ac:dyDescent="0.2">
      <c r="A173" t="str">
        <f t="shared" si="109"/>
        <v>72 Customer service occupations</v>
      </c>
      <c r="B173" s="11">
        <v>0.93518390347799407</v>
      </c>
      <c r="C173" s="11">
        <v>1.3958161885978855</v>
      </c>
      <c r="D173" s="11">
        <f t="shared" si="118"/>
        <v>0.4606322851198914</v>
      </c>
      <c r="E173" s="11">
        <v>0.61813655088071884</v>
      </c>
      <c r="F173" s="11">
        <f t="shared" si="120"/>
        <v>1.0787688360006102</v>
      </c>
      <c r="G173" s="200">
        <f t="shared" si="113"/>
        <v>3.4405773481047452E-2</v>
      </c>
      <c r="I173" s="11"/>
      <c r="J173" s="11"/>
      <c r="K173" s="11"/>
      <c r="L173" s="11"/>
      <c r="M173" s="11"/>
      <c r="N173" s="11"/>
      <c r="P173" s="11"/>
      <c r="Q173" s="11"/>
      <c r="R173" s="11"/>
      <c r="S173" s="341"/>
      <c r="T173" s="341"/>
      <c r="U173" s="341"/>
    </row>
    <row r="174" spans="1:21" x14ac:dyDescent="0.2">
      <c r="A174" t="str">
        <f t="shared" si="109"/>
        <v>81 Process, plant and machine operatives</v>
      </c>
      <c r="B174" s="11">
        <v>0.52391734874115647</v>
      </c>
      <c r="C174" s="11">
        <v>0.97528518279847753</v>
      </c>
      <c r="D174" s="11">
        <f t="shared" si="118"/>
        <v>0.45136783405732106</v>
      </c>
      <c r="E174" s="11">
        <v>0.37950232311861376</v>
      </c>
      <c r="F174" s="11">
        <f t="shared" ref="F174:F175" si="121">SUM(D174:E174)</f>
        <v>0.83087015717593482</v>
      </c>
      <c r="G174" s="200">
        <f t="shared" si="113"/>
        <v>3.6991311301128871E-2</v>
      </c>
      <c r="I174" s="11"/>
      <c r="J174" s="11"/>
      <c r="K174" s="11"/>
      <c r="L174" s="11"/>
      <c r="M174" s="11"/>
      <c r="N174" s="11"/>
      <c r="P174" s="11"/>
      <c r="Q174" s="11"/>
      <c r="R174" s="11"/>
      <c r="S174" s="341"/>
      <c r="T174" s="341"/>
      <c r="U174" s="341"/>
    </row>
    <row r="175" spans="1:21" x14ac:dyDescent="0.2">
      <c r="A175" t="str">
        <f t="shared" si="109"/>
        <v>82 Transport and mobile machine drivers and operatives</v>
      </c>
      <c r="B175" s="11">
        <v>1.1112599341182383</v>
      </c>
      <c r="C175" s="11">
        <v>1.5000182574199825</v>
      </c>
      <c r="D175" s="11">
        <f t="shared" si="118"/>
        <v>0.3887583233017442</v>
      </c>
      <c r="E175" s="11">
        <v>0.89940767400797461</v>
      </c>
      <c r="F175" s="11">
        <f t="shared" si="121"/>
        <v>1.2881659973097188</v>
      </c>
      <c r="G175" s="200">
        <f t="shared" si="113"/>
        <v>4.0323259041502801E-2</v>
      </c>
      <c r="I175" s="11"/>
      <c r="J175" s="11"/>
      <c r="K175" s="11"/>
      <c r="L175" s="11"/>
      <c r="M175" s="11"/>
      <c r="N175" s="11"/>
      <c r="P175" s="11"/>
      <c r="Q175" s="11"/>
      <c r="R175" s="11"/>
      <c r="S175" s="341"/>
      <c r="T175" s="341"/>
      <c r="U175" s="341"/>
    </row>
    <row r="176" spans="1:21" x14ac:dyDescent="0.2">
      <c r="A176" t="str">
        <f t="shared" si="109"/>
        <v>91 Elementary trades and related occupations</v>
      </c>
      <c r="B176" s="11">
        <v>0.372857159422462</v>
      </c>
      <c r="C176" s="11">
        <v>0.36334387071475294</v>
      </c>
      <c r="D176" s="11">
        <f t="shared" si="118"/>
        <v>-9.5132887077090666E-3</v>
      </c>
      <c r="E176" s="11">
        <v>0.16814621608210339</v>
      </c>
      <c r="F176" s="11">
        <f t="shared" ref="F176" si="122">SUM(D176:E176)</f>
        <v>0.15863292737439433</v>
      </c>
      <c r="G176" s="200">
        <f t="shared" si="113"/>
        <v>2.5125804853353806E-2</v>
      </c>
      <c r="I176" s="11"/>
      <c r="J176" s="11"/>
      <c r="K176" s="11"/>
      <c r="L176" s="11"/>
      <c r="M176" s="11"/>
      <c r="N176" s="11"/>
      <c r="P176" s="11"/>
      <c r="Q176" s="11"/>
      <c r="R176" s="11"/>
      <c r="S176" s="341"/>
      <c r="T176" s="341"/>
      <c r="U176" s="341"/>
    </row>
    <row r="177" spans="1:21" x14ac:dyDescent="0.2">
      <c r="A177" t="str">
        <f t="shared" si="109"/>
        <v>92 Elementary administration and service occupations</v>
      </c>
      <c r="B177" s="11">
        <v>3.2357416702178652</v>
      </c>
      <c r="C177" s="11">
        <v>4.9892199673480908</v>
      </c>
      <c r="D177" s="11">
        <f t="shared" ref="D177" si="123">C177-B177</f>
        <v>1.7534782971302256</v>
      </c>
      <c r="E177" s="11">
        <v>2.4836083722315516</v>
      </c>
      <c r="F177" s="11">
        <f t="shared" ref="F177" si="124">SUM(D177:E177)</f>
        <v>4.2370866693617772</v>
      </c>
      <c r="G177" s="200">
        <f t="shared" si="113"/>
        <v>3.8703326281333883E-2</v>
      </c>
      <c r="I177" s="11"/>
      <c r="J177" s="11"/>
      <c r="K177" s="11"/>
      <c r="L177" s="11"/>
      <c r="M177" s="11"/>
      <c r="N177" s="11"/>
      <c r="P177" s="11"/>
      <c r="Q177" s="11"/>
      <c r="R177" s="11"/>
      <c r="S177" s="341"/>
      <c r="T177" s="341"/>
      <c r="U177" s="341"/>
    </row>
    <row r="178" spans="1:21" x14ac:dyDescent="0.2">
      <c r="A178" t="str">
        <f t="shared" si="109"/>
        <v>All occupations</v>
      </c>
      <c r="B178" s="11">
        <f>SUM(B152:B177)</f>
        <v>54.070509554076025</v>
      </c>
      <c r="C178" s="11">
        <f t="shared" ref="C178:F178" si="125">SUM(C152:C177)</f>
        <v>63.457427221431786</v>
      </c>
      <c r="D178" s="11">
        <f t="shared" si="125"/>
        <v>9.3869176673557675</v>
      </c>
      <c r="E178" s="11">
        <f t="shared" si="125"/>
        <v>30.236097232040223</v>
      </c>
      <c r="F178" s="11">
        <f t="shared" si="125"/>
        <v>39.62301489939599</v>
      </c>
      <c r="G178" s="200">
        <f t="shared" si="113"/>
        <v>3.0054198193070425E-2</v>
      </c>
      <c r="I178" s="11"/>
      <c r="J178" s="11"/>
      <c r="K178" s="11"/>
      <c r="L178" s="11"/>
      <c r="M178" s="11"/>
      <c r="N178" s="11"/>
      <c r="P178" s="11"/>
      <c r="Q178" s="11"/>
      <c r="R178" s="11"/>
      <c r="S178" s="341"/>
      <c r="T178" s="341"/>
      <c r="U178" s="341"/>
    </row>
    <row r="179" spans="1:21" x14ac:dyDescent="0.2">
      <c r="I179" s="11"/>
      <c r="J179" s="11"/>
      <c r="K179" s="11"/>
      <c r="L179" s="11"/>
      <c r="M179" s="11"/>
      <c r="N179" s="11"/>
      <c r="P179" s="11"/>
      <c r="Q179" s="11"/>
      <c r="R179" s="11"/>
      <c r="S179" s="341"/>
      <c r="T179" s="341"/>
      <c r="U179" s="341"/>
    </row>
    <row r="180" spans="1:21" ht="38.25" x14ac:dyDescent="0.2">
      <c r="A180" s="201" t="str">
        <f>CONCATENATE(name!F9," (Constrained)")</f>
        <v>RQF3 A level &amp; equivalent (Constrained)</v>
      </c>
      <c r="B180" s="88">
        <f t="shared" ref="B180:G180" si="126">B93</f>
        <v>2020</v>
      </c>
      <c r="C180" s="88">
        <f t="shared" si="126"/>
        <v>2035</v>
      </c>
      <c r="D180" s="88" t="str">
        <f t="shared" si="126"/>
        <v>Net Change</v>
      </c>
      <c r="E180" s="88" t="str">
        <f t="shared" si="126"/>
        <v>Replacement Demand level</v>
      </c>
      <c r="F180" s="88" t="str">
        <f t="shared" si="126"/>
        <v>Total Requirement</v>
      </c>
      <c r="G180" s="88" t="str">
        <f t="shared" si="126"/>
        <v>Replacement Demand rate</v>
      </c>
      <c r="I180" s="11"/>
      <c r="J180" s="11"/>
      <c r="K180" s="11"/>
      <c r="L180" s="11"/>
      <c r="M180" s="11"/>
      <c r="N180" s="11"/>
      <c r="P180" s="11"/>
      <c r="Q180" s="11"/>
      <c r="R180" s="11"/>
      <c r="S180" s="341"/>
      <c r="T180" s="341"/>
      <c r="U180" s="341"/>
    </row>
    <row r="181" spans="1:21" x14ac:dyDescent="0.2">
      <c r="A181" t="str">
        <f t="shared" ref="A181:A207" si="127">A94</f>
        <v>11 Corporate managers and directors</v>
      </c>
      <c r="B181" s="11">
        <v>13.68650674887734</v>
      </c>
      <c r="C181" s="11">
        <v>12.672953541267196</v>
      </c>
      <c r="D181" s="11">
        <f>C181-B181</f>
        <v>-1.0135532076101441</v>
      </c>
      <c r="E181" s="11">
        <v>5.5017997475402964</v>
      </c>
      <c r="F181" s="11">
        <f>SUM(D181:E181)</f>
        <v>4.4882465399301523</v>
      </c>
      <c r="G181" s="200">
        <f>IF(B181&gt;0,(1+(E181/B181))^(1/($C$6-$B$6))-1,0)</f>
        <v>2.278166829320627E-2</v>
      </c>
      <c r="I181" s="11"/>
      <c r="J181" s="11"/>
      <c r="K181" s="11"/>
      <c r="L181" s="11"/>
      <c r="M181" s="11"/>
      <c r="N181" s="11"/>
      <c r="P181" s="82"/>
      <c r="Q181" s="73"/>
    </row>
    <row r="182" spans="1:21" x14ac:dyDescent="0.2">
      <c r="A182" t="str">
        <f t="shared" si="127"/>
        <v>12 Other managers and proprietors</v>
      </c>
      <c r="B182" s="11">
        <v>5.3577953823806004</v>
      </c>
      <c r="C182" s="11">
        <v>6.5574194213196026</v>
      </c>
      <c r="D182" s="11">
        <f t="shared" ref="D182:D197" si="128">C182-B182</f>
        <v>1.1996240389390023</v>
      </c>
      <c r="E182" s="11">
        <v>3.0537552445806297</v>
      </c>
      <c r="F182" s="11">
        <f t="shared" ref="F182:F189" si="129">SUM(D182:E182)</f>
        <v>4.2533792835196316</v>
      </c>
      <c r="G182" s="200">
        <f t="shared" ref="G182:G184" si="130">IF(B182&gt;0,(1+(E182/B182))^(1/($C$6-$B$6))-1,0)</f>
        <v>3.0526891900892306E-2</v>
      </c>
      <c r="I182" s="11"/>
      <c r="J182" s="11"/>
      <c r="K182" s="11"/>
      <c r="L182" s="11"/>
      <c r="M182" s="11"/>
      <c r="N182" s="11"/>
    </row>
    <row r="183" spans="1:21" x14ac:dyDescent="0.2">
      <c r="A183" t="str">
        <f t="shared" si="127"/>
        <v>21 Science, research, engineering and technology professionals</v>
      </c>
      <c r="B183" s="11">
        <v>7.1748412357760358</v>
      </c>
      <c r="C183" s="11">
        <v>5.8739568173756114</v>
      </c>
      <c r="D183" s="11">
        <f t="shared" si="128"/>
        <v>-1.3008844184004245</v>
      </c>
      <c r="E183" s="11">
        <v>1.7955805129514042</v>
      </c>
      <c r="F183" s="11">
        <f t="shared" si="129"/>
        <v>0.49469609455097974</v>
      </c>
      <c r="G183" s="200">
        <f t="shared" si="130"/>
        <v>1.5001547623892719E-2</v>
      </c>
      <c r="I183" s="11"/>
      <c r="J183" s="11"/>
      <c r="K183" s="11"/>
      <c r="L183" s="11"/>
      <c r="M183" s="11"/>
      <c r="N183" s="11"/>
    </row>
    <row r="184" spans="1:21" x14ac:dyDescent="0.2">
      <c r="A184" t="str">
        <f t="shared" si="127"/>
        <v>22 Health professionals</v>
      </c>
      <c r="B184" s="11">
        <v>3.5794798657346716</v>
      </c>
      <c r="C184" s="11">
        <v>4.1067543583015231</v>
      </c>
      <c r="D184" s="11">
        <f t="shared" si="128"/>
        <v>0.52727449256685155</v>
      </c>
      <c r="E184" s="11">
        <v>2.2152718243168299</v>
      </c>
      <c r="F184" s="11">
        <f t="shared" si="129"/>
        <v>2.7425463168836814</v>
      </c>
      <c r="G184" s="200">
        <f t="shared" si="130"/>
        <v>3.263694873895373E-2</v>
      </c>
      <c r="I184" s="11"/>
      <c r="J184" s="11"/>
      <c r="K184" s="11"/>
      <c r="L184" s="11"/>
      <c r="M184" s="11"/>
      <c r="N184" s="11"/>
    </row>
    <row r="185" spans="1:21" x14ac:dyDescent="0.2">
      <c r="A185" t="str">
        <f t="shared" si="127"/>
        <v>23 Teaching and other educational professionals</v>
      </c>
      <c r="B185" s="11">
        <v>1.5986898197202666</v>
      </c>
      <c r="C185" s="11">
        <v>2.0067216102367471</v>
      </c>
      <c r="D185" s="11">
        <f t="shared" si="128"/>
        <v>0.40803179051648053</v>
      </c>
      <c r="E185" s="11">
        <v>0.74233831193243127</v>
      </c>
      <c r="F185" s="11">
        <f t="shared" si="129"/>
        <v>1.1503701024489117</v>
      </c>
      <c r="G185" s="200">
        <f>IF(B185&gt;0,(1+(E185/B185))^(1/($C$6-$B$6))-1,0)</f>
        <v>2.5753076512847972E-2</v>
      </c>
      <c r="I185" s="11"/>
      <c r="J185" s="11"/>
      <c r="K185" s="11"/>
      <c r="L185" s="11"/>
      <c r="M185" s="11"/>
      <c r="N185" s="11"/>
    </row>
    <row r="186" spans="1:21" x14ac:dyDescent="0.2">
      <c r="A186" t="str">
        <f t="shared" si="127"/>
        <v>24 Business, media and public service professionals</v>
      </c>
      <c r="B186" s="11">
        <v>8.1469008593004997</v>
      </c>
      <c r="C186" s="11">
        <v>9.4952387327046939</v>
      </c>
      <c r="D186" s="11">
        <f t="shared" si="128"/>
        <v>1.3483378734041942</v>
      </c>
      <c r="E186" s="11">
        <v>3.7176095702421881</v>
      </c>
      <c r="F186" s="11">
        <f t="shared" si="129"/>
        <v>5.0659474436463823</v>
      </c>
      <c r="G186" s="200">
        <f t="shared" ref="G186:G205" si="131">IF(B186&gt;0,(1+(E186/B186))^(1/($C$6-$B$6))-1,0)</f>
        <v>2.5377600690628555E-2</v>
      </c>
      <c r="I186" s="11"/>
      <c r="J186" s="11"/>
      <c r="K186" s="11"/>
      <c r="L186" s="11"/>
      <c r="M186" s="11"/>
      <c r="N186" s="11"/>
    </row>
    <row r="187" spans="1:21" x14ac:dyDescent="0.2">
      <c r="A187" t="str">
        <f t="shared" si="127"/>
        <v>31 Science, engineering and technology associate professionals</v>
      </c>
      <c r="B187" s="11">
        <v>2.6982930209545475</v>
      </c>
      <c r="C187" s="11">
        <v>1.4655935278937813</v>
      </c>
      <c r="D187" s="11">
        <f t="shared" si="128"/>
        <v>-1.2326994930607662</v>
      </c>
      <c r="E187" s="11">
        <v>0.66128469897529607</v>
      </c>
      <c r="F187" s="11">
        <f t="shared" si="129"/>
        <v>-0.57141479408547013</v>
      </c>
      <c r="G187" s="200">
        <f t="shared" si="131"/>
        <v>1.4720354702184801E-2</v>
      </c>
      <c r="I187" s="11"/>
      <c r="J187" s="11"/>
      <c r="K187" s="11"/>
      <c r="L187" s="11"/>
      <c r="M187" s="11"/>
      <c r="N187" s="11"/>
    </row>
    <row r="188" spans="1:21" x14ac:dyDescent="0.2">
      <c r="A188" t="str">
        <f t="shared" si="127"/>
        <v>32 Health and social care associate professionals</v>
      </c>
      <c r="B188" s="11">
        <v>2.7827275636781299</v>
      </c>
      <c r="C188" s="11">
        <v>3.1121822524073641</v>
      </c>
      <c r="D188" s="11">
        <f t="shared" si="128"/>
        <v>0.32945468872923422</v>
      </c>
      <c r="E188" s="11">
        <v>1.701441232633331</v>
      </c>
      <c r="F188" s="11">
        <f t="shared" si="129"/>
        <v>2.030895921362565</v>
      </c>
      <c r="G188" s="200">
        <f t="shared" si="131"/>
        <v>3.2319388605489108E-2</v>
      </c>
      <c r="I188" s="11"/>
      <c r="J188" s="11"/>
      <c r="K188" s="11"/>
      <c r="L188" s="11"/>
      <c r="M188" s="11"/>
      <c r="N188" s="11"/>
    </row>
    <row r="189" spans="1:21" x14ac:dyDescent="0.2">
      <c r="A189" t="str">
        <f t="shared" si="127"/>
        <v>33 Protective service occupations</v>
      </c>
      <c r="B189" s="11">
        <v>1.8788004719334033</v>
      </c>
      <c r="C189" s="11">
        <v>2.1253007362319991</v>
      </c>
      <c r="D189" s="11">
        <f t="shared" si="128"/>
        <v>0.24650026429859584</v>
      </c>
      <c r="E189" s="11">
        <v>0.53715178836860655</v>
      </c>
      <c r="F189" s="11">
        <f t="shared" si="129"/>
        <v>0.78365205266720239</v>
      </c>
      <c r="G189" s="200">
        <f t="shared" si="131"/>
        <v>1.6905303925927484E-2</v>
      </c>
      <c r="I189" s="11"/>
      <c r="J189" s="11"/>
      <c r="K189" s="11"/>
      <c r="L189" s="11"/>
      <c r="M189" s="11"/>
      <c r="N189" s="11"/>
    </row>
    <row r="190" spans="1:21" x14ac:dyDescent="0.2">
      <c r="A190" t="str">
        <f t="shared" si="127"/>
        <v>34 Culture, media and sports occupations</v>
      </c>
      <c r="B190" s="11">
        <v>2.7536338791896813</v>
      </c>
      <c r="C190" s="11">
        <v>2.483809414997916</v>
      </c>
      <c r="D190" s="11">
        <f t="shared" si="128"/>
        <v>-0.26982446419176531</v>
      </c>
      <c r="E190" s="11">
        <v>0.91871679802348938</v>
      </c>
      <c r="F190" s="11">
        <f t="shared" ref="F190:F191" si="132">SUM(D190:E190)</f>
        <v>0.64889233383172407</v>
      </c>
      <c r="G190" s="200">
        <f t="shared" si="131"/>
        <v>1.937942427606143E-2</v>
      </c>
      <c r="I190" s="11"/>
      <c r="J190" s="11"/>
      <c r="K190" s="11"/>
      <c r="L190" s="11"/>
      <c r="M190" s="11"/>
      <c r="N190" s="11"/>
    </row>
    <row r="191" spans="1:21" x14ac:dyDescent="0.2">
      <c r="A191" t="str">
        <f t="shared" si="127"/>
        <v>35 Business and public service associate professionals</v>
      </c>
      <c r="B191" s="11">
        <v>10.950714140614782</v>
      </c>
      <c r="C191" s="11">
        <v>9.6039023118288895</v>
      </c>
      <c r="D191" s="11">
        <f t="shared" si="128"/>
        <v>-1.3468118287858921</v>
      </c>
      <c r="E191" s="11">
        <v>4.2948767347093728</v>
      </c>
      <c r="F191" s="11">
        <f t="shared" si="132"/>
        <v>2.9480649059234807</v>
      </c>
      <c r="G191" s="200">
        <f t="shared" si="131"/>
        <v>2.2304144013930882E-2</v>
      </c>
      <c r="I191" s="11"/>
      <c r="J191" s="11"/>
      <c r="K191" s="11"/>
      <c r="L191" s="11"/>
      <c r="M191" s="11"/>
      <c r="N191" s="11"/>
    </row>
    <row r="192" spans="1:21" x14ac:dyDescent="0.2">
      <c r="A192" t="str">
        <f t="shared" si="127"/>
        <v>41 Administrative occupations</v>
      </c>
      <c r="B192" s="11">
        <v>14.711841849793457</v>
      </c>
      <c r="C192" s="11">
        <v>9.3672808661428597</v>
      </c>
      <c r="D192" s="11">
        <f t="shared" si="128"/>
        <v>-5.344560983650597</v>
      </c>
      <c r="E192" s="11">
        <v>5.7679455099980075</v>
      </c>
      <c r="F192" s="11">
        <f t="shared" ref="F192:F195" si="133">SUM(D192:E192)</f>
        <v>0.42338452634741053</v>
      </c>
      <c r="G192" s="200">
        <f t="shared" si="131"/>
        <v>2.2297329625044382E-2</v>
      </c>
      <c r="I192" s="11"/>
      <c r="J192" s="11"/>
      <c r="K192" s="11"/>
      <c r="L192" s="11"/>
      <c r="M192" s="11"/>
      <c r="N192" s="11"/>
    </row>
    <row r="193" spans="1:14" x14ac:dyDescent="0.2">
      <c r="A193" t="str">
        <f t="shared" si="127"/>
        <v>42 Secretarial and related occupations</v>
      </c>
      <c r="B193" s="11">
        <v>3.6872595566590971</v>
      </c>
      <c r="C193" s="11">
        <v>0.8102190193645421</v>
      </c>
      <c r="D193" s="11">
        <f t="shared" si="128"/>
        <v>-2.8770405372945551</v>
      </c>
      <c r="E193" s="11">
        <v>1.3461466430717504</v>
      </c>
      <c r="F193" s="11">
        <f t="shared" si="133"/>
        <v>-1.5308938942228048</v>
      </c>
      <c r="G193" s="200">
        <f t="shared" si="131"/>
        <v>2.0964288053324953E-2</v>
      </c>
      <c r="I193" s="11"/>
      <c r="J193" s="11"/>
      <c r="K193" s="11"/>
      <c r="L193" s="11"/>
      <c r="M193" s="11"/>
      <c r="N193" s="11"/>
    </row>
    <row r="194" spans="1:14" x14ac:dyDescent="0.2">
      <c r="A194" t="str">
        <f t="shared" si="127"/>
        <v>51 Skilled agricultural and related trades</v>
      </c>
      <c r="B194" s="11">
        <v>1.0380705085740152</v>
      </c>
      <c r="C194" s="11">
        <v>1.0234385999474507</v>
      </c>
      <c r="D194" s="11">
        <f t="shared" si="128"/>
        <v>-1.4631908626564494E-2</v>
      </c>
      <c r="E194" s="11">
        <v>0.54094741018824766</v>
      </c>
      <c r="F194" s="11">
        <f t="shared" si="133"/>
        <v>0.52631550156168316</v>
      </c>
      <c r="G194" s="200">
        <f t="shared" si="131"/>
        <v>2.8357248755575437E-2</v>
      </c>
      <c r="I194" s="11"/>
      <c r="J194" s="11"/>
      <c r="K194" s="11"/>
      <c r="L194" s="11"/>
      <c r="M194" s="11"/>
      <c r="N194" s="11"/>
    </row>
    <row r="195" spans="1:14" x14ac:dyDescent="0.2">
      <c r="A195" t="str">
        <f t="shared" si="127"/>
        <v>52 Skilled metal, electrical and electronic trades</v>
      </c>
      <c r="B195" s="11">
        <v>10.366412529312278</v>
      </c>
      <c r="C195" s="11">
        <v>10.163941241638369</v>
      </c>
      <c r="D195" s="11">
        <f t="shared" si="128"/>
        <v>-0.20247128767390876</v>
      </c>
      <c r="E195" s="11">
        <v>3.5663760951924908</v>
      </c>
      <c r="F195" s="11">
        <f t="shared" si="133"/>
        <v>3.363904807518582</v>
      </c>
      <c r="G195" s="200">
        <f t="shared" si="131"/>
        <v>1.9907152358657809E-2</v>
      </c>
      <c r="I195" s="82"/>
      <c r="J195" s="73"/>
    </row>
    <row r="196" spans="1:14" x14ac:dyDescent="0.2">
      <c r="A196" t="str">
        <f t="shared" si="127"/>
        <v>53 Skilled construction and building trades</v>
      </c>
      <c r="B196" s="11">
        <v>7.0631042236525898</v>
      </c>
      <c r="C196" s="11">
        <v>6.1550390483033626</v>
      </c>
      <c r="D196" s="11">
        <f t="shared" si="128"/>
        <v>-0.90806517534922726</v>
      </c>
      <c r="E196" s="11">
        <v>2.5294433587980483</v>
      </c>
      <c r="F196" s="11">
        <f t="shared" ref="F196" si="134">SUM(D196:E196)</f>
        <v>1.621378183448821</v>
      </c>
      <c r="G196" s="200">
        <f t="shared" si="131"/>
        <v>2.0616432621469949E-2</v>
      </c>
    </row>
    <row r="197" spans="1:14" x14ac:dyDescent="0.2">
      <c r="A197" t="str">
        <f t="shared" si="127"/>
        <v>54 Textiles, printing and other skilled trades</v>
      </c>
      <c r="B197" s="11">
        <v>4.2933715836045323</v>
      </c>
      <c r="C197" s="11">
        <v>5.1788074796894996</v>
      </c>
      <c r="D197" s="11">
        <f t="shared" si="128"/>
        <v>0.88543589608496731</v>
      </c>
      <c r="E197" s="11">
        <v>1.9881422764535734</v>
      </c>
      <c r="F197" s="11">
        <f t="shared" ref="F197" si="135">SUM(D197:E197)</f>
        <v>2.873578172538541</v>
      </c>
      <c r="G197" s="200">
        <f t="shared" si="131"/>
        <v>2.5693782621158956E-2</v>
      </c>
    </row>
    <row r="198" spans="1:14" x14ac:dyDescent="0.2">
      <c r="A198" t="str">
        <f t="shared" si="127"/>
        <v>61 Caring personal service occupations</v>
      </c>
      <c r="B198" s="11">
        <v>20.351210876576516</v>
      </c>
      <c r="C198" s="11">
        <v>24.728389395969675</v>
      </c>
      <c r="D198" s="11">
        <f>C198-B198</f>
        <v>4.3771785193931585</v>
      </c>
      <c r="E198" s="11">
        <v>12.807240313971535</v>
      </c>
      <c r="F198" s="11">
        <f>SUM(D198:E198)</f>
        <v>17.184418833364695</v>
      </c>
      <c r="G198" s="200">
        <f t="shared" si="131"/>
        <v>3.3079155438623609E-2</v>
      </c>
    </row>
    <row r="199" spans="1:14" x14ac:dyDescent="0.2">
      <c r="A199" t="str">
        <f t="shared" si="127"/>
        <v>62 Leisure, travel and related personal service occupations</v>
      </c>
      <c r="B199" s="11">
        <v>5.5866881032814675</v>
      </c>
      <c r="C199" s="11">
        <v>4.6784087971314499</v>
      </c>
      <c r="D199" s="11">
        <f t="shared" ref="D199:D205" si="136">C199-B199</f>
        <v>-0.90827930615001762</v>
      </c>
      <c r="E199" s="11">
        <v>2.361465789413471</v>
      </c>
      <c r="F199" s="11">
        <f t="shared" ref="F199:F200" si="137">SUM(D199:E199)</f>
        <v>1.4531864832634533</v>
      </c>
      <c r="G199" s="200">
        <f t="shared" si="131"/>
        <v>2.3781921069493173E-2</v>
      </c>
    </row>
    <row r="200" spans="1:14" x14ac:dyDescent="0.2">
      <c r="A200" t="str">
        <f t="shared" si="127"/>
        <v>63 Community and civil enforcement occupations</v>
      </c>
      <c r="B200" s="11">
        <v>0.16256978914140446</v>
      </c>
      <c r="C200" s="11">
        <v>0.10983557532025118</v>
      </c>
      <c r="D200" s="11">
        <f t="shared" si="136"/>
        <v>-5.2734213821153286E-2</v>
      </c>
      <c r="E200" s="11">
        <v>4.1903605542101895E-2</v>
      </c>
      <c r="F200" s="11">
        <f t="shared" si="137"/>
        <v>-1.0830608279051392E-2</v>
      </c>
      <c r="G200" s="200">
        <f t="shared" si="131"/>
        <v>1.5406169148594717E-2</v>
      </c>
    </row>
    <row r="201" spans="1:14" x14ac:dyDescent="0.2">
      <c r="A201" t="str">
        <f t="shared" si="127"/>
        <v>71 Sales occupations</v>
      </c>
      <c r="B201" s="11">
        <v>14.768102626129282</v>
      </c>
      <c r="C201" s="11">
        <v>14.247204131567317</v>
      </c>
      <c r="D201" s="11">
        <f t="shared" si="136"/>
        <v>-0.52089849456196546</v>
      </c>
      <c r="E201" s="11">
        <v>6.180681360655635</v>
      </c>
      <c r="F201" s="11">
        <f t="shared" ref="F201:F202" si="138">SUM(D201:E201)</f>
        <v>5.6597828660936695</v>
      </c>
      <c r="G201" s="200">
        <f t="shared" si="131"/>
        <v>2.3581138268008672E-2</v>
      </c>
    </row>
    <row r="202" spans="1:14" x14ac:dyDescent="0.2">
      <c r="A202" t="str">
        <f t="shared" si="127"/>
        <v>72 Customer service occupations</v>
      </c>
      <c r="B202" s="11">
        <v>3.3423314800888311</v>
      </c>
      <c r="C202" s="11">
        <v>4.3290219116451274</v>
      </c>
      <c r="D202" s="11">
        <f t="shared" si="136"/>
        <v>0.98669043155629632</v>
      </c>
      <c r="E202" s="11">
        <v>1.8113046824847296</v>
      </c>
      <c r="F202" s="11">
        <f t="shared" si="138"/>
        <v>2.7979951140410257</v>
      </c>
      <c r="G202" s="200">
        <f t="shared" si="131"/>
        <v>2.9289673556399221E-2</v>
      </c>
    </row>
    <row r="203" spans="1:14" x14ac:dyDescent="0.2">
      <c r="A203" t="str">
        <f t="shared" si="127"/>
        <v>81 Process, plant and machine operatives</v>
      </c>
      <c r="B203" s="11">
        <v>2.8388952176527149</v>
      </c>
      <c r="C203" s="11">
        <v>4.2911956859379883</v>
      </c>
      <c r="D203" s="11">
        <f t="shared" si="136"/>
        <v>1.4523004682852734</v>
      </c>
      <c r="E203" s="11">
        <v>1.3888353174344175</v>
      </c>
      <c r="F203" s="11">
        <f t="shared" ref="F203:F204" si="139">SUM(D203:E203)</f>
        <v>2.8411357857196906</v>
      </c>
      <c r="G203" s="200">
        <f t="shared" si="131"/>
        <v>2.6905616172600899E-2</v>
      </c>
    </row>
    <row r="204" spans="1:14" x14ac:dyDescent="0.2">
      <c r="A204" t="str">
        <f t="shared" si="127"/>
        <v>82 Transport and mobile machine drivers and operatives</v>
      </c>
      <c r="B204" s="11">
        <v>5.0143649729302604</v>
      </c>
      <c r="C204" s="11">
        <v>6.2618339476214304</v>
      </c>
      <c r="D204" s="11">
        <f t="shared" si="136"/>
        <v>1.24746897469117</v>
      </c>
      <c r="E204" s="11">
        <v>2.9171641566511783</v>
      </c>
      <c r="F204" s="11">
        <f t="shared" si="139"/>
        <v>4.1646331313423488</v>
      </c>
      <c r="G204" s="200">
        <f t="shared" si="131"/>
        <v>3.104130833210883E-2</v>
      </c>
    </row>
    <row r="205" spans="1:14" x14ac:dyDescent="0.2">
      <c r="A205" t="str">
        <f t="shared" si="127"/>
        <v>91 Elementary trades and related occupations</v>
      </c>
      <c r="B205" s="11">
        <v>1.5856547970581338</v>
      </c>
      <c r="C205" s="11">
        <v>1.7441197979197978</v>
      </c>
      <c r="D205" s="11">
        <f t="shared" si="136"/>
        <v>0.15846500086166393</v>
      </c>
      <c r="E205" s="11">
        <v>0.54150795322613876</v>
      </c>
      <c r="F205" s="11">
        <f t="shared" ref="F205" si="140">SUM(D205:E205)</f>
        <v>0.69997295408780269</v>
      </c>
      <c r="G205" s="200">
        <f t="shared" si="131"/>
        <v>1.9779173304354192E-2</v>
      </c>
    </row>
    <row r="206" spans="1:14" x14ac:dyDescent="0.2">
      <c r="A206" t="str">
        <f t="shared" si="127"/>
        <v>92 Elementary administration and service occupations</v>
      </c>
      <c r="B206" s="11">
        <v>14.931975531689764</v>
      </c>
      <c r="C206" s="11">
        <v>14.523712961765399</v>
      </c>
      <c r="D206" s="11">
        <f t="shared" ref="D206" si="141">C206-B206</f>
        <v>-0.40826256992436427</v>
      </c>
      <c r="E206" s="11">
        <v>7.4523809809188588</v>
      </c>
      <c r="F206" s="11">
        <f t="shared" ref="F206" si="142">SUM(D206:E206)</f>
        <v>7.0441184109944945</v>
      </c>
      <c r="G206" s="200">
        <f t="shared" ref="G206:G207" si="143">IF(B206&gt;0,(1+(E206/B206))^(1/($C$6-$B$6))-1,0)</f>
        <v>2.7358037508561805E-2</v>
      </c>
    </row>
    <row r="207" spans="1:14" x14ac:dyDescent="0.2">
      <c r="A207" t="str">
        <f t="shared" si="127"/>
        <v>All occupations</v>
      </c>
      <c r="B207" s="11">
        <f>SUM(B181:B206)</f>
        <v>170.35023663430428</v>
      </c>
      <c r="C207" s="11">
        <f t="shared" ref="C207:F207" si="144">SUM(C181:C206)</f>
        <v>167.11628118452984</v>
      </c>
      <c r="D207" s="11">
        <f t="shared" si="144"/>
        <v>-3.2339554497744576</v>
      </c>
      <c r="E207" s="11">
        <f t="shared" si="144"/>
        <v>76.381311918274065</v>
      </c>
      <c r="F207" s="11">
        <f t="shared" si="144"/>
        <v>73.147356468499609</v>
      </c>
      <c r="G207" s="200">
        <f t="shared" si="143"/>
        <v>2.5003770335980224E-2</v>
      </c>
    </row>
    <row r="209" spans="1:7" ht="38.25" x14ac:dyDescent="0.2">
      <c r="A209" s="201" t="str">
        <f>CONCATENATE(name!F10," (Constrained)")</f>
        <v>RQF2 GCSE(A-C) &amp; equivalent (Constrained)</v>
      </c>
      <c r="B209" s="88">
        <f t="shared" ref="B209:G209" si="145">B122</f>
        <v>2020</v>
      </c>
      <c r="C209" s="88">
        <f t="shared" si="145"/>
        <v>2035</v>
      </c>
      <c r="D209" s="88" t="str">
        <f t="shared" si="145"/>
        <v>Net Change</v>
      </c>
      <c r="E209" s="88" t="str">
        <f t="shared" si="145"/>
        <v>Replacement Demand level</v>
      </c>
      <c r="F209" s="88" t="str">
        <f t="shared" si="145"/>
        <v>Total Requirement</v>
      </c>
      <c r="G209" s="88" t="str">
        <f t="shared" si="145"/>
        <v>Replacement Demand rate</v>
      </c>
    </row>
    <row r="210" spans="1:7" x14ac:dyDescent="0.2">
      <c r="A210" t="str">
        <f t="shared" ref="A210:A236" si="146">A123</f>
        <v>11 Corporate managers and directors</v>
      </c>
      <c r="B210" s="11">
        <v>10.021583655569753</v>
      </c>
      <c r="C210" s="11">
        <v>7.4226427775782655</v>
      </c>
      <c r="D210" s="11">
        <f>C210-B210</f>
        <v>-2.5989408779914873</v>
      </c>
      <c r="E210" s="11">
        <v>3.8129425212482726</v>
      </c>
      <c r="F210" s="11">
        <f>SUM(D210:E210)</f>
        <v>1.2140016432567853</v>
      </c>
      <c r="G210" s="200">
        <f>IF(B210&gt;0,(1+(E210/B210))^(1/($C$6-$B$6))-1,0)</f>
        <v>2.1727765595536574E-2</v>
      </c>
    </row>
    <row r="211" spans="1:7" x14ac:dyDescent="0.2">
      <c r="A211" t="str">
        <f t="shared" si="146"/>
        <v>12 Other managers and proprietors</v>
      </c>
      <c r="B211" s="11">
        <v>5.1881009091121868</v>
      </c>
      <c r="C211" s="11">
        <v>6.3587788484248771</v>
      </c>
      <c r="D211" s="11">
        <f t="shared" ref="D211:D226" si="147">C211-B211</f>
        <v>1.1706779393126903</v>
      </c>
      <c r="E211" s="11">
        <v>3.3722057153631062</v>
      </c>
      <c r="F211" s="11">
        <f t="shared" ref="F211:F218" si="148">SUM(D211:E211)</f>
        <v>4.542883654675796</v>
      </c>
      <c r="G211" s="200">
        <f t="shared" ref="G211:G213" si="149">IF(B211&gt;0,(1+(E211/B211))^(1/($C$6-$B$6))-1,0)</f>
        <v>3.394807052114035E-2</v>
      </c>
    </row>
    <row r="212" spans="1:7" x14ac:dyDescent="0.2">
      <c r="A212" t="str">
        <f t="shared" si="146"/>
        <v>21 Science, research, engineering and technology professionals</v>
      </c>
      <c r="B212" s="11">
        <v>5.1534284316517081</v>
      </c>
      <c r="C212" s="11">
        <v>4.5061470663772569</v>
      </c>
      <c r="D212" s="11">
        <f t="shared" si="147"/>
        <v>-0.64728136527445113</v>
      </c>
      <c r="E212" s="11">
        <v>1.6227103017501521</v>
      </c>
      <c r="F212" s="11">
        <f t="shared" si="148"/>
        <v>0.97542893647570095</v>
      </c>
      <c r="G212" s="200">
        <f t="shared" si="149"/>
        <v>1.8417224642744978E-2</v>
      </c>
    </row>
    <row r="213" spans="1:7" x14ac:dyDescent="0.2">
      <c r="A213" t="str">
        <f t="shared" si="146"/>
        <v>22 Health professionals</v>
      </c>
      <c r="B213" s="11">
        <v>2.2841972976465201</v>
      </c>
      <c r="C213" s="11">
        <v>1.8467111115550408</v>
      </c>
      <c r="D213" s="11">
        <f t="shared" si="147"/>
        <v>-0.43748618609147938</v>
      </c>
      <c r="E213" s="11">
        <v>1.0241319994891316</v>
      </c>
      <c r="F213" s="11">
        <f t="shared" si="148"/>
        <v>0.5866458133976522</v>
      </c>
      <c r="G213" s="200">
        <f t="shared" si="149"/>
        <v>2.5002696332275809E-2</v>
      </c>
    </row>
    <row r="214" spans="1:7" x14ac:dyDescent="0.2">
      <c r="A214" t="str">
        <f t="shared" si="146"/>
        <v>23 Teaching and other educational professionals</v>
      </c>
      <c r="B214" s="11">
        <v>1.1719333829537681</v>
      </c>
      <c r="C214" s="11">
        <v>1.0696650145330604</v>
      </c>
      <c r="D214" s="11">
        <f t="shared" si="147"/>
        <v>-0.10226836842070774</v>
      </c>
      <c r="E214" s="11">
        <v>0.50883845840112119</v>
      </c>
      <c r="F214" s="11">
        <f t="shared" si="148"/>
        <v>0.40657008998041344</v>
      </c>
      <c r="G214" s="200">
        <f>IF(B214&gt;0,(1+(E214/B214))^(1/($C$6-$B$6))-1,0)</f>
        <v>2.4331172062477036E-2</v>
      </c>
    </row>
    <row r="215" spans="1:7" x14ac:dyDescent="0.2">
      <c r="A215" t="str">
        <f t="shared" si="146"/>
        <v>24 Business, media and public service professionals</v>
      </c>
      <c r="B215" s="11">
        <v>5.2371468704852235</v>
      </c>
      <c r="C215" s="11">
        <v>4.7040405838588244</v>
      </c>
      <c r="D215" s="11">
        <f t="shared" si="147"/>
        <v>-0.53310628662639914</v>
      </c>
      <c r="E215" s="11">
        <v>2.0621610939251305</v>
      </c>
      <c r="F215" s="11">
        <f t="shared" si="148"/>
        <v>1.5290548072987313</v>
      </c>
      <c r="G215" s="200">
        <f t="shared" ref="G215:G234" si="150">IF(B215&gt;0,(1+(E215/B215))^(1/($C$6-$B$6))-1,0)</f>
        <v>2.2380275706546771E-2</v>
      </c>
    </row>
    <row r="216" spans="1:7" x14ac:dyDescent="0.2">
      <c r="A216" t="str">
        <f t="shared" si="146"/>
        <v>31 Science, engineering and technology associate professionals</v>
      </c>
      <c r="B216" s="11">
        <v>2.0795334969442578</v>
      </c>
      <c r="C216" s="11">
        <v>1.6165744946727501</v>
      </c>
      <c r="D216" s="11">
        <f t="shared" si="147"/>
        <v>-0.46295900227150777</v>
      </c>
      <c r="E216" s="11">
        <v>0.66358886097817771</v>
      </c>
      <c r="F216" s="11">
        <f t="shared" si="148"/>
        <v>0.20062985870666994</v>
      </c>
      <c r="G216" s="200">
        <f t="shared" si="150"/>
        <v>1.863505389055109E-2</v>
      </c>
    </row>
    <row r="217" spans="1:7" x14ac:dyDescent="0.2">
      <c r="A217" t="str">
        <f t="shared" si="146"/>
        <v>32 Health and social care associate professionals</v>
      </c>
      <c r="B217" s="11">
        <v>1.8235377427753068</v>
      </c>
      <c r="C217" s="11">
        <v>1.400868383819214</v>
      </c>
      <c r="D217" s="11">
        <f t="shared" si="147"/>
        <v>-0.42266935895609281</v>
      </c>
      <c r="E217" s="11">
        <v>0.82333780632205267</v>
      </c>
      <c r="F217" s="11">
        <f t="shared" si="148"/>
        <v>0.40066844736595986</v>
      </c>
      <c r="G217" s="200">
        <f t="shared" si="150"/>
        <v>2.5151184190299158E-2</v>
      </c>
    </row>
    <row r="218" spans="1:7" x14ac:dyDescent="0.2">
      <c r="A218" t="str">
        <f t="shared" si="146"/>
        <v>33 Protective service occupations</v>
      </c>
      <c r="B218" s="11">
        <v>2.0402488040054179</v>
      </c>
      <c r="C218" s="11">
        <v>2.0415269473844515</v>
      </c>
      <c r="D218" s="11">
        <f t="shared" si="147"/>
        <v>1.2781433790336472E-3</v>
      </c>
      <c r="E218" s="11">
        <v>0.64062348910480271</v>
      </c>
      <c r="F218" s="11">
        <f t="shared" si="148"/>
        <v>0.64190163248383636</v>
      </c>
      <c r="G218" s="200">
        <f t="shared" si="150"/>
        <v>1.8371413029649286E-2</v>
      </c>
    </row>
    <row r="219" spans="1:7" x14ac:dyDescent="0.2">
      <c r="A219" t="str">
        <f t="shared" si="146"/>
        <v>34 Culture, media and sports occupations</v>
      </c>
      <c r="B219" s="11">
        <v>1.3497316693188206</v>
      </c>
      <c r="C219" s="11">
        <v>0.68213664258960016</v>
      </c>
      <c r="D219" s="11">
        <f t="shared" si="147"/>
        <v>-0.66759502672922044</v>
      </c>
      <c r="E219" s="11">
        <v>0.36845976466205888</v>
      </c>
      <c r="F219" s="11">
        <f t="shared" ref="F219:F220" si="151">SUM(D219:E219)</f>
        <v>-0.29913526206716157</v>
      </c>
      <c r="G219" s="200">
        <f t="shared" si="150"/>
        <v>1.6221254645459648E-2</v>
      </c>
    </row>
    <row r="220" spans="1:7" x14ac:dyDescent="0.2">
      <c r="A220" t="str">
        <f t="shared" si="146"/>
        <v>35 Business and public service associate professionals</v>
      </c>
      <c r="B220" s="11">
        <v>7.9072679113726085</v>
      </c>
      <c r="C220" s="11">
        <v>5.8444180277149869</v>
      </c>
      <c r="D220" s="11">
        <f t="shared" si="147"/>
        <v>-2.0628498836576217</v>
      </c>
      <c r="E220" s="11">
        <v>2.603078433248089</v>
      </c>
      <c r="F220" s="11">
        <f t="shared" si="151"/>
        <v>0.54022854959046729</v>
      </c>
      <c r="G220" s="200">
        <f t="shared" si="150"/>
        <v>1.9152963327328409E-2</v>
      </c>
    </row>
    <row r="221" spans="1:7" x14ac:dyDescent="0.2">
      <c r="A221" t="str">
        <f t="shared" si="146"/>
        <v>41 Administrative occupations</v>
      </c>
      <c r="B221" s="11">
        <v>14.499418401737573</v>
      </c>
      <c r="C221" s="11">
        <v>7.848767670388745</v>
      </c>
      <c r="D221" s="11">
        <f t="shared" si="147"/>
        <v>-6.6506507313488283</v>
      </c>
      <c r="E221" s="11">
        <v>4.5404125214732343</v>
      </c>
      <c r="F221" s="11">
        <f t="shared" ref="F221:F224" si="152">SUM(D221:E221)</f>
        <v>-2.1102382098755941</v>
      </c>
      <c r="G221" s="200">
        <f t="shared" si="150"/>
        <v>1.8327566291165942E-2</v>
      </c>
    </row>
    <row r="222" spans="1:7" x14ac:dyDescent="0.2">
      <c r="A222" t="str">
        <f t="shared" si="146"/>
        <v>42 Secretarial and related occupations</v>
      </c>
      <c r="B222" s="11">
        <v>4.006351455056385</v>
      </c>
      <c r="C222" s="11">
        <v>0.68321132876241408</v>
      </c>
      <c r="D222" s="11">
        <f t="shared" si="147"/>
        <v>-3.3231401262939708</v>
      </c>
      <c r="E222" s="11">
        <v>1.076974420460604</v>
      </c>
      <c r="F222" s="11">
        <f t="shared" si="152"/>
        <v>-2.2461657058333668</v>
      </c>
      <c r="G222" s="200">
        <f t="shared" si="150"/>
        <v>1.5998953139013672E-2</v>
      </c>
    </row>
    <row r="223" spans="1:7" x14ac:dyDescent="0.2">
      <c r="A223" t="str">
        <f t="shared" si="146"/>
        <v>51 Skilled agricultural and related trades</v>
      </c>
      <c r="B223" s="11">
        <v>1.4728070315093065</v>
      </c>
      <c r="C223" s="11">
        <v>1.581895192574698</v>
      </c>
      <c r="D223" s="11">
        <f t="shared" si="147"/>
        <v>0.10908816106539154</v>
      </c>
      <c r="E223" s="11">
        <v>0.81047326140459286</v>
      </c>
      <c r="F223" s="11">
        <f t="shared" si="152"/>
        <v>0.9195614224699844</v>
      </c>
      <c r="G223" s="200">
        <f t="shared" si="150"/>
        <v>2.966090945667843E-2</v>
      </c>
    </row>
    <row r="224" spans="1:7" x14ac:dyDescent="0.2">
      <c r="A224" t="str">
        <f t="shared" si="146"/>
        <v>52 Skilled metal, electrical and electronic trades</v>
      </c>
      <c r="B224" s="11">
        <v>5.7627862686242697</v>
      </c>
      <c r="C224" s="11">
        <v>4.7742718660674521</v>
      </c>
      <c r="D224" s="11">
        <f t="shared" si="147"/>
        <v>-0.98851440255681755</v>
      </c>
      <c r="E224" s="11">
        <v>1.9259075827291794</v>
      </c>
      <c r="F224" s="11">
        <f t="shared" si="152"/>
        <v>0.93739318017236184</v>
      </c>
      <c r="G224" s="200">
        <f t="shared" si="150"/>
        <v>1.9407920769718867E-2</v>
      </c>
    </row>
    <row r="225" spans="1:7" x14ac:dyDescent="0.2">
      <c r="A225" t="str">
        <f t="shared" si="146"/>
        <v>53 Skilled construction and building trades</v>
      </c>
      <c r="B225" s="11">
        <v>6.3819297657127487</v>
      </c>
      <c r="C225" s="11">
        <v>7.0111507798075463</v>
      </c>
      <c r="D225" s="11">
        <f t="shared" si="147"/>
        <v>0.62922101409479758</v>
      </c>
      <c r="E225" s="11">
        <v>3.062985128780602</v>
      </c>
      <c r="F225" s="11">
        <f t="shared" ref="F225" si="153">SUM(D225:E225)</f>
        <v>3.6922061428753996</v>
      </c>
      <c r="G225" s="200">
        <f t="shared" si="150"/>
        <v>2.6478211426253395E-2</v>
      </c>
    </row>
    <row r="226" spans="1:7" x14ac:dyDescent="0.2">
      <c r="A226" t="str">
        <f t="shared" si="146"/>
        <v>54 Textiles, printing and other skilled trades</v>
      </c>
      <c r="B226" s="11">
        <v>3.6897035646939327</v>
      </c>
      <c r="C226" s="11">
        <v>2.9914279819388208</v>
      </c>
      <c r="D226" s="11">
        <f t="shared" si="147"/>
        <v>-0.69827558275511192</v>
      </c>
      <c r="E226" s="11">
        <v>1.2725684618262667</v>
      </c>
      <c r="F226" s="11">
        <f t="shared" ref="F226" si="154">SUM(D226:E226)</f>
        <v>0.57429287907115478</v>
      </c>
      <c r="G226" s="200">
        <f t="shared" si="150"/>
        <v>1.9950917164007986E-2</v>
      </c>
    </row>
    <row r="227" spans="1:7" x14ac:dyDescent="0.2">
      <c r="A227" t="str">
        <f t="shared" si="146"/>
        <v>61 Caring personal service occupations</v>
      </c>
      <c r="B227" s="11">
        <v>12.748078186688179</v>
      </c>
      <c r="C227" s="11">
        <v>10.682267387990315</v>
      </c>
      <c r="D227" s="11">
        <f>C227-B227</f>
        <v>-2.0658107986978642</v>
      </c>
      <c r="E227" s="11">
        <v>5.6536903243131711</v>
      </c>
      <c r="F227" s="11">
        <f>SUM(D227:E227)</f>
        <v>3.5878795256153069</v>
      </c>
      <c r="G227" s="200">
        <f t="shared" si="150"/>
        <v>2.4772957314824318E-2</v>
      </c>
    </row>
    <row r="228" spans="1:7" x14ac:dyDescent="0.2">
      <c r="A228" t="str">
        <f t="shared" si="146"/>
        <v>62 Leisure, travel and related personal service occupations</v>
      </c>
      <c r="B228" s="11">
        <v>4.8939233567497027</v>
      </c>
      <c r="C228" s="11">
        <v>3.5688141542089071</v>
      </c>
      <c r="D228" s="11">
        <f t="shared" ref="D228:D234" si="155">C228-B228</f>
        <v>-1.3251092025407956</v>
      </c>
      <c r="E228" s="11">
        <v>1.8822497857143528</v>
      </c>
      <c r="F228" s="11">
        <f t="shared" ref="F228:F229" si="156">SUM(D228:E228)</f>
        <v>0.55714058317355719</v>
      </c>
      <c r="G228" s="200">
        <f t="shared" si="150"/>
        <v>2.1931584729685927E-2</v>
      </c>
    </row>
    <row r="229" spans="1:7" x14ac:dyDescent="0.2">
      <c r="A229" t="str">
        <f t="shared" si="146"/>
        <v>63 Community and civil enforcement occupations</v>
      </c>
      <c r="B229" s="11">
        <v>0.21777456976133255</v>
      </c>
      <c r="C229" s="11">
        <v>0.15249466669444173</v>
      </c>
      <c r="D229" s="11">
        <f t="shared" si="155"/>
        <v>-6.5279903066890826E-2</v>
      </c>
      <c r="E229" s="11">
        <v>6.7123070842912871E-2</v>
      </c>
      <c r="F229" s="11">
        <f t="shared" si="156"/>
        <v>1.843167776022045E-3</v>
      </c>
      <c r="G229" s="200">
        <f t="shared" si="150"/>
        <v>1.8072670417450309E-2</v>
      </c>
    </row>
    <row r="230" spans="1:7" x14ac:dyDescent="0.2">
      <c r="A230" t="str">
        <f t="shared" si="146"/>
        <v>71 Sales occupations</v>
      </c>
      <c r="B230" s="11">
        <v>12.233122188849805</v>
      </c>
      <c r="C230" s="11">
        <v>8.3500900674028546</v>
      </c>
      <c r="D230" s="11">
        <f t="shared" si="155"/>
        <v>-3.8830321214469503</v>
      </c>
      <c r="E230" s="11">
        <v>4.260420719845647</v>
      </c>
      <c r="F230" s="11">
        <f t="shared" ref="F230:F231" si="157">SUM(D230:E230)</f>
        <v>0.37738859839869665</v>
      </c>
      <c r="G230" s="200">
        <f t="shared" si="150"/>
        <v>2.0121206968829464E-2</v>
      </c>
    </row>
    <row r="231" spans="1:7" x14ac:dyDescent="0.2">
      <c r="A231" t="str">
        <f t="shared" si="146"/>
        <v>72 Customer service occupations</v>
      </c>
      <c r="B231" s="11">
        <v>3.2812267602141043</v>
      </c>
      <c r="C231" s="11">
        <v>3.8037249981451855</v>
      </c>
      <c r="D231" s="11">
        <f t="shared" si="155"/>
        <v>0.52249823793108119</v>
      </c>
      <c r="E231" s="11">
        <v>1.7463052551454159</v>
      </c>
      <c r="F231" s="11">
        <f t="shared" si="157"/>
        <v>2.2688034930764971</v>
      </c>
      <c r="G231" s="200">
        <f t="shared" si="150"/>
        <v>2.8855949616083398E-2</v>
      </c>
    </row>
    <row r="232" spans="1:7" x14ac:dyDescent="0.2">
      <c r="A232" t="str">
        <f t="shared" si="146"/>
        <v>81 Process, plant and machine operatives</v>
      </c>
      <c r="B232" s="11">
        <v>3.3183314899823269</v>
      </c>
      <c r="C232" s="11">
        <v>4.3112472318143018</v>
      </c>
      <c r="D232" s="11">
        <f t="shared" si="155"/>
        <v>0.99291574183197495</v>
      </c>
      <c r="E232" s="11">
        <v>1.6023746476659226</v>
      </c>
      <c r="F232" s="11">
        <f t="shared" ref="F232:F233" si="158">SUM(D232:E232)</f>
        <v>2.5952903894978974</v>
      </c>
      <c r="G232" s="200">
        <f t="shared" si="150"/>
        <v>2.6613988109845721E-2</v>
      </c>
    </row>
    <row r="233" spans="1:7" x14ac:dyDescent="0.2">
      <c r="A233" t="str">
        <f t="shared" si="146"/>
        <v>82 Transport and mobile machine drivers and operatives</v>
      </c>
      <c r="B233" s="11">
        <v>6.4363151284276849</v>
      </c>
      <c r="C233" s="11">
        <v>6.7807256374746609</v>
      </c>
      <c r="D233" s="11">
        <f t="shared" si="155"/>
        <v>0.34441050904697601</v>
      </c>
      <c r="E233" s="11">
        <v>3.6715875730513901</v>
      </c>
      <c r="F233" s="11">
        <f t="shared" si="158"/>
        <v>4.0159980820983661</v>
      </c>
      <c r="G233" s="200">
        <f t="shared" si="150"/>
        <v>3.0548060345302996E-2</v>
      </c>
    </row>
    <row r="234" spans="1:7" x14ac:dyDescent="0.2">
      <c r="A234" t="str">
        <f t="shared" si="146"/>
        <v>91 Elementary trades and related occupations</v>
      </c>
      <c r="B234" s="11">
        <v>2.3067964892513566</v>
      </c>
      <c r="C234" s="11">
        <v>1.8379631466287094</v>
      </c>
      <c r="D234" s="11">
        <f t="shared" si="155"/>
        <v>-0.4688333426226472</v>
      </c>
      <c r="E234" s="11">
        <v>0.6919543868840865</v>
      </c>
      <c r="F234" s="11">
        <f t="shared" ref="F234" si="159">SUM(D234:E234)</f>
        <v>0.22312104426143931</v>
      </c>
      <c r="G234" s="200">
        <f t="shared" si="150"/>
        <v>1.7642900372054848E-2</v>
      </c>
    </row>
    <row r="235" spans="1:7" x14ac:dyDescent="0.2">
      <c r="A235" t="str">
        <f t="shared" si="146"/>
        <v>92 Elementary administration and service occupations</v>
      </c>
      <c r="B235" s="11">
        <v>21.180198813917603</v>
      </c>
      <c r="C235" s="11">
        <v>19.974562625916114</v>
      </c>
      <c r="D235" s="11">
        <f t="shared" ref="D235" si="160">C235-B235</f>
        <v>-1.2056361880014883</v>
      </c>
      <c r="E235" s="11">
        <v>9.8974019147791594</v>
      </c>
      <c r="F235" s="11">
        <f t="shared" ref="F235" si="161">SUM(D235:E235)</f>
        <v>8.6917657267776711</v>
      </c>
      <c r="G235" s="200">
        <f t="shared" ref="G235:G236" si="162">IF(B235&gt;0,(1+(E235/B235))^(1/($C$6-$B$6))-1,0)</f>
        <v>2.5890866604487695E-2</v>
      </c>
    </row>
    <row r="236" spans="1:7" x14ac:dyDescent="0.2">
      <c r="A236" t="str">
        <f t="shared" si="146"/>
        <v>All occupations</v>
      </c>
      <c r="B236" s="11">
        <f>SUM(B210:B235)</f>
        <v>146.68547364301187</v>
      </c>
      <c r="C236" s="11">
        <f t="shared" ref="C236:F236" si="163">SUM(C210:C235)</f>
        <v>121.8461246343235</v>
      </c>
      <c r="D236" s="11">
        <f t="shared" si="163"/>
        <v>-24.839349008688387</v>
      </c>
      <c r="E236" s="11">
        <f t="shared" si="163"/>
        <v>59.664507499408629</v>
      </c>
      <c r="F236" s="11">
        <f t="shared" si="163"/>
        <v>34.825158490720241</v>
      </c>
      <c r="G236" s="200">
        <f t="shared" si="162"/>
        <v>2.3013005881475035E-2</v>
      </c>
    </row>
    <row r="238" spans="1:7" ht="38.25" x14ac:dyDescent="0.2">
      <c r="A238" s="201" t="str">
        <f>CONCATENATE(name!F11," (Constrained)")</f>
        <v>RQF1 GCSE(below grade C) &amp; equivalent (Constrained)</v>
      </c>
      <c r="B238" s="88">
        <f t="shared" ref="B238:G238" si="164">B151</f>
        <v>2020</v>
      </c>
      <c r="C238" s="88">
        <f t="shared" si="164"/>
        <v>2035</v>
      </c>
      <c r="D238" s="88" t="str">
        <f t="shared" si="164"/>
        <v>Net Change</v>
      </c>
      <c r="E238" s="88" t="str">
        <f t="shared" si="164"/>
        <v>Replacement Demand level</v>
      </c>
      <c r="F238" s="88" t="str">
        <f t="shared" si="164"/>
        <v>Total Requirement</v>
      </c>
      <c r="G238" s="88" t="str">
        <f t="shared" si="164"/>
        <v>Replacement Demand rate</v>
      </c>
    </row>
    <row r="239" spans="1:7" x14ac:dyDescent="0.2">
      <c r="A239" t="str">
        <f t="shared" ref="A239:A265" si="165">A152</f>
        <v>11 Corporate managers and directors</v>
      </c>
      <c r="B239" s="11">
        <v>6.4815661633182131</v>
      </c>
      <c r="C239" s="11">
        <v>4.9474827482910912</v>
      </c>
      <c r="D239" s="11">
        <f>C239-B239</f>
        <v>-1.5340834150271219</v>
      </c>
      <c r="E239" s="11">
        <v>2.5342350575237722</v>
      </c>
      <c r="F239" s="11">
        <f>SUM(D239:E239)</f>
        <v>1.0001516424966503</v>
      </c>
      <c r="G239" s="200">
        <f>IF(B239&gt;0,(1+(E239/B239))^(1/($C$6-$B$6))-1,0)</f>
        <v>2.2244912761403501E-2</v>
      </c>
    </row>
    <row r="240" spans="1:7" x14ac:dyDescent="0.2">
      <c r="A240" t="str">
        <f t="shared" si="165"/>
        <v>12 Other managers and proprietors</v>
      </c>
      <c r="B240" s="11">
        <v>2.6897655363870516</v>
      </c>
      <c r="C240" s="11">
        <v>2.4987371775744909</v>
      </c>
      <c r="D240" s="11">
        <f t="shared" ref="D240:D255" si="166">C240-B240</f>
        <v>-0.19102835881256075</v>
      </c>
      <c r="E240" s="11">
        <v>1.296466650076755</v>
      </c>
      <c r="F240" s="11">
        <f t="shared" ref="F240:F247" si="167">SUM(D240:E240)</f>
        <v>1.1054382912641942</v>
      </c>
      <c r="G240" s="200">
        <f t="shared" ref="G240:G242" si="168">IF(B240&gt;0,(1+(E240/B240))^(1/($C$6-$B$6))-1,0)</f>
        <v>2.6573094864239977E-2</v>
      </c>
    </row>
    <row r="241" spans="1:7" x14ac:dyDescent="0.2">
      <c r="A241" t="str">
        <f t="shared" si="165"/>
        <v>21 Science, research, engineering and technology professionals</v>
      </c>
      <c r="B241" s="11">
        <v>3.2310050733791669</v>
      </c>
      <c r="C241" s="11">
        <v>2.5351425995883048</v>
      </c>
      <c r="D241" s="11">
        <f t="shared" si="166"/>
        <v>-0.69586247379086208</v>
      </c>
      <c r="E241" s="11">
        <v>0.92309139088288727</v>
      </c>
      <c r="F241" s="11">
        <f t="shared" si="167"/>
        <v>0.2272289170920252</v>
      </c>
      <c r="G241" s="200">
        <f t="shared" si="168"/>
        <v>1.6894572000052399E-2</v>
      </c>
    </row>
    <row r="242" spans="1:7" x14ac:dyDescent="0.2">
      <c r="A242" t="str">
        <f t="shared" si="165"/>
        <v>22 Health professionals</v>
      </c>
      <c r="B242" s="11">
        <v>1.1973621329212667</v>
      </c>
      <c r="C242" s="11">
        <v>0.81246587068041287</v>
      </c>
      <c r="D242" s="11">
        <f t="shared" si="166"/>
        <v>-0.38489626224085383</v>
      </c>
      <c r="E242" s="11">
        <v>0.48088013550542591</v>
      </c>
      <c r="F242" s="11">
        <f t="shared" si="167"/>
        <v>9.5983873264572084E-2</v>
      </c>
      <c r="G242" s="200">
        <f t="shared" si="168"/>
        <v>2.2763629591357359E-2</v>
      </c>
    </row>
    <row r="243" spans="1:7" x14ac:dyDescent="0.2">
      <c r="A243" t="str">
        <f t="shared" si="165"/>
        <v>23 Teaching and other educational professionals</v>
      </c>
      <c r="B243" s="11">
        <v>0.74268631404652563</v>
      </c>
      <c r="C243" s="11">
        <v>0.79019978293254989</v>
      </c>
      <c r="D243" s="11">
        <f t="shared" si="166"/>
        <v>4.7513468886024257E-2</v>
      </c>
      <c r="E243" s="11">
        <v>0.34999852525877878</v>
      </c>
      <c r="F243" s="11">
        <f t="shared" si="167"/>
        <v>0.39751199414480304</v>
      </c>
      <c r="G243" s="200">
        <f>IF(B243&gt;0,(1+(E243/B243))^(1/($C$6-$B$6))-1,0)</f>
        <v>2.6075457107183286E-2</v>
      </c>
    </row>
    <row r="244" spans="1:7" x14ac:dyDescent="0.2">
      <c r="A244" t="str">
        <f t="shared" si="165"/>
        <v>24 Business, media and public service professionals</v>
      </c>
      <c r="B244" s="11">
        <v>3.0197054132096408</v>
      </c>
      <c r="C244" s="11">
        <v>2.1332393902418607</v>
      </c>
      <c r="D244" s="11">
        <f t="shared" si="166"/>
        <v>-0.8864660229677801</v>
      </c>
      <c r="E244" s="11">
        <v>1.0559114238362546</v>
      </c>
      <c r="F244" s="11">
        <f t="shared" si="167"/>
        <v>0.16944540086847448</v>
      </c>
      <c r="G244" s="200">
        <f t="shared" ref="G244:G263" si="169">IF(B244&gt;0,(1+(E244/B244))^(1/($C$6-$B$6))-1,0)</f>
        <v>2.019201032526996E-2</v>
      </c>
    </row>
    <row r="245" spans="1:7" x14ac:dyDescent="0.2">
      <c r="A245" t="str">
        <f t="shared" si="165"/>
        <v>31 Science, engineering and technology associate professionals</v>
      </c>
      <c r="B245" s="11">
        <v>1.6497735561440834</v>
      </c>
      <c r="C245" s="11">
        <v>1.1618259245244846</v>
      </c>
      <c r="D245" s="11">
        <f t="shared" si="166"/>
        <v>-0.48794763161959875</v>
      </c>
      <c r="E245" s="11">
        <v>0.46937487470479022</v>
      </c>
      <c r="F245" s="11">
        <f t="shared" si="167"/>
        <v>-1.857275691480853E-2</v>
      </c>
      <c r="G245" s="200">
        <f>IF(B245&gt;0,(1+(E245/B245))^(1/($C$6-$B$6))-1,0)</f>
        <v>1.6831837945904038E-2</v>
      </c>
    </row>
    <row r="246" spans="1:7" x14ac:dyDescent="0.2">
      <c r="A246" t="str">
        <f t="shared" si="165"/>
        <v>32 Health and social care associate professionals</v>
      </c>
      <c r="B246" s="11">
        <v>0.5594460838410823</v>
      </c>
      <c r="C246" s="11">
        <v>0.32468552713716464</v>
      </c>
      <c r="D246" s="11">
        <f t="shared" si="166"/>
        <v>-0.23476055670391766</v>
      </c>
      <c r="E246" s="11">
        <v>0.19628280387539948</v>
      </c>
      <c r="F246" s="11">
        <f t="shared" si="167"/>
        <v>-3.8477752828518175E-2</v>
      </c>
      <c r="G246" s="200">
        <f t="shared" si="169"/>
        <v>2.0251367813397536E-2</v>
      </c>
    </row>
    <row r="247" spans="1:7" x14ac:dyDescent="0.2">
      <c r="A247" t="str">
        <f t="shared" si="165"/>
        <v>33 Protective service occupations</v>
      </c>
      <c r="B247" s="11">
        <v>1.0584596537968971</v>
      </c>
      <c r="C247" s="11">
        <v>0.96776968835826382</v>
      </c>
      <c r="D247" s="11">
        <f t="shared" si="166"/>
        <v>-9.068996543863328E-2</v>
      </c>
      <c r="E247" s="11">
        <v>0.40000771215802888</v>
      </c>
      <c r="F247" s="11">
        <f t="shared" si="167"/>
        <v>0.3093177467193956</v>
      </c>
      <c r="G247" s="200">
        <f t="shared" si="169"/>
        <v>2.1601433951892401E-2</v>
      </c>
    </row>
    <row r="248" spans="1:7" x14ac:dyDescent="0.2">
      <c r="A248" t="str">
        <f t="shared" si="165"/>
        <v>34 Culture, media and sports occupations</v>
      </c>
      <c r="B248" s="11">
        <v>1.0493725850298301</v>
      </c>
      <c r="C248" s="11">
        <v>0.64477751876751821</v>
      </c>
      <c r="D248" s="11">
        <f t="shared" si="166"/>
        <v>-0.4045950662623119</v>
      </c>
      <c r="E248" s="11">
        <v>0.30535977621496324</v>
      </c>
      <c r="F248" s="11">
        <f t="shared" ref="F248:F249" si="170">SUM(D248:E248)</f>
        <v>-9.9235290047348657E-2</v>
      </c>
      <c r="G248" s="200">
        <f t="shared" si="169"/>
        <v>1.7173224220628835E-2</v>
      </c>
    </row>
    <row r="249" spans="1:7" x14ac:dyDescent="0.2">
      <c r="A249" t="str">
        <f t="shared" si="165"/>
        <v>35 Business and public service associate professionals</v>
      </c>
      <c r="B249" s="11">
        <v>4.2971240525523138</v>
      </c>
      <c r="C249" s="11">
        <v>2.3558473837362275</v>
      </c>
      <c r="D249" s="11">
        <f t="shared" si="166"/>
        <v>-1.9412766688160863</v>
      </c>
      <c r="E249" s="11">
        <v>1.1666350622649884</v>
      </c>
      <c r="F249" s="11">
        <f t="shared" si="170"/>
        <v>-0.77464160655109793</v>
      </c>
      <c r="G249" s="200">
        <f t="shared" si="169"/>
        <v>1.6141628358572913E-2</v>
      </c>
    </row>
    <row r="250" spans="1:7" x14ac:dyDescent="0.2">
      <c r="A250" t="str">
        <f t="shared" si="165"/>
        <v>41 Administrative occupations</v>
      </c>
      <c r="B250" s="11">
        <v>7.1021216712239887</v>
      </c>
      <c r="C250" s="11">
        <v>1.6425071156505973</v>
      </c>
      <c r="D250" s="11">
        <f t="shared" si="166"/>
        <v>-5.4596145555733919</v>
      </c>
      <c r="E250" s="11">
        <v>1.4932978566207737</v>
      </c>
      <c r="F250" s="11">
        <f t="shared" ref="F250:F253" si="171">SUM(D250:E250)</f>
        <v>-3.9663166989526184</v>
      </c>
      <c r="G250" s="200">
        <f t="shared" si="169"/>
        <v>1.2803666063944563E-2</v>
      </c>
    </row>
    <row r="251" spans="1:7" x14ac:dyDescent="0.2">
      <c r="A251" t="str">
        <f t="shared" si="165"/>
        <v>42 Secretarial and related occupations</v>
      </c>
      <c r="B251" s="11">
        <v>3.1249205234370421</v>
      </c>
      <c r="C251" s="11">
        <v>0.15828091307714356</v>
      </c>
      <c r="D251" s="11">
        <f t="shared" si="166"/>
        <v>-2.9666396103598984</v>
      </c>
      <c r="E251" s="11">
        <v>0.50980203166774352</v>
      </c>
      <c r="F251" s="11">
        <f t="shared" si="171"/>
        <v>-2.4568375786921548</v>
      </c>
      <c r="G251" s="200">
        <f t="shared" si="169"/>
        <v>1.0125851749015924E-2</v>
      </c>
    </row>
    <row r="252" spans="1:7" x14ac:dyDescent="0.2">
      <c r="A252" t="str">
        <f t="shared" si="165"/>
        <v>51 Skilled agricultural and related trades</v>
      </c>
      <c r="B252" s="11">
        <v>1.2397595416705287</v>
      </c>
      <c r="C252" s="11">
        <v>1.5616423783602722</v>
      </c>
      <c r="D252" s="11">
        <f t="shared" si="166"/>
        <v>0.32188283668974349</v>
      </c>
      <c r="E252" s="11">
        <v>0.61738895482814005</v>
      </c>
      <c r="F252" s="11">
        <f t="shared" si="171"/>
        <v>0.93927179151788354</v>
      </c>
      <c r="G252" s="200">
        <f t="shared" si="169"/>
        <v>2.7307861174300285E-2</v>
      </c>
    </row>
    <row r="253" spans="1:7" x14ac:dyDescent="0.2">
      <c r="A253" t="str">
        <f t="shared" si="165"/>
        <v>52 Skilled metal, electrical and electronic trades</v>
      </c>
      <c r="B253" s="11">
        <v>2.7666807956917547</v>
      </c>
      <c r="C253" s="11">
        <v>1.6689880003072106</v>
      </c>
      <c r="D253" s="11">
        <f t="shared" si="166"/>
        <v>-1.0976927953845441</v>
      </c>
      <c r="E253" s="11">
        <v>0.89213157802093679</v>
      </c>
      <c r="F253" s="11">
        <f t="shared" si="171"/>
        <v>-0.20556121736360733</v>
      </c>
      <c r="G253" s="200">
        <f t="shared" si="169"/>
        <v>1.8807356567655198E-2</v>
      </c>
    </row>
    <row r="254" spans="1:7" x14ac:dyDescent="0.2">
      <c r="A254" t="str">
        <f t="shared" si="165"/>
        <v>53 Skilled construction and building trades</v>
      </c>
      <c r="B254" s="11">
        <v>3.0148355268588425</v>
      </c>
      <c r="C254" s="11">
        <v>3.2305525707029465</v>
      </c>
      <c r="D254" s="11">
        <f t="shared" si="166"/>
        <v>0.21571704384410406</v>
      </c>
      <c r="E254" s="11">
        <v>1.2969491788984224</v>
      </c>
      <c r="F254" s="11">
        <f t="shared" ref="F254" si="172">SUM(D254:E254)</f>
        <v>1.5126662227425265</v>
      </c>
      <c r="G254" s="200">
        <f t="shared" si="169"/>
        <v>2.4140552070830212E-2</v>
      </c>
    </row>
    <row r="255" spans="1:7" x14ac:dyDescent="0.2">
      <c r="A255" t="str">
        <f t="shared" si="165"/>
        <v>54 Textiles, printing and other skilled trades</v>
      </c>
      <c r="B255" s="11">
        <v>3.1099516544652617</v>
      </c>
      <c r="C255" s="11">
        <v>2.774235388770133</v>
      </c>
      <c r="D255" s="11">
        <f t="shared" si="166"/>
        <v>-0.33571626569512869</v>
      </c>
      <c r="E255" s="11">
        <v>1.1287133097475908</v>
      </c>
      <c r="F255" s="11">
        <f t="shared" ref="F255" si="173">SUM(D255:E255)</f>
        <v>0.79299704405246207</v>
      </c>
      <c r="G255" s="200">
        <f t="shared" si="169"/>
        <v>2.0857279901171033E-2</v>
      </c>
    </row>
    <row r="256" spans="1:7" x14ac:dyDescent="0.2">
      <c r="A256" t="str">
        <f t="shared" si="165"/>
        <v>61 Caring personal service occupations</v>
      </c>
      <c r="B256" s="11">
        <v>2.407136337654638</v>
      </c>
      <c r="C256" s="11">
        <v>1.7216015616507983</v>
      </c>
      <c r="D256" s="11">
        <f>C256-B256</f>
        <v>-0.68553477600383972</v>
      </c>
      <c r="E256" s="11">
        <v>0.63435923883021794</v>
      </c>
      <c r="F256" s="11">
        <f>SUM(D256:E256)</f>
        <v>-5.1175537173621777E-2</v>
      </c>
      <c r="G256" s="200">
        <f t="shared" si="169"/>
        <v>1.5716326601026287E-2</v>
      </c>
    </row>
    <row r="257" spans="1:7" x14ac:dyDescent="0.2">
      <c r="A257" t="str">
        <f t="shared" si="165"/>
        <v>62 Leisure, travel and related personal service occupations</v>
      </c>
      <c r="B257" s="11">
        <v>2.9564111977433951</v>
      </c>
      <c r="C257" s="11">
        <v>2.1902944491663203</v>
      </c>
      <c r="D257" s="11">
        <f t="shared" ref="D257:D263" si="174">C257-B257</f>
        <v>-0.76611674857707479</v>
      </c>
      <c r="E257" s="11">
        <v>1.1292218015879179</v>
      </c>
      <c r="F257" s="11">
        <f t="shared" ref="F257:F258" si="175">SUM(D257:E257)</f>
        <v>0.36310505301084306</v>
      </c>
      <c r="G257" s="200">
        <f t="shared" si="169"/>
        <v>2.1800947211504829E-2</v>
      </c>
    </row>
    <row r="258" spans="1:7" x14ac:dyDescent="0.2">
      <c r="A258" t="str">
        <f t="shared" si="165"/>
        <v>63 Community and civil enforcement occupations</v>
      </c>
      <c r="B258" s="11">
        <v>0.17155465384494037</v>
      </c>
      <c r="C258" s="11">
        <v>0.11754155095005019</v>
      </c>
      <c r="D258" s="11">
        <f t="shared" si="174"/>
        <v>-5.4013102894890183E-2</v>
      </c>
      <c r="E258" s="11">
        <v>5.3414210722639424E-2</v>
      </c>
      <c r="F258" s="11">
        <f t="shared" si="175"/>
        <v>-5.9889217225075897E-4</v>
      </c>
      <c r="G258" s="200">
        <f t="shared" si="169"/>
        <v>1.8234936975169314E-2</v>
      </c>
    </row>
    <row r="259" spans="1:7" x14ac:dyDescent="0.2">
      <c r="A259" t="str">
        <f t="shared" si="165"/>
        <v>71 Sales occupations</v>
      </c>
      <c r="B259" s="11">
        <v>7.857573325056463</v>
      </c>
      <c r="C259" s="11">
        <v>2.6299548899485399</v>
      </c>
      <c r="D259" s="11">
        <f t="shared" si="174"/>
        <v>-5.2276184351079227</v>
      </c>
      <c r="E259" s="11">
        <v>1.7667722767359713</v>
      </c>
      <c r="F259" s="11">
        <f t="shared" ref="F259:F260" si="176">SUM(D259:E259)</f>
        <v>-3.4608461583719512</v>
      </c>
      <c r="G259" s="200">
        <f t="shared" si="169"/>
        <v>1.3613029341736471E-2</v>
      </c>
    </row>
    <row r="260" spans="1:7" x14ac:dyDescent="0.2">
      <c r="A260" t="str">
        <f t="shared" si="165"/>
        <v>72 Customer service occupations</v>
      </c>
      <c r="B260" s="11">
        <v>1.4712261426311697</v>
      </c>
      <c r="C260" s="11">
        <v>1.4709673957701319</v>
      </c>
      <c r="D260" s="11">
        <f t="shared" si="174"/>
        <v>-2.58746861037773E-4</v>
      </c>
      <c r="E260" s="11">
        <v>0.5253528825986663</v>
      </c>
      <c r="F260" s="11">
        <f t="shared" si="176"/>
        <v>0.52509413573762853</v>
      </c>
      <c r="G260" s="200">
        <f t="shared" si="169"/>
        <v>2.056453273582326E-2</v>
      </c>
    </row>
    <row r="261" spans="1:7" x14ac:dyDescent="0.2">
      <c r="A261" t="str">
        <f t="shared" si="165"/>
        <v>81 Process, plant and machine operatives</v>
      </c>
      <c r="B261" s="11">
        <v>2.4259543189187633</v>
      </c>
      <c r="C261" s="11">
        <v>1.1494068632656671</v>
      </c>
      <c r="D261" s="11">
        <f t="shared" si="174"/>
        <v>-1.2765474556530962</v>
      </c>
      <c r="E261" s="11">
        <v>0.69820664370156449</v>
      </c>
      <c r="F261" s="11">
        <f t="shared" ref="F261:F262" si="177">SUM(D261:E261)</f>
        <v>-0.57834081195153175</v>
      </c>
      <c r="G261" s="200">
        <f t="shared" si="169"/>
        <v>1.7005696479063692E-2</v>
      </c>
    </row>
    <row r="262" spans="1:7" x14ac:dyDescent="0.2">
      <c r="A262" t="str">
        <f t="shared" si="165"/>
        <v>82 Transport and mobile machine drivers and operatives</v>
      </c>
      <c r="B262" s="11">
        <v>5.0261098919715721</v>
      </c>
      <c r="C262" s="11">
        <v>3.7840769340056388</v>
      </c>
      <c r="D262" s="11">
        <f t="shared" si="174"/>
        <v>-1.2420329579659333</v>
      </c>
      <c r="E262" s="11">
        <v>2.0652595692285765</v>
      </c>
      <c r="F262" s="11">
        <f t="shared" si="177"/>
        <v>0.82322661126264318</v>
      </c>
      <c r="G262" s="200">
        <f t="shared" si="169"/>
        <v>2.3214161389373267E-2</v>
      </c>
    </row>
    <row r="263" spans="1:7" x14ac:dyDescent="0.2">
      <c r="A263" t="str">
        <f t="shared" si="165"/>
        <v>91 Elementary trades and related occupations</v>
      </c>
      <c r="B263" s="11">
        <v>2.4623743763723929</v>
      </c>
      <c r="C263" s="11">
        <v>1.4662305870726307</v>
      </c>
      <c r="D263" s="11">
        <f t="shared" si="174"/>
        <v>-0.99614378929976222</v>
      </c>
      <c r="E263" s="11">
        <v>0.63685324660203979</v>
      </c>
      <c r="F263" s="11">
        <f t="shared" ref="F263" si="178">SUM(D263:E263)</f>
        <v>-0.35929054269772243</v>
      </c>
      <c r="G263" s="200">
        <f t="shared" si="169"/>
        <v>1.5453309595335307E-2</v>
      </c>
    </row>
    <row r="264" spans="1:7" x14ac:dyDescent="0.2">
      <c r="A264" t="str">
        <f t="shared" si="165"/>
        <v>92 Elementary administration and service occupations</v>
      </c>
      <c r="B264" s="11">
        <v>17.297892844591214</v>
      </c>
      <c r="C264" s="11">
        <v>12.195880506088903</v>
      </c>
      <c r="D264" s="11">
        <f t="shared" ref="D264" si="179">C264-B264</f>
        <v>-5.1020123385023108</v>
      </c>
      <c r="E264" s="11">
        <v>6.229286685697156</v>
      </c>
      <c r="F264" s="11">
        <f>SUM(D264:E264)</f>
        <v>1.1272743471948452</v>
      </c>
      <c r="G264" s="200">
        <f t="shared" ref="G264:G265" si="180">IF(B264&gt;0,(1+(E264/B264))^(1/($C$6-$B$6))-1,0)</f>
        <v>2.0716442859847417E-2</v>
      </c>
    </row>
    <row r="265" spans="1:7" x14ac:dyDescent="0.2">
      <c r="A265" t="str">
        <f t="shared" si="165"/>
        <v>All occupations</v>
      </c>
      <c r="B265" s="11">
        <f>SUM(B239:B264)</f>
        <v>88.410769366758032</v>
      </c>
      <c r="C265" s="11">
        <f t="shared" ref="C265:F265" si="181">SUM(C239:C264)</f>
        <v>56.934334716619361</v>
      </c>
      <c r="D265" s="11">
        <f t="shared" si="181"/>
        <v>-31.476434650138685</v>
      </c>
      <c r="E265" s="11">
        <f t="shared" si="181"/>
        <v>28.855252877790399</v>
      </c>
      <c r="F265" s="11">
        <f t="shared" si="181"/>
        <v>-2.6211817723482835</v>
      </c>
      <c r="G265" s="200">
        <f t="shared" si="180"/>
        <v>1.9008488102626009E-2</v>
      </c>
    </row>
    <row r="267" spans="1:7" ht="38.25" x14ac:dyDescent="0.2">
      <c r="A267" s="201" t="str">
        <f>CONCATENATE(name!F12," (Constrained)")</f>
        <v>No Qualification (Constrained)</v>
      </c>
      <c r="B267" s="88">
        <f t="shared" ref="B267:G267" si="182">B180</f>
        <v>2020</v>
      </c>
      <c r="C267" s="88">
        <f t="shared" si="182"/>
        <v>2035</v>
      </c>
      <c r="D267" s="88" t="str">
        <f t="shared" si="182"/>
        <v>Net Change</v>
      </c>
      <c r="E267" s="88" t="str">
        <f t="shared" si="182"/>
        <v>Replacement Demand level</v>
      </c>
      <c r="F267" s="88" t="str">
        <f t="shared" si="182"/>
        <v>Total Requirement</v>
      </c>
      <c r="G267" s="88" t="str">
        <f t="shared" si="182"/>
        <v>Replacement Demand rate</v>
      </c>
    </row>
    <row r="268" spans="1:7" x14ac:dyDescent="0.2">
      <c r="A268" t="str">
        <f t="shared" ref="A268:A294" si="183">A181</f>
        <v>11 Corporate managers and directors</v>
      </c>
      <c r="B268" s="11">
        <v>1.0988188403346375</v>
      </c>
      <c r="C268" s="11">
        <v>1.4688461720392125</v>
      </c>
      <c r="D268" s="11">
        <f>C268-B268</f>
        <v>0.37002733170457502</v>
      </c>
      <c r="E268" s="11">
        <v>0.37543952635399508</v>
      </c>
      <c r="F268" s="11">
        <f>SUM(D268:E268)</f>
        <v>0.74546685805857016</v>
      </c>
      <c r="G268" s="200">
        <f>IF(B268&gt;0,(1+(E268/B268))^(1/($C$6-$B$6))-1,0)</f>
        <v>1.9787850524733752E-2</v>
      </c>
    </row>
    <row r="269" spans="1:7" x14ac:dyDescent="0.2">
      <c r="A269" t="str">
        <f t="shared" si="183"/>
        <v>12 Other managers and proprietors</v>
      </c>
      <c r="B269" s="11">
        <v>0.87561619033777216</v>
      </c>
      <c r="C269" s="11">
        <v>1.702932724888901</v>
      </c>
      <c r="D269" s="11">
        <f t="shared" ref="D269:D284" si="184">C269-B269</f>
        <v>0.82731653455112886</v>
      </c>
      <c r="E269" s="11">
        <v>0.46492695410540069</v>
      </c>
      <c r="F269" s="11">
        <f t="shared" ref="F269:F276" si="185">SUM(D269:E269)</f>
        <v>1.2922434886565295</v>
      </c>
      <c r="G269" s="200">
        <f t="shared" ref="G269:G271" si="186">IF(B269&gt;0,(1+(E269/B269))^(1/($C$6-$B$6))-1,0)</f>
        <v>2.8800423106729145E-2</v>
      </c>
    </row>
    <row r="270" spans="1:7" x14ac:dyDescent="0.2">
      <c r="A270" t="str">
        <f t="shared" si="183"/>
        <v>21 Science, research, engineering and technology professionals</v>
      </c>
      <c r="B270" s="11">
        <v>0.76949449030013362</v>
      </c>
      <c r="C270" s="11">
        <v>1.8101794396619433</v>
      </c>
      <c r="D270" s="11">
        <f t="shared" si="184"/>
        <v>1.0406849493618098</v>
      </c>
      <c r="E270" s="11">
        <v>0.37819186089940304</v>
      </c>
      <c r="F270" s="11">
        <f t="shared" si="185"/>
        <v>1.4188768102612128</v>
      </c>
      <c r="G270" s="200">
        <f t="shared" si="186"/>
        <v>2.7009624333451665E-2</v>
      </c>
    </row>
    <row r="271" spans="1:7" x14ac:dyDescent="0.2">
      <c r="A271" t="str">
        <f t="shared" si="183"/>
        <v>22 Health professionals</v>
      </c>
      <c r="B271" s="11">
        <v>0.19214638860708494</v>
      </c>
      <c r="C271" s="11">
        <v>0.7098708918616693</v>
      </c>
      <c r="D271" s="11">
        <f t="shared" si="184"/>
        <v>0.5177245032545843</v>
      </c>
      <c r="E271" s="11">
        <v>0.16592178999092191</v>
      </c>
      <c r="F271" s="11">
        <f t="shared" si="185"/>
        <v>0.68364629324550619</v>
      </c>
      <c r="G271" s="200">
        <f t="shared" si="186"/>
        <v>4.2370791435088817E-2</v>
      </c>
    </row>
    <row r="272" spans="1:7" x14ac:dyDescent="0.2">
      <c r="A272" t="str">
        <f t="shared" si="183"/>
        <v>23 Teaching and other educational professionals</v>
      </c>
      <c r="B272" s="11">
        <v>0.16180616199018644</v>
      </c>
      <c r="C272" s="11">
        <v>0.27859118193737137</v>
      </c>
      <c r="D272" s="11">
        <f t="shared" si="184"/>
        <v>0.11678501994718493</v>
      </c>
      <c r="E272" s="11">
        <v>8.1947855543050757E-2</v>
      </c>
      <c r="F272" s="11">
        <f t="shared" si="185"/>
        <v>0.19873287549023569</v>
      </c>
      <c r="G272" s="200">
        <f>IF(B272&gt;0,(1+(E272/B272))^(1/($C$6-$B$6))-1,0)</f>
        <v>2.7693907079606062E-2</v>
      </c>
    </row>
    <row r="273" spans="1:7" x14ac:dyDescent="0.2">
      <c r="A273" t="str">
        <f t="shared" si="183"/>
        <v>24 Business, media and public service professionals</v>
      </c>
      <c r="B273" s="11">
        <v>0.68872444512603148</v>
      </c>
      <c r="C273" s="11">
        <v>1.3947132627303596</v>
      </c>
      <c r="D273" s="11">
        <f t="shared" si="184"/>
        <v>0.70598881760432808</v>
      </c>
      <c r="E273" s="11">
        <v>0.33607751280321785</v>
      </c>
      <c r="F273" s="11">
        <f t="shared" si="185"/>
        <v>1.0420663304075459</v>
      </c>
      <c r="G273" s="200">
        <f t="shared" ref="G273" si="187">IF(B273&gt;0,(1+(E273/B273))^(1/($C$6-$B$6))-1,0)</f>
        <v>2.6848319222859685E-2</v>
      </c>
    </row>
    <row r="274" spans="1:7" x14ac:dyDescent="0.2">
      <c r="A274" t="str">
        <f t="shared" si="183"/>
        <v>31 Science, engineering and technology associate professionals</v>
      </c>
      <c r="B274" s="11">
        <v>0.39939066445056048</v>
      </c>
      <c r="C274" s="11">
        <v>0.89801587606410338</v>
      </c>
      <c r="D274" s="11">
        <f t="shared" si="184"/>
        <v>0.4986252116135429</v>
      </c>
      <c r="E274" s="11">
        <v>0.21713124178490906</v>
      </c>
      <c r="F274" s="11">
        <f t="shared" si="185"/>
        <v>0.71575645339845195</v>
      </c>
      <c r="G274" s="200">
        <f>IF(B274&gt;0,(1+(E274/B274))^(1/($C$6-$B$6))-1,0)</f>
        <v>2.9366523418711932E-2</v>
      </c>
    </row>
    <row r="275" spans="1:7" x14ac:dyDescent="0.2">
      <c r="A275" t="str">
        <f t="shared" si="183"/>
        <v>32 Health and social care associate professionals</v>
      </c>
      <c r="B275" s="11">
        <v>0.11369457466395679</v>
      </c>
      <c r="C275" s="11">
        <v>0.3269311561291357</v>
      </c>
      <c r="D275" s="11">
        <f t="shared" si="184"/>
        <v>0.21323658146517893</v>
      </c>
      <c r="E275" s="11">
        <v>8.2962211649450668E-2</v>
      </c>
      <c r="F275" s="11">
        <f t="shared" si="185"/>
        <v>0.2961987931146296</v>
      </c>
      <c r="G275" s="200">
        <f t="shared" ref="G275:G292" si="188">IF(B275&gt;0,(1+(E275/B275))^(1/($C$6-$B$6))-1,0)</f>
        <v>3.7205027269949564E-2</v>
      </c>
    </row>
    <row r="276" spans="1:7" x14ac:dyDescent="0.2">
      <c r="A276" t="str">
        <f t="shared" si="183"/>
        <v>33 Protective service occupations</v>
      </c>
      <c r="B276" s="11">
        <v>0.13983447517385492</v>
      </c>
      <c r="C276" s="11">
        <v>0.10714774643383733</v>
      </c>
      <c r="D276" s="11">
        <f t="shared" si="184"/>
        <v>-3.2686728740017587E-2</v>
      </c>
      <c r="E276" s="11">
        <v>2.1601346902443006E-2</v>
      </c>
      <c r="F276" s="11">
        <f t="shared" si="185"/>
        <v>-1.1085381837574581E-2</v>
      </c>
      <c r="G276" s="200">
        <f t="shared" si="188"/>
        <v>9.6225535149203623E-3</v>
      </c>
    </row>
    <row r="277" spans="1:7" x14ac:dyDescent="0.2">
      <c r="A277" t="str">
        <f t="shared" si="183"/>
        <v>34 Culture, media and sports occupations</v>
      </c>
      <c r="B277" s="11">
        <v>0.35686619777448841</v>
      </c>
      <c r="C277" s="11">
        <v>0.59135396958167163</v>
      </c>
      <c r="D277" s="11">
        <f t="shared" si="184"/>
        <v>0.23448777180718322</v>
      </c>
      <c r="E277" s="11">
        <v>0.13942518616864175</v>
      </c>
      <c r="F277" s="11">
        <f t="shared" ref="F277:F278" si="189">SUM(D277:E277)</f>
        <v>0.37391295797582497</v>
      </c>
      <c r="G277" s="200">
        <f t="shared" si="188"/>
        <v>2.2230311828059346E-2</v>
      </c>
    </row>
    <row r="278" spans="1:7" x14ac:dyDescent="0.2">
      <c r="A278" t="str">
        <f t="shared" si="183"/>
        <v>35 Business and public service associate professionals</v>
      </c>
      <c r="B278" s="11">
        <v>0.94165195136601121</v>
      </c>
      <c r="C278" s="11">
        <v>1.4684794556897545</v>
      </c>
      <c r="D278" s="11">
        <f t="shared" si="184"/>
        <v>0.52682750432374326</v>
      </c>
      <c r="E278" s="11">
        <v>0.33904984809927785</v>
      </c>
      <c r="F278" s="11">
        <f t="shared" si="189"/>
        <v>0.86587735242302111</v>
      </c>
      <c r="G278" s="200">
        <f t="shared" si="188"/>
        <v>2.0713457212728326E-2</v>
      </c>
    </row>
    <row r="279" spans="1:7" x14ac:dyDescent="0.2">
      <c r="A279" t="str">
        <f t="shared" si="183"/>
        <v>41 Administrative occupations</v>
      </c>
      <c r="B279" s="11">
        <v>1.6433546866727677</v>
      </c>
      <c r="C279" s="11">
        <v>1.1249862252133744</v>
      </c>
      <c r="D279" s="11">
        <f t="shared" si="184"/>
        <v>-0.5183684614593933</v>
      </c>
      <c r="E279" s="11">
        <v>0.33953569094906577</v>
      </c>
      <c r="F279" s="11">
        <f t="shared" ref="F279:F282" si="190">SUM(D279:E279)</f>
        <v>-0.17883277051032753</v>
      </c>
      <c r="G279" s="200">
        <f t="shared" si="188"/>
        <v>1.2599774892678495E-2</v>
      </c>
    </row>
    <row r="280" spans="1:7" x14ac:dyDescent="0.2">
      <c r="A280" t="str">
        <f t="shared" si="183"/>
        <v>42 Secretarial and related occupations</v>
      </c>
      <c r="B280" s="11">
        <v>0.80998398089753298</v>
      </c>
      <c r="C280" s="11">
        <v>0.48728255354390798</v>
      </c>
      <c r="D280" s="11">
        <f t="shared" si="184"/>
        <v>-0.322701427353625</v>
      </c>
      <c r="E280" s="11">
        <v>0.22974605935817774</v>
      </c>
      <c r="F280" s="11">
        <f t="shared" si="190"/>
        <v>-9.2955367995447263E-2</v>
      </c>
      <c r="G280" s="200">
        <f t="shared" si="188"/>
        <v>1.6786123998923541E-2</v>
      </c>
    </row>
    <row r="281" spans="1:7" x14ac:dyDescent="0.2">
      <c r="A281" t="str">
        <f t="shared" si="183"/>
        <v>51 Skilled agricultural and related trades</v>
      </c>
      <c r="B281" s="11">
        <v>0.62985177884930743</v>
      </c>
      <c r="C281" s="11">
        <v>0.47661630392015153</v>
      </c>
      <c r="D281" s="11">
        <f t="shared" si="184"/>
        <v>-0.1532354749291559</v>
      </c>
      <c r="E281" s="11">
        <v>0.19629625216771318</v>
      </c>
      <c r="F281" s="11">
        <f t="shared" si="190"/>
        <v>4.306077723855728E-2</v>
      </c>
      <c r="G281" s="200">
        <f t="shared" si="188"/>
        <v>1.8250504952843638E-2</v>
      </c>
    </row>
    <row r="282" spans="1:7" x14ac:dyDescent="0.2">
      <c r="A282" t="str">
        <f t="shared" si="183"/>
        <v>52 Skilled metal, electrical and electronic trades</v>
      </c>
      <c r="B282" s="11">
        <v>0.91535112861950441</v>
      </c>
      <c r="C282" s="11">
        <v>0.83234682988373832</v>
      </c>
      <c r="D282" s="11">
        <f t="shared" si="184"/>
        <v>-8.3004298735766091E-2</v>
      </c>
      <c r="E282" s="11">
        <v>0.30827070051134248</v>
      </c>
      <c r="F282" s="11">
        <f t="shared" si="190"/>
        <v>0.22526640177557639</v>
      </c>
      <c r="G282" s="200">
        <f t="shared" si="188"/>
        <v>1.9539288748049666E-2</v>
      </c>
    </row>
    <row r="283" spans="1:7" x14ac:dyDescent="0.2">
      <c r="A283" t="str">
        <f t="shared" si="183"/>
        <v>53 Skilled construction and building trades</v>
      </c>
      <c r="B283" s="11">
        <v>1.3145337226012896</v>
      </c>
      <c r="C283" s="11">
        <v>0.39216964699936807</v>
      </c>
      <c r="D283" s="11">
        <f t="shared" si="184"/>
        <v>-0.92236407560192157</v>
      </c>
      <c r="E283" s="11">
        <v>0.24199306977487184</v>
      </c>
      <c r="F283" s="11">
        <f t="shared" ref="F283" si="191">SUM(D283:E283)</f>
        <v>-0.68037100582704979</v>
      </c>
      <c r="G283" s="200">
        <f t="shared" si="188"/>
        <v>1.1328682621198682E-2</v>
      </c>
    </row>
    <row r="284" spans="1:7" x14ac:dyDescent="0.2">
      <c r="A284" t="str">
        <f t="shared" si="183"/>
        <v>54 Textiles, printing and other skilled trades</v>
      </c>
      <c r="B284" s="11">
        <v>1.1594440119070986</v>
      </c>
      <c r="C284" s="11">
        <v>0.63950989001054293</v>
      </c>
      <c r="D284" s="11">
        <f t="shared" si="184"/>
        <v>-0.51993412189655563</v>
      </c>
      <c r="E284" s="11">
        <v>0.22777455548900363</v>
      </c>
      <c r="F284" s="11">
        <f t="shared" ref="F284" si="192">SUM(D284:E284)</f>
        <v>-0.29215956640755203</v>
      </c>
      <c r="G284" s="200">
        <f t="shared" si="188"/>
        <v>1.2029116241713877E-2</v>
      </c>
    </row>
    <row r="285" spans="1:7" x14ac:dyDescent="0.2">
      <c r="A285" t="str">
        <f t="shared" si="183"/>
        <v>61 Caring personal service occupations</v>
      </c>
      <c r="B285" s="11">
        <v>0.51367741705676273</v>
      </c>
      <c r="C285" s="11">
        <v>0.82510196988384521</v>
      </c>
      <c r="D285" s="11">
        <f>C285-B285</f>
        <v>0.31142455282708248</v>
      </c>
      <c r="E285" s="11">
        <v>0.17892903692050333</v>
      </c>
      <c r="F285" s="11">
        <f>SUM(D285:E285)</f>
        <v>0.49035358974758581</v>
      </c>
      <c r="G285" s="200">
        <f t="shared" si="188"/>
        <v>2.0124248041092585E-2</v>
      </c>
    </row>
    <row r="286" spans="1:7" x14ac:dyDescent="0.2">
      <c r="A286" t="str">
        <f t="shared" si="183"/>
        <v>62 Leisure, travel and related personal service occupations</v>
      </c>
      <c r="B286" s="11">
        <v>0.89143123574866379</v>
      </c>
      <c r="C286" s="11">
        <v>0.77562577258497234</v>
      </c>
      <c r="D286" s="11">
        <f t="shared" ref="D286:D292" si="193">C286-B286</f>
        <v>-0.11580546316369145</v>
      </c>
      <c r="E286" s="11">
        <v>0.23247021087497968</v>
      </c>
      <c r="F286" s="11">
        <f t="shared" ref="F286:F287" si="194">SUM(D286:E286)</f>
        <v>0.11666474771128824</v>
      </c>
      <c r="G286" s="200">
        <f t="shared" si="188"/>
        <v>1.5568820327689137E-2</v>
      </c>
    </row>
    <row r="287" spans="1:7" x14ac:dyDescent="0.2">
      <c r="A287" t="str">
        <f t="shared" si="183"/>
        <v>63 Community and civil enforcement occupations</v>
      </c>
      <c r="B287" s="11">
        <v>4.8422007359802718E-2</v>
      </c>
      <c r="C287" s="11">
        <v>2.3234477809211174E-2</v>
      </c>
      <c r="D287" s="11">
        <f t="shared" si="193"/>
        <v>-2.5187529550591545E-2</v>
      </c>
      <c r="E287" s="11">
        <v>6.7785999596439491E-3</v>
      </c>
      <c r="F287" s="11">
        <f t="shared" si="194"/>
        <v>-1.8408929590947594E-2</v>
      </c>
      <c r="G287" s="200">
        <f t="shared" si="188"/>
        <v>8.7728947462768492E-3</v>
      </c>
    </row>
    <row r="288" spans="1:7" x14ac:dyDescent="0.2">
      <c r="A288" t="str">
        <f t="shared" si="183"/>
        <v>71 Sales occupations</v>
      </c>
      <c r="B288" s="11">
        <v>2.8056083282411088</v>
      </c>
      <c r="C288" s="11">
        <v>1.9789774585882265</v>
      </c>
      <c r="D288" s="11">
        <f t="shared" si="193"/>
        <v>-0.82663086965288235</v>
      </c>
      <c r="E288" s="11">
        <v>0.56478201040520171</v>
      </c>
      <c r="F288" s="11">
        <f t="shared" ref="F288:F289" si="195">SUM(D288:E288)</f>
        <v>-0.26184885924768064</v>
      </c>
      <c r="G288" s="200">
        <f t="shared" si="188"/>
        <v>1.2302269750247286E-2</v>
      </c>
    </row>
    <row r="289" spans="1:7" x14ac:dyDescent="0.2">
      <c r="A289" t="str">
        <f t="shared" si="183"/>
        <v>72 Customer service occupations</v>
      </c>
      <c r="B289" s="11">
        <v>0.55873870156015115</v>
      </c>
      <c r="C289" s="11">
        <v>1.2657296022254649</v>
      </c>
      <c r="D289" s="11">
        <f t="shared" si="193"/>
        <v>0.70699090066531378</v>
      </c>
      <c r="E289" s="11">
        <v>0.28752217504441152</v>
      </c>
      <c r="F289" s="11">
        <f t="shared" si="195"/>
        <v>0.99451307570972536</v>
      </c>
      <c r="G289" s="200">
        <f t="shared" si="188"/>
        <v>2.8062932423525977E-2</v>
      </c>
    </row>
    <row r="290" spans="1:7" x14ac:dyDescent="0.2">
      <c r="A290" t="str">
        <f t="shared" si="183"/>
        <v>81 Process, plant and machine operatives</v>
      </c>
      <c r="B290" s="11">
        <v>0.85173139370140061</v>
      </c>
      <c r="C290" s="11">
        <v>0.37608404711617982</v>
      </c>
      <c r="D290" s="11">
        <f t="shared" si="193"/>
        <v>-0.47564734658522079</v>
      </c>
      <c r="E290" s="11">
        <v>0.12312789061786955</v>
      </c>
      <c r="F290" s="11">
        <f t="shared" ref="F290:F291" si="196">SUM(D290:E290)</f>
        <v>-0.35251945596735124</v>
      </c>
      <c r="G290" s="200">
        <f t="shared" si="188"/>
        <v>9.0420966757032151E-3</v>
      </c>
    </row>
    <row r="291" spans="1:7" x14ac:dyDescent="0.2">
      <c r="A291" t="str">
        <f t="shared" si="183"/>
        <v>82 Transport and mobile machine drivers and operatives</v>
      </c>
      <c r="B291" s="11">
        <v>2.3488940082025906</v>
      </c>
      <c r="C291" s="11">
        <v>1.9949899040798873</v>
      </c>
      <c r="D291" s="11">
        <f t="shared" si="193"/>
        <v>-0.35390410412270334</v>
      </c>
      <c r="E291" s="11">
        <v>0.87570354749875456</v>
      </c>
      <c r="F291" s="11">
        <f t="shared" si="196"/>
        <v>0.52179944337605122</v>
      </c>
      <c r="G291" s="200">
        <f t="shared" si="188"/>
        <v>2.1348934170189793E-2</v>
      </c>
    </row>
    <row r="292" spans="1:7" x14ac:dyDescent="0.2">
      <c r="A292" t="str">
        <f t="shared" si="183"/>
        <v>91 Elementary trades and related occupations</v>
      </c>
      <c r="B292" s="11">
        <v>1.1362907027826816</v>
      </c>
      <c r="C292" s="11">
        <v>0.66716097076796999</v>
      </c>
      <c r="D292" s="11">
        <f t="shared" si="193"/>
        <v>-0.46912973201471164</v>
      </c>
      <c r="E292" s="11">
        <v>0.23563310312588123</v>
      </c>
      <c r="F292" s="11">
        <f t="shared" ref="F292" si="197">SUM(D292:E292)</f>
        <v>-0.23349662888883041</v>
      </c>
      <c r="G292" s="200">
        <f t="shared" si="188"/>
        <v>1.2642232815448518E-2</v>
      </c>
    </row>
    <row r="293" spans="1:7" x14ac:dyDescent="0.2">
      <c r="A293" t="str">
        <f t="shared" si="183"/>
        <v>92 Elementary administration and service occupations</v>
      </c>
      <c r="B293" s="11">
        <v>6.6287096516711275</v>
      </c>
      <c r="C293" s="11">
        <v>3.7818255174864799</v>
      </c>
      <c r="D293" s="11">
        <f t="shared" ref="D293" si="198">C293-B293</f>
        <v>-2.8468841341846476</v>
      </c>
      <c r="E293" s="11">
        <v>1.1636954956872354</v>
      </c>
      <c r="F293" s="11">
        <f t="shared" ref="F293" si="199">SUM(D293:E293)</f>
        <v>-1.6831886384974122</v>
      </c>
      <c r="G293" s="200">
        <f t="shared" ref="G293:G294" si="200">IF(B293&gt;0,(1+(E293/B293))^(1/($C$6-$B$6))-1,0)</f>
        <v>1.0840968535706486E-2</v>
      </c>
    </row>
    <row r="294" spans="1:7" x14ac:dyDescent="0.2">
      <c r="A294" s="24" t="str">
        <f t="shared" si="183"/>
        <v>All occupations</v>
      </c>
      <c r="B294" s="34">
        <f>SUM(B268:B293)</f>
        <v>27.994067135996506</v>
      </c>
      <c r="C294" s="34">
        <f t="shared" ref="C294:F294" si="201">SUM(C268:C293)</f>
        <v>26.398703047131278</v>
      </c>
      <c r="D294" s="34">
        <f t="shared" si="201"/>
        <v>-1.5953640888652272</v>
      </c>
      <c r="E294" s="34">
        <f t="shared" si="201"/>
        <v>7.8149337326853683</v>
      </c>
      <c r="F294" s="34">
        <f t="shared" si="201"/>
        <v>6.2195696438201402</v>
      </c>
      <c r="G294" s="234">
        <f t="shared" si="200"/>
        <v>1.6549224980783039E-2</v>
      </c>
    </row>
  </sheetData>
  <mergeCells count="4">
    <mergeCell ref="A1:G2"/>
    <mergeCell ref="I1:N2"/>
    <mergeCell ref="P1:V2"/>
    <mergeCell ref="X1:AD2"/>
  </mergeCells>
  <phoneticPr fontId="4" type="noConversion"/>
  <pageMargins left="0.39370078740157483" right="0.39370078740157483" top="0.39370078740157483" bottom="0.39370078740157483" header="0.51181102362204722" footer="0.51181102362204722"/>
  <pageSetup paperSize="9" scale="63" orientation="portrait" r:id="rId1"/>
  <headerFooter alignWithMargins="0"/>
  <rowBreaks count="5" manualBreakCount="5">
    <brk id="61" min="8" max="14" man="1"/>
    <brk id="62" max="7" man="1"/>
    <brk id="120" max="7" man="1"/>
    <brk id="178" max="7" man="1"/>
    <brk id="236" max="7" man="1"/>
  </rowBreaks>
  <colBreaks count="1" manualBreakCount="1">
    <brk id="8" max="1048575" man="1"/>
  </colBreaks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0"/>
  <dimension ref="A1:Q65"/>
  <sheetViews>
    <sheetView zoomScale="85" zoomScaleNormal="85" workbookViewId="0"/>
  </sheetViews>
  <sheetFormatPr defaultRowHeight="12.75" x14ac:dyDescent="0.2"/>
  <cols>
    <col min="1" max="14" width="9.140625" style="81"/>
    <col min="15" max="15" width="44.140625" customWidth="1"/>
    <col min="16" max="17" width="16.85546875" customWidth="1"/>
  </cols>
  <sheetData>
    <row r="1" spans="1:17" ht="15.75" x14ac:dyDescent="0.25">
      <c r="A1" s="80" t="str">
        <f>CONCATENATE("Replacement Demand Figure 1  Replacement Demand by Occupation Group (SOC 2020), ",P4,", ",Info!B5)</f>
        <v>Replacement Demand Figure 1  Replacement Demand by Occupation Group (SOC 2020), 2020-2035, Enterprise M3</v>
      </c>
    </row>
    <row r="2" spans="1:17" x14ac:dyDescent="0.2">
      <c r="A2" s="364" t="s">
        <v>521</v>
      </c>
    </row>
    <row r="3" spans="1:17" x14ac:dyDescent="0.2">
      <c r="O3" s="46" t="s">
        <v>415</v>
      </c>
    </row>
    <row r="4" spans="1:17" x14ac:dyDescent="0.2">
      <c r="P4" s="16" t="str">
        <f>'Occ T1'!H4</f>
        <v>2020-2035</v>
      </c>
    </row>
    <row r="5" spans="1:17" x14ac:dyDescent="0.2">
      <c r="P5" s="16" t="str">
        <f>CONCATENATE('Occ T1'!H5," ",'Occ T1'!H6)</f>
        <v>Net Change</v>
      </c>
      <c r="Q5" s="16" t="str">
        <f>CONCATENATE('Occ T1'!J5," ",'Occ T1'!J6)</f>
        <v>Total Requirement</v>
      </c>
    </row>
    <row r="6" spans="1:17" x14ac:dyDescent="0.2">
      <c r="P6" s="11"/>
      <c r="Q6" s="11"/>
    </row>
    <row r="7" spans="1:17" x14ac:dyDescent="0.2">
      <c r="O7" t="str">
        <f>name!E12</f>
        <v>Elementary occupations</v>
      </c>
      <c r="P7" s="11">
        <f>'Occ T1'!H16</f>
        <v>-1.366135801193451</v>
      </c>
      <c r="Q7" s="11">
        <f>'Occ T1'!J16</f>
        <v>38.995414787259762</v>
      </c>
    </row>
    <row r="8" spans="1:17" x14ac:dyDescent="0.2">
      <c r="O8" t="str">
        <f>name!E11</f>
        <v>Process, plant and machine operatives</v>
      </c>
      <c r="P8" s="11">
        <f>'Occ T1'!H15</f>
        <v>4.4054090925017633</v>
      </c>
      <c r="Q8" s="11">
        <f>'Occ T1'!J15</f>
        <v>22.196168441368918</v>
      </c>
    </row>
    <row r="9" spans="1:17" x14ac:dyDescent="0.2">
      <c r="O9" t="str">
        <f>name!E10</f>
        <v>Sales and customer service occupations</v>
      </c>
      <c r="P9" s="11">
        <f>'Occ T1'!H14</f>
        <v>0.16138029858690572</v>
      </c>
      <c r="Q9" s="11">
        <f>'Occ T1'!J14</f>
        <v>29.543856914870606</v>
      </c>
    </row>
    <row r="10" spans="1:17" x14ac:dyDescent="0.2">
      <c r="O10" t="str">
        <f>name!E9</f>
        <v>Caring, leisure and other service occupations</v>
      </c>
      <c r="P10" s="11">
        <f>'Occ T1'!H13</f>
        <v>9.6227326292481763</v>
      </c>
      <c r="Q10" s="11">
        <f>'Occ T1'!J13</f>
        <v>55.293669613873334</v>
      </c>
    </row>
    <row r="11" spans="1:17" x14ac:dyDescent="0.2">
      <c r="O11" t="str">
        <f>name!E8</f>
        <v>Skilled trades occupations</v>
      </c>
      <c r="P11" s="11">
        <f>'Occ T1'!H12</f>
        <v>3.2598505238562012</v>
      </c>
      <c r="Q11" s="11">
        <f>'Occ T1'!J12</f>
        <v>33.742330294195213</v>
      </c>
    </row>
    <row r="12" spans="1:17" x14ac:dyDescent="0.2">
      <c r="O12" t="str">
        <f>name!E7</f>
        <v>Administrative and secretarial occupations</v>
      </c>
      <c r="P12" s="11">
        <f>'Occ T1'!H11</f>
        <v>-15.054773454314756</v>
      </c>
      <c r="Q12" s="11">
        <f>'Occ T1'!J11</f>
        <v>25.492906885327344</v>
      </c>
    </row>
    <row r="13" spans="1:17" x14ac:dyDescent="0.2">
      <c r="O13" t="str">
        <f>name!E6</f>
        <v>Associate professional occupations</v>
      </c>
      <c r="P13" s="11">
        <f>'Occ T1'!H10</f>
        <v>6.4409973871153454</v>
      </c>
      <c r="Q13" s="11">
        <f>'Occ T1'!J10</f>
        <v>63.596726873855872</v>
      </c>
    </row>
    <row r="14" spans="1:17" x14ac:dyDescent="0.2">
      <c r="O14" t="str">
        <f>name!E5</f>
        <v>Professional occupations</v>
      </c>
      <c r="P14" s="11">
        <f>'Occ T1'!H9</f>
        <v>36.349035894461252</v>
      </c>
      <c r="Q14" s="11">
        <f>'Occ T1'!J9</f>
        <v>142.29612832545197</v>
      </c>
    </row>
    <row r="15" spans="1:17" x14ac:dyDescent="0.2">
      <c r="O15" t="str">
        <f>name!E4</f>
        <v>Managers, directors and senior officials</v>
      </c>
      <c r="P15" s="11">
        <f>'Occ T1'!H8</f>
        <v>17.019503429738819</v>
      </c>
      <c r="Q15" s="11">
        <f>'Occ T1'!J8</f>
        <v>79.586616785656844</v>
      </c>
    </row>
    <row r="34" spans="1:17" ht="15.75" x14ac:dyDescent="0.25">
      <c r="A34" s="80" t="str">
        <f>CONCATENATE("Replacement Demand Figure 1.1  Replacement Demand by Occupation (SOC 2020), ",P35,", ",Info!B5)</f>
        <v>Replacement Demand Figure 1.1  Replacement Demand by Occupation (SOC 2020), 2020-2035, Enterprise M3</v>
      </c>
      <c r="O34" s="46" t="s">
        <v>415</v>
      </c>
    </row>
    <row r="35" spans="1:17" x14ac:dyDescent="0.2">
      <c r="P35" s="16" t="str">
        <f>'Occ T1'!H4</f>
        <v>2020-2035</v>
      </c>
    </row>
    <row r="36" spans="1:17" x14ac:dyDescent="0.2">
      <c r="P36" s="16" t="str">
        <f>CONCATENATE('Occ T1'!H5," ",'Occ T1'!H6)</f>
        <v>Net Change</v>
      </c>
      <c r="Q36" s="16" t="str">
        <f>CONCATENATE('Occ T1'!J5," ",'Occ T1'!J6)</f>
        <v>Total Requirement</v>
      </c>
    </row>
    <row r="37" spans="1:17" x14ac:dyDescent="0.2">
      <c r="O37" s="10" t="str">
        <f>name!D4</f>
        <v>11 Corporate managers and directors</v>
      </c>
      <c r="P37" s="11">
        <f>'Occ T2'!H8</f>
        <v>2.3260990665111621</v>
      </c>
      <c r="Q37" s="11">
        <f>'Occ T2'!J8</f>
        <v>41.699655097771874</v>
      </c>
    </row>
    <row r="38" spans="1:17" x14ac:dyDescent="0.2">
      <c r="O38" s="10" t="str">
        <f>name!D5</f>
        <v>12 Other managers and proprietors</v>
      </c>
      <c r="P38" s="11">
        <f>'Occ T2'!H9</f>
        <v>14.693404363227653</v>
      </c>
      <c r="Q38" s="11">
        <f>'Occ T2'!J9</f>
        <v>37.886961687884963</v>
      </c>
    </row>
    <row r="39" spans="1:17" x14ac:dyDescent="0.2">
      <c r="O39" s="10" t="str">
        <f>name!D6</f>
        <v>21 Science, research, engineering and technology professionals</v>
      </c>
      <c r="P39" s="11">
        <f>'Occ T2'!H10</f>
        <v>12.044612476703719</v>
      </c>
      <c r="Q39" s="11">
        <f>'Occ T2'!J10</f>
        <v>40.759551868468648</v>
      </c>
    </row>
    <row r="40" spans="1:17" x14ac:dyDescent="0.2">
      <c r="O40" s="10" t="str">
        <f>name!D7</f>
        <v>22 Health professionals</v>
      </c>
      <c r="P40" s="11">
        <f>'Occ T2'!H11</f>
        <v>3.6386480768076694</v>
      </c>
      <c r="Q40" s="11">
        <f>'Occ T2'!J11</f>
        <v>22.767113328073336</v>
      </c>
    </row>
    <row r="41" spans="1:17" x14ac:dyDescent="0.2">
      <c r="O41" s="10" t="str">
        <f>name!D8</f>
        <v>23 Teaching and other educational professionals</v>
      </c>
      <c r="P41" s="11">
        <f>'Occ T2'!H12</f>
        <v>4.4853748992063842</v>
      </c>
      <c r="Q41" s="11">
        <f>'Occ T2'!J12</f>
        <v>25.90873287424818</v>
      </c>
    </row>
    <row r="42" spans="1:17" x14ac:dyDescent="0.2">
      <c r="O42" s="10" t="str">
        <f>name!D9</f>
        <v>24 Business, media and public service professionals</v>
      </c>
      <c r="P42" s="11">
        <f>'Occ T2'!H13</f>
        <v>16.180400441743473</v>
      </c>
      <c r="Q42" s="11">
        <f>'Occ T2'!J13</f>
        <v>52.860730254661796</v>
      </c>
    </row>
    <row r="43" spans="1:17" x14ac:dyDescent="0.2">
      <c r="O43" s="10" t="str">
        <f>name!D10</f>
        <v>31 Science, engineering and technology associate professionals</v>
      </c>
      <c r="P43" s="11">
        <f>'Occ T2'!H14</f>
        <v>-0.75563824488131814</v>
      </c>
      <c r="Q43" s="11">
        <f>'Occ T2'!J14</f>
        <v>6.3143435023315382</v>
      </c>
    </row>
    <row r="44" spans="1:17" x14ac:dyDescent="0.2">
      <c r="O44" s="10" t="str">
        <f>name!D11</f>
        <v>32 Health and social care associate professionals</v>
      </c>
      <c r="P44" s="11">
        <f>'Occ T2'!H15</f>
        <v>0.86444332766932241</v>
      </c>
      <c r="Q44" s="11">
        <f>'Occ T2'!J15</f>
        <v>9.4070347100317324</v>
      </c>
    </row>
    <row r="45" spans="1:17" x14ac:dyDescent="0.2">
      <c r="O45" s="10" t="str">
        <f>name!D12</f>
        <v>33 Protective service occupations</v>
      </c>
      <c r="P45" s="11">
        <f>'Occ T2'!H16</f>
        <v>3.776169437688468</v>
      </c>
      <c r="Q45" s="11">
        <f>'Occ T2'!J16</f>
        <v>8.1517484965904874</v>
      </c>
    </row>
    <row r="46" spans="1:17" x14ac:dyDescent="0.2">
      <c r="O46" s="10" t="str">
        <f>name!D13</f>
        <v>34 Culture, media and sports occupations</v>
      </c>
      <c r="P46" s="11">
        <f>'Occ T2'!H17</f>
        <v>2.0157718270075797</v>
      </c>
      <c r="Q46" s="11">
        <f>'Occ T2'!J17</f>
        <v>11.924299185909131</v>
      </c>
    </row>
    <row r="47" spans="1:17" x14ac:dyDescent="0.2">
      <c r="O47" s="10" t="str">
        <f>name!D14</f>
        <v>35 Business and public service associate professionals</v>
      </c>
      <c r="P47" s="11">
        <f>'Occ T2'!H18</f>
        <v>0.54025103963129339</v>
      </c>
      <c r="Q47" s="11">
        <f>'Occ T2'!J18</f>
        <v>27.799300978992981</v>
      </c>
    </row>
    <row r="48" spans="1:17" x14ac:dyDescent="0.2">
      <c r="O48" s="10" t="str">
        <f>name!D15</f>
        <v>41 Administrative occupations</v>
      </c>
      <c r="P48" s="11">
        <f>'Occ T2'!H19</f>
        <v>-11.49453843900767</v>
      </c>
      <c r="Q48" s="11">
        <f>'Occ T2'!J19</f>
        <v>19.814793101437196</v>
      </c>
    </row>
    <row r="49" spans="15:17" x14ac:dyDescent="0.2">
      <c r="O49" s="10" t="str">
        <f>name!D16</f>
        <v>42 Secretarial and related occupations</v>
      </c>
      <c r="P49" s="11">
        <f>'Occ T2'!H20</f>
        <v>-3.560235015307093</v>
      </c>
      <c r="Q49" s="11">
        <f>'Occ T2'!J20</f>
        <v>5.6781137838901365</v>
      </c>
    </row>
    <row r="50" spans="15:17" x14ac:dyDescent="0.2">
      <c r="O50" s="10" t="str">
        <f>name!D17</f>
        <v>51 Skilled agricultural and related trades</v>
      </c>
      <c r="P50" s="11">
        <f>'Occ T2'!H21</f>
        <v>1.8538007286964771</v>
      </c>
      <c r="Q50" s="11">
        <f>'Occ T2'!J21</f>
        <v>6.306506863865792</v>
      </c>
    </row>
    <row r="51" spans="15:17" x14ac:dyDescent="0.2">
      <c r="O51" s="10" t="str">
        <f>name!D18</f>
        <v>52 Skilled metal, electrical and electronic trades</v>
      </c>
      <c r="P51" s="11">
        <f>'Occ T2'!H22</f>
        <v>3.2440982768619619E-2</v>
      </c>
      <c r="Q51" s="11">
        <f>'Occ T2'!J22</f>
        <v>9.8946985389537154</v>
      </c>
    </row>
    <row r="52" spans="15:17" x14ac:dyDescent="0.2">
      <c r="O52" s="10" t="str">
        <f>name!D19</f>
        <v>53 Skilled construction and building trades</v>
      </c>
      <c r="P52" s="11">
        <f>'Occ T2'!H23</f>
        <v>-5.803079048146742E-2</v>
      </c>
      <c r="Q52" s="11">
        <f>'Occ T2'!J23</f>
        <v>8.8362286921012778</v>
      </c>
    </row>
    <row r="53" spans="15:17" x14ac:dyDescent="0.2">
      <c r="O53" s="10" t="str">
        <f>name!D20</f>
        <v>54 Textiles, printing and other skilled trades</v>
      </c>
      <c r="P53" s="11">
        <f>'Occ T2'!H24</f>
        <v>1.4316396028725542</v>
      </c>
      <c r="Q53" s="11">
        <f>'Occ T2'!J24</f>
        <v>8.7048961992744118</v>
      </c>
    </row>
    <row r="54" spans="15:17" x14ac:dyDescent="0.2">
      <c r="O54" s="10" t="str">
        <f>name!D21</f>
        <v>61 Caring personal service occupations</v>
      </c>
      <c r="P54" s="11">
        <f>'Occ T2'!H25</f>
        <v>8.8879965741717015</v>
      </c>
      <c r="Q54" s="11">
        <f>'Occ T2'!J25</f>
        <v>43.290935573514027</v>
      </c>
    </row>
    <row r="55" spans="15:17" x14ac:dyDescent="0.2">
      <c r="O55" s="10" t="str">
        <f>name!D22</f>
        <v>62 Leisure, travel and related personal service occupations</v>
      </c>
      <c r="P55" s="11">
        <f>'Occ T2'!H26</f>
        <v>0.87512701134369664</v>
      </c>
      <c r="Q55" s="11">
        <f>'Occ T2'!J26</f>
        <v>11.762308244467869</v>
      </c>
    </row>
    <row r="56" spans="15:17" x14ac:dyDescent="0.2">
      <c r="O56" s="10" t="str">
        <f>name!D23</f>
        <v>63 Community and civil enforcement occupations</v>
      </c>
      <c r="P56" s="11">
        <f>'Occ T2'!H27</f>
        <v>-0.14039095626722109</v>
      </c>
      <c r="Q56" s="11">
        <f>'Occ T2'!J27</f>
        <v>0.24042579589143387</v>
      </c>
    </row>
    <row r="57" spans="15:17" x14ac:dyDescent="0.2">
      <c r="O57" s="10" t="str">
        <f>name!D24</f>
        <v>71 Sales occupations</v>
      </c>
      <c r="P57" s="11">
        <f>'Occ T2'!H28</f>
        <v>-5.9460878605762204</v>
      </c>
      <c r="Q57" s="11">
        <f>'Occ T2'!J28</f>
        <v>15.273124507210991</v>
      </c>
    </row>
    <row r="58" spans="15:17" x14ac:dyDescent="0.2">
      <c r="O58" s="10" t="str">
        <f>name!D25</f>
        <v>72 Customer service occupations</v>
      </c>
      <c r="P58" s="11">
        <f>'Occ T2'!H29</f>
        <v>6.107468159163119</v>
      </c>
      <c r="Q58" s="11">
        <f>'Occ T2'!J29</f>
        <v>14.270732407659608</v>
      </c>
    </row>
    <row r="59" spans="15:17" x14ac:dyDescent="0.2">
      <c r="O59" s="10" t="str">
        <f>name!D26</f>
        <v>81 Process, plant and machine operatives</v>
      </c>
      <c r="P59" s="11">
        <f>'Occ T2'!H30</f>
        <v>2.4791295201005248</v>
      </c>
      <c r="Q59" s="11">
        <f>'Occ T2'!J30</f>
        <v>7.4915687659144972</v>
      </c>
    </row>
    <row r="60" spans="15:17" x14ac:dyDescent="0.2">
      <c r="O60" s="10" t="str">
        <f>name!D27</f>
        <v>82 Transport and mobile machine drivers and operatives</v>
      </c>
      <c r="P60" s="11">
        <f>'Occ T2'!H31</f>
        <v>1.9262795724012349</v>
      </c>
      <c r="Q60" s="11">
        <f>'Occ T2'!J31</f>
        <v>14.704599675454419</v>
      </c>
    </row>
    <row r="61" spans="15:17" x14ac:dyDescent="0.2">
      <c r="O61" s="10" t="str">
        <f>name!D28</f>
        <v>91 Elementary trades and related occupations</v>
      </c>
      <c r="P61" s="11">
        <f>'Occ T2'!H32</f>
        <v>-1.6583349706813442</v>
      </c>
      <c r="Q61" s="11">
        <f>'Occ T2'!J32</f>
        <v>1.0732764465025273</v>
      </c>
    </row>
    <row r="62" spans="15:17" x14ac:dyDescent="0.2">
      <c r="O62" s="10" t="str">
        <f>name!D29</f>
        <v>92 Elementary administration and service occupations</v>
      </c>
      <c r="P62" s="11">
        <f>'Occ T2'!H33</f>
        <v>0.29219916948788693</v>
      </c>
      <c r="Q62" s="11">
        <f>'Occ T2'!J33</f>
        <v>37.922138340757229</v>
      </c>
    </row>
    <row r="63" spans="15:17" x14ac:dyDescent="0.2">
      <c r="O63" s="10"/>
      <c r="P63" s="11"/>
      <c r="Q63" s="11"/>
    </row>
    <row r="64" spans="15:17" x14ac:dyDescent="0.2">
      <c r="O64" s="10" t="str">
        <f>name!D3</f>
        <v>All occupations</v>
      </c>
      <c r="P64" s="11">
        <f>'Occ T2'!H35</f>
        <v>60.838000000000079</v>
      </c>
      <c r="Q64" s="11">
        <f>'Occ T2'!J35</f>
        <v>490.74381892185983</v>
      </c>
    </row>
    <row r="65" spans="15:15" x14ac:dyDescent="0.2">
      <c r="O65" s="10" t="str">
        <f>name!D31</f>
        <v xml:space="preserve"> </v>
      </c>
    </row>
  </sheetData>
  <phoneticPr fontId="4" type="noConversion"/>
  <pageMargins left="0.75" right="0.75" top="1" bottom="1" header="0.5" footer="0.5"/>
  <pageSetup paperSize="9" scale="80" orientation="landscape" r:id="rId1"/>
  <headerFooter alignWithMargins="0"/>
  <rowBreaks count="1" manualBreakCount="1">
    <brk id="33" max="13" man="1"/>
  </rowBreaks>
  <colBreaks count="1" manualBreakCount="1">
    <brk id="14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25"/>
  <dimension ref="A1:AN101"/>
  <sheetViews>
    <sheetView showGridLines="0" zoomScale="85" zoomScaleNormal="85" workbookViewId="0"/>
  </sheetViews>
  <sheetFormatPr defaultColWidth="9.140625" defaultRowHeight="12.75" x14ac:dyDescent="0.2"/>
  <cols>
    <col min="1" max="1" width="37.5703125" style="13" customWidth="1"/>
    <col min="2" max="40" width="7.7109375" style="13" customWidth="1"/>
    <col min="41" max="16384" width="9.140625" style="13"/>
  </cols>
  <sheetData>
    <row r="1" spans="1:40" ht="15.75" x14ac:dyDescent="0.25">
      <c r="A1" s="19" t="str">
        <f>CONCATENATE("Basic Table 1  Employment by Industry Sector, Occupation Group and Qualification, ",B$5,"-",D$5,", ",Info!B5)</f>
        <v>Basic Table 1  Employment by Industry Sector, Occupation Group and Qualification, 2020-2035, Enterprise M3</v>
      </c>
    </row>
    <row r="2" spans="1:40" ht="12.75" customHeight="1" x14ac:dyDescent="0.2">
      <c r="A2" s="182" t="s">
        <v>525</v>
      </c>
    </row>
    <row r="3" spans="1:40" ht="12.75" customHeight="1" x14ac:dyDescent="0.25">
      <c r="A3" s="19"/>
      <c r="AN3" s="38" t="s">
        <v>36</v>
      </c>
    </row>
    <row r="4" spans="1:40" ht="24.75" customHeight="1" x14ac:dyDescent="0.2">
      <c r="A4" s="78"/>
      <c r="B4" s="382" t="str">
        <f>name!F3</f>
        <v>All qualifications</v>
      </c>
      <c r="C4" s="382"/>
      <c r="D4" s="382"/>
      <c r="E4" s="78"/>
      <c r="F4" s="383" t="str">
        <f>name!F4</f>
        <v>RQF8 Doctorate</v>
      </c>
      <c r="G4" s="383"/>
      <c r="H4" s="383"/>
      <c r="I4" s="78"/>
      <c r="J4" s="383" t="str">
        <f>name!F5</f>
        <v>RQF7 Other higher degree</v>
      </c>
      <c r="K4" s="383"/>
      <c r="L4" s="383"/>
      <c r="M4" s="78"/>
      <c r="N4" s="383" t="str">
        <f>name!F6</f>
        <v>RQF6 First degree</v>
      </c>
      <c r="O4" s="383"/>
      <c r="P4" s="383"/>
      <c r="Q4" s="78"/>
      <c r="R4" s="383" t="str">
        <f>name!F7</f>
        <v>RQF5 Foundation degree;Nursing;Teaching</v>
      </c>
      <c r="S4" s="383"/>
      <c r="T4" s="383"/>
      <c r="U4" s="78"/>
      <c r="V4" s="383" t="str">
        <f>name!F8</f>
        <v>RQF4 HE below degree level</v>
      </c>
      <c r="W4" s="383"/>
      <c r="X4" s="383"/>
      <c r="Y4" s="78"/>
      <c r="Z4" s="383" t="str">
        <f>name!F9</f>
        <v>RQF3 A level &amp; equivalent</v>
      </c>
      <c r="AA4" s="383"/>
      <c r="AB4" s="383"/>
      <c r="AC4" s="78"/>
      <c r="AD4" s="383" t="str">
        <f>name!F10</f>
        <v>RQF2 GCSE(A-C) &amp; equivalent</v>
      </c>
      <c r="AE4" s="383"/>
      <c r="AF4" s="383"/>
      <c r="AG4" s="78"/>
      <c r="AH4" s="383" t="str">
        <f>name!F11</f>
        <v>RQF1 GCSE(below grade C) &amp; equivalent</v>
      </c>
      <c r="AI4" s="383"/>
      <c r="AJ4" s="383"/>
      <c r="AK4" s="78"/>
      <c r="AL4" s="383" t="str">
        <f>name!F12</f>
        <v>No Qualification</v>
      </c>
      <c r="AM4" s="383"/>
      <c r="AN4" s="383"/>
    </row>
    <row r="5" spans="1:40" x14ac:dyDescent="0.2">
      <c r="A5" s="39"/>
      <c r="B5" s="42">
        <v>2020</v>
      </c>
      <c r="C5" s="42">
        <v>2025</v>
      </c>
      <c r="D5" s="42">
        <v>2035</v>
      </c>
      <c r="E5" s="39"/>
      <c r="F5" s="35">
        <f>B5</f>
        <v>2020</v>
      </c>
      <c r="G5" s="35">
        <f>C5</f>
        <v>2025</v>
      </c>
      <c r="H5" s="35">
        <f>D5</f>
        <v>2035</v>
      </c>
      <c r="I5" s="39"/>
      <c r="J5" s="35">
        <f>B5</f>
        <v>2020</v>
      </c>
      <c r="K5" s="35">
        <f>C5</f>
        <v>2025</v>
      </c>
      <c r="L5" s="35">
        <f>D5</f>
        <v>2035</v>
      </c>
      <c r="M5" s="39"/>
      <c r="N5" s="35">
        <f>B5</f>
        <v>2020</v>
      </c>
      <c r="O5" s="35">
        <f>C5</f>
        <v>2025</v>
      </c>
      <c r="P5" s="35">
        <f>D5</f>
        <v>2035</v>
      </c>
      <c r="Q5" s="39"/>
      <c r="R5" s="35">
        <f>F5</f>
        <v>2020</v>
      </c>
      <c r="S5" s="35">
        <f>G5</f>
        <v>2025</v>
      </c>
      <c r="T5" s="35">
        <f>H5</f>
        <v>2035</v>
      </c>
      <c r="U5" s="39"/>
      <c r="V5" s="35">
        <f>J5</f>
        <v>2020</v>
      </c>
      <c r="W5" s="35">
        <f>K5</f>
        <v>2025</v>
      </c>
      <c r="X5" s="35">
        <f>L5</f>
        <v>2035</v>
      </c>
      <c r="Y5" s="39"/>
      <c r="Z5" s="35">
        <f>N5</f>
        <v>2020</v>
      </c>
      <c r="AA5" s="35">
        <f>O5</f>
        <v>2025</v>
      </c>
      <c r="AB5" s="35">
        <f>P5</f>
        <v>2035</v>
      </c>
      <c r="AC5" s="39"/>
      <c r="AD5" s="35">
        <f>R5</f>
        <v>2020</v>
      </c>
      <c r="AE5" s="35">
        <f>S5</f>
        <v>2025</v>
      </c>
      <c r="AF5" s="35">
        <f>T5</f>
        <v>2035</v>
      </c>
      <c r="AG5" s="39"/>
      <c r="AH5" s="35">
        <f>V5</f>
        <v>2020</v>
      </c>
      <c r="AI5" s="35">
        <f>W5</f>
        <v>2025</v>
      </c>
      <c r="AJ5" s="35">
        <f>X5</f>
        <v>2035</v>
      </c>
      <c r="AK5" s="39"/>
      <c r="AL5" s="35">
        <f>Z5</f>
        <v>2020</v>
      </c>
      <c r="AM5" s="35">
        <f>AA5</f>
        <v>2025</v>
      </c>
      <c r="AN5" s="35">
        <f>AB5</f>
        <v>2035</v>
      </c>
    </row>
    <row r="7" spans="1:40" x14ac:dyDescent="0.2">
      <c r="A7" s="1" t="str">
        <f>name!C3</f>
        <v>All industries</v>
      </c>
      <c r="E7" s="77"/>
      <c r="F7" s="77"/>
      <c r="G7" s="77"/>
      <c r="H7" s="77"/>
      <c r="I7" s="77"/>
      <c r="J7" s="77"/>
      <c r="K7" s="77"/>
      <c r="L7" s="77"/>
      <c r="M7" s="77"/>
      <c r="N7" s="77"/>
      <c r="O7" s="77"/>
      <c r="P7" s="77"/>
      <c r="R7" s="77"/>
      <c r="S7" s="77"/>
      <c r="T7" s="77"/>
      <c r="V7" s="77"/>
      <c r="W7" s="77"/>
      <c r="X7" s="77"/>
      <c r="Z7" s="77"/>
      <c r="AA7" s="77"/>
      <c r="AB7" s="77"/>
      <c r="AD7" s="77"/>
      <c r="AE7" s="77"/>
      <c r="AF7" s="77"/>
      <c r="AH7" s="77"/>
      <c r="AI7" s="77"/>
      <c r="AJ7" s="77"/>
      <c r="AL7" s="77"/>
      <c r="AM7" s="77"/>
      <c r="AN7" s="77"/>
    </row>
    <row r="8" spans="1:40" x14ac:dyDescent="0.2">
      <c r="A8" s="13" t="str">
        <f>name!E3</f>
        <v>All occupations</v>
      </c>
      <c r="B8" s="305">
        <f>SUM(B9:B17)</f>
        <v>864.63999999999987</v>
      </c>
      <c r="C8" s="305">
        <f>SUM(C9:C17)</f>
        <v>889.98</v>
      </c>
      <c r="D8" s="305">
        <f>SUM(D9:D17)</f>
        <v>925.47800000000029</v>
      </c>
      <c r="E8" s="304"/>
      <c r="F8" s="305">
        <f>SUM(F9:F17)</f>
        <v>15.530347057630049</v>
      </c>
      <c r="G8" s="305">
        <f>SUM(G9:G17)</f>
        <v>17.917250790315183</v>
      </c>
      <c r="H8" s="305">
        <f>SUM(H9:H17)</f>
        <v>22.716025092912162</v>
      </c>
      <c r="I8" s="304"/>
      <c r="J8" s="305">
        <f>SUM(J9:J17)</f>
        <v>112.22082333054645</v>
      </c>
      <c r="K8" s="305">
        <f>SUM(K9:K17)</f>
        <v>130.30734335170925</v>
      </c>
      <c r="L8" s="305">
        <f>SUM(L9:L17)</f>
        <v>166.10036253535048</v>
      </c>
      <c r="M8" s="304"/>
      <c r="N8" s="305">
        <f>SUM(N9:N17)</f>
        <v>197.82415999570526</v>
      </c>
      <c r="O8" s="305">
        <f>SUM(O9:O17)</f>
        <v>211.92887378761645</v>
      </c>
      <c r="P8" s="305">
        <f>SUM(P9:P17)</f>
        <v>242.62905477633524</v>
      </c>
      <c r="Q8" s="306"/>
      <c r="R8" s="305">
        <f>SUM(R9:R17)</f>
        <v>51.553613281971266</v>
      </c>
      <c r="S8" s="305">
        <f>SUM(S9:S17)</f>
        <v>52.067001713959797</v>
      </c>
      <c r="T8" s="305">
        <f>SUM(T9:T17)</f>
        <v>58.279686791366608</v>
      </c>
      <c r="U8" s="306"/>
      <c r="V8" s="305">
        <f>SUM(V9:V17)</f>
        <v>54.070509554076025</v>
      </c>
      <c r="W8" s="305">
        <f>SUM(W9:W17)</f>
        <v>55.774144986221465</v>
      </c>
      <c r="X8" s="305">
        <f>SUM(X9:X17)</f>
        <v>63.4574272214318</v>
      </c>
      <c r="Y8" s="306"/>
      <c r="Z8" s="305">
        <f>SUM(Z9:Z17)</f>
        <v>170.35023663430428</v>
      </c>
      <c r="AA8" s="305">
        <f>SUM(AA9:AA17)</f>
        <v>167.23951651317242</v>
      </c>
      <c r="AB8" s="305">
        <f>SUM(AB9:AB17)</f>
        <v>167.11628118452984</v>
      </c>
      <c r="AC8" s="306"/>
      <c r="AD8" s="305">
        <f>SUM(AD9:AD17)</f>
        <v>146.68547364301185</v>
      </c>
      <c r="AE8" s="305">
        <f>SUM(AE9:AE17)</f>
        <v>143.71955274225499</v>
      </c>
      <c r="AF8" s="305">
        <f>SUM(AF9:AF17)</f>
        <v>121.8461246343235</v>
      </c>
      <c r="AG8" s="306"/>
      <c r="AH8" s="305">
        <f>SUM(AH9:AH17)</f>
        <v>88.410769366758046</v>
      </c>
      <c r="AI8" s="305">
        <f>SUM(AI9:AI17)</f>
        <v>83.882776012302756</v>
      </c>
      <c r="AJ8" s="305">
        <f>SUM(AJ9:AJ17)</f>
        <v>56.934334716619354</v>
      </c>
      <c r="AK8" s="306"/>
      <c r="AL8" s="305">
        <f>SUM(AL9:AL17)</f>
        <v>27.994067135996513</v>
      </c>
      <c r="AM8" s="305">
        <f>SUM(AM9:AM17)</f>
        <v>27.143540102447734</v>
      </c>
      <c r="AN8" s="305">
        <f>SUM(AN9:AN17)</f>
        <v>26.398703047131281</v>
      </c>
    </row>
    <row r="9" spans="1:40" x14ac:dyDescent="0.2">
      <c r="A9" s="13" t="str">
        <f>name!E4</f>
        <v>Managers, directors and senior officials</v>
      </c>
      <c r="B9" s="304">
        <f>SUM(B21,B33,B51,B63,B75,B93)</f>
        <v>109.92994578235206</v>
      </c>
      <c r="C9" s="304">
        <f t="shared" ref="B9:D17" si="0">SUM(C21,C33,C51,C63,C75,C93)</f>
        <v>113.69235283021665</v>
      </c>
      <c r="D9" s="304">
        <f t="shared" si="0"/>
        <v>126.94944921209112</v>
      </c>
      <c r="E9" s="304"/>
      <c r="F9" s="304">
        <f t="shared" ref="F9:H17" si="1">SUM(F21,F33,F51,F63,F75,F93)</f>
        <v>1.8689264088220601</v>
      </c>
      <c r="G9" s="304">
        <f t="shared" si="1"/>
        <v>2.1339343221141016</v>
      </c>
      <c r="H9" s="304">
        <f t="shared" si="1"/>
        <v>2.8530535790749654</v>
      </c>
      <c r="I9" s="304"/>
      <c r="J9" s="304">
        <f t="shared" ref="J9:L17" si="2">SUM(J21,J33,J51,J63,J75,J93)</f>
        <v>15.315355012039959</v>
      </c>
      <c r="K9" s="304">
        <f t="shared" si="2"/>
        <v>17.352597109404783</v>
      </c>
      <c r="L9" s="304">
        <f t="shared" si="2"/>
        <v>23.202871624195939</v>
      </c>
      <c r="M9" s="304"/>
      <c r="N9" s="304">
        <f t="shared" ref="N9:P17" si="3">SUM(N21,N33,N51,N63,N75,N93)</f>
        <v>31.340110900670837</v>
      </c>
      <c r="O9" s="304">
        <f t="shared" si="3"/>
        <v>32.753632381020026</v>
      </c>
      <c r="P9" s="304">
        <f t="shared" si="3"/>
        <v>38.535081533342264</v>
      </c>
      <c r="Q9" s="306"/>
      <c r="R9" s="304">
        <f t="shared" ref="R9:T9" si="4">SUM(R21,R33,R51,R63,R75,R93)</f>
        <v>6.845970289355888</v>
      </c>
      <c r="S9" s="304">
        <f t="shared" si="4"/>
        <v>7.046716469339402</v>
      </c>
      <c r="T9" s="304">
        <f t="shared" si="4"/>
        <v>8.2142872759098342</v>
      </c>
      <c r="U9" s="306"/>
      <c r="V9" s="304">
        <f t="shared" ref="V9:X9" si="5">SUM(V21,V33,V51,V63,V75,V93)</f>
        <v>9.1598297451457515</v>
      </c>
      <c r="W9" s="304">
        <f t="shared" si="5"/>
        <v>9.1898842131096519</v>
      </c>
      <c r="X9" s="304">
        <f t="shared" si="5"/>
        <v>10.514361788184484</v>
      </c>
      <c r="Y9" s="306"/>
      <c r="Z9" s="304">
        <f t="shared" ref="Z9:AB9" si="6">SUM(Z21,Z33,Z51,Z63,Z75,Z93)</f>
        <v>19.04430213125794</v>
      </c>
      <c r="AA9" s="304">
        <f t="shared" si="6"/>
        <v>18.009018416857536</v>
      </c>
      <c r="AB9" s="304">
        <f t="shared" si="6"/>
        <v>19.230372962586795</v>
      </c>
      <c r="AC9" s="306"/>
      <c r="AD9" s="304">
        <f>SUM(AD21,AD33,AD51,AD63,AD75,AD93)</f>
        <v>15.209684564681945</v>
      </c>
      <c r="AE9" s="304">
        <f t="shared" ref="AE9:AF9" si="7">SUM(AE21,AE33,AE51,AE63,AE75,AE93)</f>
        <v>15.27185861601528</v>
      </c>
      <c r="AF9" s="304">
        <f t="shared" si="7"/>
        <v>13.781421626003146</v>
      </c>
      <c r="AG9" s="306"/>
      <c r="AH9" s="304">
        <f t="shared" ref="AH9:AJ9" si="8">SUM(AH21,AH33,AH51,AH63,AH75,AH93)</f>
        <v>9.1713316997052665</v>
      </c>
      <c r="AI9" s="304">
        <f t="shared" si="8"/>
        <v>9.5007770174973896</v>
      </c>
      <c r="AJ9" s="304">
        <f t="shared" si="8"/>
        <v>7.4462199258655835</v>
      </c>
      <c r="AK9" s="306"/>
      <c r="AL9" s="304">
        <f t="shared" ref="AL9:AN9" si="9">SUM(AL21,AL33,AL51,AL63,AL75,AL93)</f>
        <v>1.9744350306724108</v>
      </c>
      <c r="AM9" s="304">
        <f t="shared" si="9"/>
        <v>2.4339342848584833</v>
      </c>
      <c r="AN9" s="304">
        <f t="shared" si="9"/>
        <v>3.1717788969281138</v>
      </c>
    </row>
    <row r="10" spans="1:40" x14ac:dyDescent="0.2">
      <c r="A10" s="13" t="str">
        <f>name!E5</f>
        <v>Professional occupations</v>
      </c>
      <c r="B10" s="304">
        <f t="shared" si="0"/>
        <v>210.18095966500385</v>
      </c>
      <c r="C10" s="304">
        <f t="shared" si="0"/>
        <v>225.95995697383097</v>
      </c>
      <c r="D10" s="304">
        <f t="shared" si="0"/>
        <v>246.52999555946514</v>
      </c>
      <c r="E10" s="304"/>
      <c r="F10" s="304">
        <f t="shared" si="1"/>
        <v>10.663589013768789</v>
      </c>
      <c r="G10" s="304">
        <f t="shared" si="1"/>
        <v>12.300198502801338</v>
      </c>
      <c r="H10" s="304">
        <f t="shared" si="1"/>
        <v>15.127675988195882</v>
      </c>
      <c r="I10" s="304"/>
      <c r="J10" s="304">
        <f t="shared" si="2"/>
        <v>60.101302466543089</v>
      </c>
      <c r="K10" s="304">
        <f t="shared" si="2"/>
        <v>69.872488835183987</v>
      </c>
      <c r="L10" s="304">
        <f t="shared" si="2"/>
        <v>86.027063260237782</v>
      </c>
      <c r="M10" s="304"/>
      <c r="N10" s="304">
        <f t="shared" si="3"/>
        <v>73.854959198384563</v>
      </c>
      <c r="O10" s="304">
        <f t="shared" si="3"/>
        <v>77.93536555061722</v>
      </c>
      <c r="P10" s="304">
        <f t="shared" si="3"/>
        <v>81.892327076348792</v>
      </c>
      <c r="Q10" s="306"/>
      <c r="R10" s="304">
        <f t="shared" ref="R10:T10" si="10">SUM(R22,R34,R52,R64,R76,R94)</f>
        <v>9.9555688159689595</v>
      </c>
      <c r="S10" s="304">
        <f t="shared" si="10"/>
        <v>8.3421004826235556</v>
      </c>
      <c r="T10" s="304">
        <f t="shared" si="10"/>
        <v>7.4925605792984609</v>
      </c>
      <c r="U10" s="306"/>
      <c r="V10" s="304">
        <f t="shared" ref="V10:X10" si="11">SUM(V22,V34,V52,V64,V76,V94)</f>
        <v>11.255991987489724</v>
      </c>
      <c r="W10" s="304">
        <f t="shared" si="11"/>
        <v>11.334551012392264</v>
      </c>
      <c r="X10" s="304">
        <f t="shared" si="11"/>
        <v>11.916730940807007</v>
      </c>
      <c r="Y10" s="306"/>
      <c r="Z10" s="304">
        <f t="shared" ref="Z10:AB10" si="12">SUM(Z22,Z34,Z52,Z64,Z76,Z94)</f>
        <v>20.499911780531477</v>
      </c>
      <c r="AA10" s="304">
        <f t="shared" si="12"/>
        <v>20.603670678173799</v>
      </c>
      <c r="AB10" s="304">
        <f t="shared" si="12"/>
        <v>21.482671518618574</v>
      </c>
      <c r="AC10" s="306"/>
      <c r="AD10" s="304">
        <f t="shared" ref="AD10:AF10" si="13">SUM(AD22,AD34,AD52,AD64,AD76,AD94)</f>
        <v>13.846705982737221</v>
      </c>
      <c r="AE10" s="304">
        <f t="shared" si="13"/>
        <v>14.016326826269152</v>
      </c>
      <c r="AF10" s="304">
        <f t="shared" si="13"/>
        <v>12.126563776324183</v>
      </c>
      <c r="AG10" s="306"/>
      <c r="AH10" s="304">
        <f t="shared" ref="AH10:AJ10" si="14">SUM(AH22,AH34,AH52,AH64,AH76,AH94)</f>
        <v>8.1907589335566016</v>
      </c>
      <c r="AI10" s="304">
        <f t="shared" si="14"/>
        <v>8.862292451880851</v>
      </c>
      <c r="AJ10" s="304">
        <f t="shared" si="14"/>
        <v>6.2710476434431257</v>
      </c>
      <c r="AK10" s="306"/>
      <c r="AL10" s="304">
        <f t="shared" ref="AL10:AN10" si="15">SUM(AL22,AL34,AL52,AL64,AL76,AL94)</f>
        <v>1.8121714860234364</v>
      </c>
      <c r="AM10" s="304">
        <f t="shared" si="15"/>
        <v>2.6929626338888051</v>
      </c>
      <c r="AN10" s="304">
        <f t="shared" si="15"/>
        <v>4.1933547761913426</v>
      </c>
    </row>
    <row r="11" spans="1:40" x14ac:dyDescent="0.2">
      <c r="A11" s="13" t="str">
        <f>name!E6</f>
        <v>Associate professional occupations</v>
      </c>
      <c r="B11" s="304">
        <f>SUM(B23,B35,B53,B65,B77,B95)</f>
        <v>124.08566971596375</v>
      </c>
      <c r="C11" s="304">
        <f t="shared" si="0"/>
        <v>122.27240002075096</v>
      </c>
      <c r="D11" s="304">
        <f>SUM(D23,D35,D53,D65,D77,D95)</f>
        <v>130.52666710307909</v>
      </c>
      <c r="E11" s="304"/>
      <c r="F11" s="304">
        <f t="shared" si="1"/>
        <v>1.8361776151313405</v>
      </c>
      <c r="G11" s="304">
        <f t="shared" si="1"/>
        <v>2.0581123103882408</v>
      </c>
      <c r="H11" s="304">
        <f t="shared" si="1"/>
        <v>2.7603774621413937</v>
      </c>
      <c r="I11" s="304"/>
      <c r="J11" s="304">
        <f t="shared" si="2"/>
        <v>18.852221968782317</v>
      </c>
      <c r="K11" s="304">
        <f t="shared" si="2"/>
        <v>20.75545165875015</v>
      </c>
      <c r="L11" s="304">
        <f t="shared" si="2"/>
        <v>26.464556505319301</v>
      </c>
      <c r="M11" s="304"/>
      <c r="N11" s="304">
        <f t="shared" si="3"/>
        <v>38.603650086549571</v>
      </c>
      <c r="O11" s="304">
        <f t="shared" si="3"/>
        <v>39.271015809077738</v>
      </c>
      <c r="P11" s="304">
        <f t="shared" si="3"/>
        <v>44.082479000274446</v>
      </c>
      <c r="Q11" s="306"/>
      <c r="R11" s="304">
        <f t="shared" ref="R11:T11" si="16">SUM(R23,R35,R53,R65,R77,R95)</f>
        <v>9.3358695078258673</v>
      </c>
      <c r="S11" s="304">
        <f t="shared" si="16"/>
        <v>8.7887043305960191</v>
      </c>
      <c r="T11" s="304">
        <f t="shared" si="16"/>
        <v>9.440273889081352</v>
      </c>
      <c r="U11" s="306"/>
      <c r="V11" s="304">
        <f t="shared" ref="V11:X11" si="17">SUM(V23,V35,V53,V65,V77,V95)</f>
        <v>8.6276480420946378</v>
      </c>
      <c r="W11" s="304">
        <f t="shared" si="17"/>
        <v>8.0761814893875794</v>
      </c>
      <c r="X11" s="304">
        <f t="shared" si="17"/>
        <v>8.5558332602994813</v>
      </c>
      <c r="Y11" s="306"/>
      <c r="Z11" s="304">
        <f t="shared" ref="Z11:AB11" si="18">SUM(Z23,Z35,Z53,Z65,Z77,Z95)</f>
        <v>21.06416907637054</v>
      </c>
      <c r="AA11" s="304">
        <f t="shared" si="18"/>
        <v>19.115828886664406</v>
      </c>
      <c r="AB11" s="304">
        <f t="shared" si="18"/>
        <v>18.790788243359952</v>
      </c>
      <c r="AC11" s="306"/>
      <c r="AD11" s="304">
        <f t="shared" ref="AD11:AF11" si="19">SUM(AD23,AD35,AD53,AD65,AD77,AD95)</f>
        <v>15.200319624416407</v>
      </c>
      <c r="AE11" s="304">
        <f t="shared" si="19"/>
        <v>14.002147850273989</v>
      </c>
      <c r="AF11" s="304">
        <f t="shared" si="19"/>
        <v>11.585524496181005</v>
      </c>
      <c r="AG11" s="306"/>
      <c r="AH11" s="304">
        <f t="shared" ref="AH11:AJ11" si="20">SUM(AH23,AH35,AH53,AH65,AH77,AH95)</f>
        <v>8.6141759313642048</v>
      </c>
      <c r="AI11" s="304">
        <f t="shared" si="20"/>
        <v>7.9395753456489064</v>
      </c>
      <c r="AJ11" s="304">
        <f t="shared" si="20"/>
        <v>5.4549060425236604</v>
      </c>
      <c r="AK11" s="306"/>
      <c r="AL11" s="304">
        <f t="shared" ref="AL11:AN11" si="21">SUM(AL23,AL35,AL53,AL65,AL77,AL95)</f>
        <v>1.9514378634288718</v>
      </c>
      <c r="AM11" s="304">
        <f t="shared" si="21"/>
        <v>2.2653823399639235</v>
      </c>
      <c r="AN11" s="304">
        <f t="shared" si="21"/>
        <v>3.391928203898503</v>
      </c>
    </row>
    <row r="12" spans="1:40" x14ac:dyDescent="0.2">
      <c r="A12" s="13" t="str">
        <f>name!E7</f>
        <v>Administrative and secretarial occupations</v>
      </c>
      <c r="B12" s="304">
        <f t="shared" si="0"/>
        <v>88.3793300225161</v>
      </c>
      <c r="C12" s="304">
        <f t="shared" si="0"/>
        <v>82.318317359101613</v>
      </c>
      <c r="D12" s="304">
        <f t="shared" si="0"/>
        <v>73.324556568201288</v>
      </c>
      <c r="E12" s="304"/>
      <c r="F12" s="304">
        <f t="shared" si="1"/>
        <v>0.53451024462257402</v>
      </c>
      <c r="G12" s="304">
        <f t="shared" si="1"/>
        <v>0.63228829036567868</v>
      </c>
      <c r="H12" s="304">
        <f t="shared" si="1"/>
        <v>0.90486726267231021</v>
      </c>
      <c r="I12" s="304"/>
      <c r="J12" s="304">
        <f t="shared" si="2"/>
        <v>6.3416215449563529</v>
      </c>
      <c r="K12" s="304">
        <f t="shared" si="2"/>
        <v>7.4897132258515926</v>
      </c>
      <c r="L12" s="304">
        <f t="shared" si="2"/>
        <v>9.5923319389501529</v>
      </c>
      <c r="M12" s="304"/>
      <c r="N12" s="304">
        <f t="shared" si="3"/>
        <v>18.203319604353794</v>
      </c>
      <c r="O12" s="304">
        <f t="shared" si="3"/>
        <v>19.872612229798726</v>
      </c>
      <c r="P12" s="304">
        <f t="shared" si="3"/>
        <v>24.406017894669375</v>
      </c>
      <c r="Q12" s="306"/>
      <c r="R12" s="304">
        <f t="shared" ref="R12:T12" si="22">SUM(R24,R36,R54,R66,R78,R96)</f>
        <v>7.2622637325560815</v>
      </c>
      <c r="S12" s="304">
        <f t="shared" si="22"/>
        <v>7.8087488880277096</v>
      </c>
      <c r="T12" s="304">
        <f t="shared" si="22"/>
        <v>8.9581645072971021</v>
      </c>
      <c r="U12" s="306"/>
      <c r="V12" s="304">
        <f t="shared" ref="V12:X12" si="23">SUM(V24,V36,V54,V66,V78,V96)</f>
        <v>6.4523627705494508</v>
      </c>
      <c r="W12" s="304">
        <f t="shared" si="23"/>
        <v>6.5964739568507795</v>
      </c>
      <c r="X12" s="304">
        <f t="shared" si="23"/>
        <v>7.3406392724687661</v>
      </c>
      <c r="Y12" s="306"/>
      <c r="Z12" s="304">
        <f t="shared" ref="Z12:AA12" si="24">SUM(Z24,Z36,Z54,Z66,Z78,Z96)</f>
        <v>18.399101406452552</v>
      </c>
      <c r="AA12" s="304">
        <f t="shared" si="24"/>
        <v>16.224379832210694</v>
      </c>
      <c r="AB12" s="304">
        <f>SUM(AB24,AB36,AB54,AB66,AB78,AB96)</f>
        <v>10.177499885507402</v>
      </c>
      <c r="AC12" s="306"/>
      <c r="AD12" s="304">
        <f t="shared" ref="AD12:AE12" si="25">SUM(AD24,AD36,AD54,AD66,AD78,AD96)</f>
        <v>18.505769856793961</v>
      </c>
      <c r="AE12" s="304">
        <f t="shared" si="25"/>
        <v>15.333525789779697</v>
      </c>
      <c r="AF12" s="304">
        <f>SUM(AF24,AF36,AF54,AF66,AF78,AF96)</f>
        <v>8.5319789991511534</v>
      </c>
      <c r="AG12" s="306"/>
      <c r="AH12" s="304">
        <f t="shared" ref="AH12:AI12" si="26">SUM(AH24,AH36,AH54,AH66,AH78,AH96)</f>
        <v>10.227042194661028</v>
      </c>
      <c r="AI12" s="304">
        <f t="shared" si="26"/>
        <v>6.3750436581605401</v>
      </c>
      <c r="AJ12" s="304">
        <f>SUM(AJ24,AJ36,AJ54,AJ66,AJ78,AJ96)</f>
        <v>1.8007880287277409</v>
      </c>
      <c r="AK12" s="306"/>
      <c r="AL12" s="304">
        <f t="shared" ref="AL12:AM12" si="27">SUM(AL24,AL36,AL54,AL66,AL78,AL96)</f>
        <v>2.4533386675703008</v>
      </c>
      <c r="AM12" s="304">
        <f t="shared" si="27"/>
        <v>1.9855314880561896</v>
      </c>
      <c r="AN12" s="304">
        <f>SUM(AN24,AN36,AN54,AN66,AN78,AN96)</f>
        <v>1.6122687787572825</v>
      </c>
    </row>
    <row r="13" spans="1:40" x14ac:dyDescent="0.2">
      <c r="A13" s="13" t="str">
        <f>name!E8</f>
        <v>Skilled trades occupations</v>
      </c>
      <c r="B13" s="304">
        <f t="shared" si="0"/>
        <v>68.523564362064874</v>
      </c>
      <c r="C13" s="304">
        <f t="shared" si="0"/>
        <v>71.906951053582048</v>
      </c>
      <c r="D13" s="304">
        <f t="shared" si="0"/>
        <v>71.783414885921033</v>
      </c>
      <c r="E13" s="304"/>
      <c r="F13" s="304">
        <f t="shared" si="1"/>
        <v>0.13881337773602903</v>
      </c>
      <c r="G13" s="304">
        <f t="shared" si="1"/>
        <v>0.17158468273835148</v>
      </c>
      <c r="H13" s="304">
        <f t="shared" si="1"/>
        <v>0.22748375813332855</v>
      </c>
      <c r="I13" s="304"/>
      <c r="J13" s="304">
        <f t="shared" si="2"/>
        <v>1.8214579393086219</v>
      </c>
      <c r="K13" s="304">
        <f t="shared" si="2"/>
        <v>2.3798083425396026</v>
      </c>
      <c r="L13" s="304">
        <f t="shared" si="2"/>
        <v>3.4479193689514389</v>
      </c>
      <c r="M13" s="304"/>
      <c r="N13" s="304">
        <f t="shared" si="3"/>
        <v>5.4232436770104009</v>
      </c>
      <c r="O13" s="304">
        <f t="shared" si="3"/>
        <v>6.4965126662855832</v>
      </c>
      <c r="P13" s="304">
        <f t="shared" si="3"/>
        <v>8.4013014915624655</v>
      </c>
      <c r="Q13" s="306"/>
      <c r="R13" s="304">
        <f t="shared" ref="R13:T13" si="28">SUM(R25,R37,R55,R67,R79,R97)</f>
        <v>2.2926969798649188</v>
      </c>
      <c r="S13" s="304">
        <f t="shared" si="28"/>
        <v>2.5410908808598016</v>
      </c>
      <c r="T13" s="304">
        <f t="shared" si="28"/>
        <v>3.1666762496752834</v>
      </c>
      <c r="U13" s="306"/>
      <c r="V13" s="304">
        <f t="shared" ref="V13:X13" si="29">SUM(V25,V37,V55,V67,V79,V97)</f>
        <v>4.6287587517976263</v>
      </c>
      <c r="W13" s="304">
        <f t="shared" si="29"/>
        <v>5.0377945769764123</v>
      </c>
      <c r="X13" s="304">
        <f t="shared" si="29"/>
        <v>6.0840008186769472</v>
      </c>
      <c r="Y13" s="306"/>
      <c r="Z13" s="304">
        <f t="shared" ref="Z13:AB13" si="30">SUM(Z25,Z37,Z55,Z67,Z79,Z97)</f>
        <v>22.760958845143421</v>
      </c>
      <c r="AA13" s="304">
        <f t="shared" si="30"/>
        <v>23.051965224424784</v>
      </c>
      <c r="AB13" s="304">
        <f t="shared" si="30"/>
        <v>22.521226369578681</v>
      </c>
      <c r="AC13" s="306"/>
      <c r="AD13" s="304">
        <f t="shared" ref="AD13:AF13" si="31">SUM(AD25,AD37,AD55,AD67,AD79,AD97)</f>
        <v>17.307226630540264</v>
      </c>
      <c r="AE13" s="304">
        <f t="shared" si="31"/>
        <v>17.541023509131797</v>
      </c>
      <c r="AF13" s="304">
        <f t="shared" si="31"/>
        <v>16.358745820388517</v>
      </c>
      <c r="AG13" s="306"/>
      <c r="AH13" s="304">
        <f t="shared" ref="AH13:AJ13" si="32">SUM(AH25,AH37,AH55,AH67,AH79,AH97)</f>
        <v>10.131227518686392</v>
      </c>
      <c r="AI13" s="304">
        <f t="shared" si="32"/>
        <v>10.766421948010214</v>
      </c>
      <c r="AJ13" s="304">
        <f t="shared" si="32"/>
        <v>9.2354183381405619</v>
      </c>
      <c r="AK13" s="306"/>
      <c r="AL13" s="304">
        <f t="shared" ref="AL13:AN13" si="33">SUM(AL25,AL37,AL55,AL67,AL79,AL97)</f>
        <v>4.0191806419771998</v>
      </c>
      <c r="AM13" s="304">
        <f t="shared" si="33"/>
        <v>3.9207492226155027</v>
      </c>
      <c r="AN13" s="304">
        <f t="shared" si="33"/>
        <v>2.3406426708138008</v>
      </c>
    </row>
    <row r="14" spans="1:40" x14ac:dyDescent="0.2">
      <c r="A14" s="13" t="str">
        <f>name!E9</f>
        <v>Caring, leisure and other service occupations</v>
      </c>
      <c r="B14" s="304">
        <f t="shared" si="0"/>
        <v>78.928229856731861</v>
      </c>
      <c r="C14" s="304">
        <f t="shared" si="0"/>
        <v>83.465879383626401</v>
      </c>
      <c r="D14" s="304">
        <f t="shared" si="0"/>
        <v>88.550962485980051</v>
      </c>
      <c r="E14" s="304"/>
      <c r="F14" s="304">
        <f t="shared" si="1"/>
        <v>0.10216954718018131</v>
      </c>
      <c r="G14" s="304">
        <f t="shared" si="1"/>
        <v>0.13303883824049442</v>
      </c>
      <c r="H14" s="304">
        <f t="shared" si="1"/>
        <v>0.18441972806343676</v>
      </c>
      <c r="I14" s="304"/>
      <c r="J14" s="304">
        <f t="shared" si="2"/>
        <v>3.6248229496170139</v>
      </c>
      <c r="K14" s="304">
        <f t="shared" si="2"/>
        <v>4.7044981349794428</v>
      </c>
      <c r="L14" s="304">
        <f t="shared" si="2"/>
        <v>6.3321464618368806</v>
      </c>
      <c r="M14" s="304"/>
      <c r="N14" s="304">
        <f t="shared" si="3"/>
        <v>10.619576513943656</v>
      </c>
      <c r="O14" s="304">
        <f t="shared" si="3"/>
        <v>12.720521167695971</v>
      </c>
      <c r="P14" s="304">
        <f t="shared" si="3"/>
        <v>15.577232165947658</v>
      </c>
      <c r="Q14" s="306"/>
      <c r="R14" s="304">
        <f>SUM(R26,R38,R56,R68,R80,R98)</f>
        <v>7.849163096153867</v>
      </c>
      <c r="S14" s="304">
        <f t="shared" ref="S14:T14" si="34">SUM(S26,S38,S56,S68,S80,S98)</f>
        <v>8.4083554008589232</v>
      </c>
      <c r="T14" s="304">
        <f t="shared" si="34"/>
        <v>9.2831329522293959</v>
      </c>
      <c r="U14" s="306"/>
      <c r="V14" s="304">
        <f t="shared" ref="V14:X14" si="35">SUM(V26,V38,V56,V68,V80,V98)</f>
        <v>5.7836200182303301</v>
      </c>
      <c r="W14" s="304">
        <f t="shared" si="35"/>
        <v>6.3722687201651018</v>
      </c>
      <c r="X14" s="304">
        <f t="shared" si="35"/>
        <v>7.6004214185424441</v>
      </c>
      <c r="Y14" s="306"/>
      <c r="Z14" s="304">
        <f t="shared" ref="Z14:AB14" si="36">SUM(Z26,Z38,Z56,Z68,Z80,Z98)</f>
        <v>26.100468768999388</v>
      </c>
      <c r="AA14" s="304">
        <f t="shared" si="36"/>
        <v>27.086724498558329</v>
      </c>
      <c r="AB14" s="304">
        <f t="shared" si="36"/>
        <v>29.516633768421372</v>
      </c>
      <c r="AC14" s="306"/>
      <c r="AD14" s="304">
        <f t="shared" ref="AD14:AF14" si="37">SUM(AD26,AD38,AD56,AD68,AD80,AD98)</f>
        <v>17.85977611319921</v>
      </c>
      <c r="AE14" s="304">
        <f t="shared" si="37"/>
        <v>17.45250031383819</v>
      </c>
      <c r="AF14" s="304">
        <f t="shared" si="37"/>
        <v>14.403576208893664</v>
      </c>
      <c r="AG14" s="306"/>
      <c r="AH14" s="304">
        <f t="shared" ref="AH14:AJ14" si="38">SUM(AH26,AH38,AH56,AH68,AH80,AH98)</f>
        <v>5.5351021892429753</v>
      </c>
      <c r="AI14" s="304">
        <f t="shared" si="38"/>
        <v>5.1169750133495793</v>
      </c>
      <c r="AJ14" s="304">
        <f t="shared" si="38"/>
        <v>4.0294375617671676</v>
      </c>
      <c r="AK14" s="306"/>
      <c r="AL14" s="304">
        <f t="shared" ref="AL14:AN14" si="39">SUM(AL26,AL38,AL56,AL68,AL80,AL98)</f>
        <v>1.4535306601652291</v>
      </c>
      <c r="AM14" s="304">
        <f t="shared" si="39"/>
        <v>1.4709972959403694</v>
      </c>
      <c r="AN14" s="304">
        <f t="shared" si="39"/>
        <v>1.6239622202780286</v>
      </c>
    </row>
    <row r="15" spans="1:40" x14ac:dyDescent="0.2">
      <c r="A15" s="13" t="str">
        <f>name!E10</f>
        <v>Sales and customer service occupations</v>
      </c>
      <c r="B15" s="304">
        <f t="shared" si="0"/>
        <v>66.154645293507585</v>
      </c>
      <c r="C15" s="304">
        <f t="shared" si="0"/>
        <v>66.294151026564563</v>
      </c>
      <c r="D15" s="304">
        <f t="shared" si="0"/>
        <v>66.316025592094576</v>
      </c>
      <c r="E15" s="304"/>
      <c r="F15" s="304">
        <f t="shared" si="1"/>
        <v>0.21427059021461628</v>
      </c>
      <c r="G15" s="304">
        <f t="shared" si="1"/>
        <v>0.25934161838964631</v>
      </c>
      <c r="H15" s="304">
        <f t="shared" si="1"/>
        <v>0.338981511702029</v>
      </c>
      <c r="I15" s="304"/>
      <c r="J15" s="304">
        <f t="shared" si="2"/>
        <v>3.0078222605568996</v>
      </c>
      <c r="K15" s="304">
        <f t="shared" si="2"/>
        <v>3.6722323090759939</v>
      </c>
      <c r="L15" s="304">
        <f t="shared" si="2"/>
        <v>5.1012868799212097</v>
      </c>
      <c r="M15" s="304"/>
      <c r="N15" s="304">
        <f t="shared" si="3"/>
        <v>10.428402431338853</v>
      </c>
      <c r="O15" s="304">
        <f t="shared" si="3"/>
        <v>11.773259480144842</v>
      </c>
      <c r="P15" s="304">
        <f t="shared" si="3"/>
        <v>14.900624934774539</v>
      </c>
      <c r="Q15" s="306"/>
      <c r="R15" s="304">
        <f t="shared" ref="R15:T15" si="40">SUM(R27,R39,R57,R69,R81,R99)</f>
        <v>3.267698332357508</v>
      </c>
      <c r="S15" s="304">
        <f t="shared" si="40"/>
        <v>3.5615766011421064</v>
      </c>
      <c r="T15" s="304">
        <f t="shared" si="40"/>
        <v>4.2818893662325905</v>
      </c>
      <c r="U15" s="306"/>
      <c r="V15" s="304">
        <f t="shared" ref="V15:X15" si="41">SUM(V27,V39,V57,V69,V81,V99)</f>
        <v>2.9185221262687859</v>
      </c>
      <c r="W15" s="304">
        <f t="shared" si="41"/>
        <v>3.1011578907035786</v>
      </c>
      <c r="X15" s="304">
        <f t="shared" si="41"/>
        <v>3.6175724441713624</v>
      </c>
      <c r="Y15" s="306"/>
      <c r="Z15" s="304">
        <f t="shared" ref="Z15:AB15" si="42">SUM(Z27,Z39,Z57,Z69,Z81,Z99)</f>
        <v>18.110434106218115</v>
      </c>
      <c r="AA15" s="304">
        <f t="shared" si="42"/>
        <v>17.756130619800171</v>
      </c>
      <c r="AB15" s="304">
        <f t="shared" si="42"/>
        <v>18.57622604321244</v>
      </c>
      <c r="AC15" s="306"/>
      <c r="AD15" s="304">
        <f t="shared" ref="AD15:AF15" si="43">SUM(AD27,AD39,AD57,AD69,AD81,AD99)</f>
        <v>15.514348949063908</v>
      </c>
      <c r="AE15" s="304">
        <f t="shared" si="43"/>
        <v>14.681398754972637</v>
      </c>
      <c r="AF15" s="304">
        <f t="shared" si="43"/>
        <v>12.153815065548034</v>
      </c>
      <c r="AG15" s="306"/>
      <c r="AH15" s="304">
        <f t="shared" ref="AH15:AJ15" si="44">SUM(AH27,AH39,AH57,AH69,AH81,AH99)</f>
        <v>9.3287994676876327</v>
      </c>
      <c r="AI15" s="304">
        <f t="shared" si="44"/>
        <v>8.1015644704016871</v>
      </c>
      <c r="AJ15" s="304">
        <f t="shared" si="44"/>
        <v>4.1009222857186716</v>
      </c>
      <c r="AK15" s="306"/>
      <c r="AL15" s="304">
        <f t="shared" ref="AL15:AN15" si="45">SUM(AL27,AL39,AL57,AL69,AL81,AL99)</f>
        <v>3.3643470298012597</v>
      </c>
      <c r="AM15" s="304">
        <f t="shared" si="45"/>
        <v>3.3874892819338993</v>
      </c>
      <c r="AN15" s="304">
        <f t="shared" si="45"/>
        <v>3.2447070608136914</v>
      </c>
    </row>
    <row r="16" spans="1:40" x14ac:dyDescent="0.2">
      <c r="A16" s="13" t="str">
        <f>name!E11</f>
        <v>Process, plant and machine operatives</v>
      </c>
      <c r="B16" s="304">
        <f t="shared" si="0"/>
        <v>33.64333516453587</v>
      </c>
      <c r="C16" s="304">
        <f t="shared" si="0"/>
        <v>38.007610820257547</v>
      </c>
      <c r="D16" s="304">
        <f t="shared" si="0"/>
        <v>38.048744257037519</v>
      </c>
      <c r="E16" s="304"/>
      <c r="F16" s="304">
        <f t="shared" si="1"/>
        <v>0.10443232562001264</v>
      </c>
      <c r="G16" s="304">
        <f t="shared" si="1"/>
        <v>0.14667705205766846</v>
      </c>
      <c r="H16" s="304">
        <f t="shared" si="1"/>
        <v>0.21357643611242247</v>
      </c>
      <c r="I16" s="304"/>
      <c r="J16" s="304">
        <f t="shared" si="2"/>
        <v>0.81858589877369325</v>
      </c>
      <c r="K16" s="304">
        <f t="shared" si="2"/>
        <v>1.075018815834281</v>
      </c>
      <c r="L16" s="304">
        <f t="shared" si="2"/>
        <v>1.5656842031924387</v>
      </c>
      <c r="M16" s="304"/>
      <c r="N16" s="304">
        <f t="shared" si="3"/>
        <v>1.9417024739233124</v>
      </c>
      <c r="O16" s="304">
        <f t="shared" si="3"/>
        <v>2.4112913549202872</v>
      </c>
      <c r="P16" s="304">
        <f t="shared" si="3"/>
        <v>3.3456864459642475</v>
      </c>
      <c r="Q16" s="306"/>
      <c r="R16" s="304">
        <f t="shared" ref="R16:T16" si="46">SUM(R28,R40,R58,R70,R82,R100)</f>
        <v>0.88284076157214386</v>
      </c>
      <c r="S16" s="304">
        <f t="shared" si="46"/>
        <v>1.1150353221991283</v>
      </c>
      <c r="T16" s="304">
        <f t="shared" si="46"/>
        <v>1.4989334802342034</v>
      </c>
      <c r="U16" s="306"/>
      <c r="V16" s="304">
        <f t="shared" ref="V16:X16" si="47">SUM(V28,V40,V58,V70,V82,V100)</f>
        <v>1.6351772828593947</v>
      </c>
      <c r="W16" s="304">
        <f t="shared" si="47"/>
        <v>1.9889021394241182</v>
      </c>
      <c r="X16" s="304">
        <f t="shared" si="47"/>
        <v>2.4753034402184606</v>
      </c>
      <c r="Y16" s="306"/>
      <c r="Z16" s="304">
        <f t="shared" ref="Z16:AB16" si="48">SUM(Z28,Z40,Z58,Z70,Z82,Z100)</f>
        <v>7.8532601905829784</v>
      </c>
      <c r="AA16" s="304">
        <f t="shared" si="48"/>
        <v>9.2435287300282152</v>
      </c>
      <c r="AB16" s="304">
        <f t="shared" si="48"/>
        <v>10.553029633559413</v>
      </c>
      <c r="AC16" s="306"/>
      <c r="AD16" s="304">
        <f t="shared" ref="AD16:AF16" si="49">SUM(AD28,AD40,AD58,AD70,AD82,AD100)</f>
        <v>9.7546466184100087</v>
      </c>
      <c r="AE16" s="304">
        <f t="shared" si="49"/>
        <v>11.304713487362118</v>
      </c>
      <c r="AF16" s="304">
        <f t="shared" si="49"/>
        <v>11.091972869288963</v>
      </c>
      <c r="AG16" s="306"/>
      <c r="AH16" s="304">
        <f t="shared" ref="AH16:AJ16" si="50">SUM(AH28,AH40,AH58,AH70,AH82,AH100)</f>
        <v>7.4520642108903346</v>
      </c>
      <c r="AI16" s="304">
        <f t="shared" si="50"/>
        <v>7.617477881746991</v>
      </c>
      <c r="AJ16" s="304">
        <f t="shared" si="50"/>
        <v>4.9334837972713075</v>
      </c>
      <c r="AK16" s="306"/>
      <c r="AL16" s="304">
        <f t="shared" ref="AL16:AN16" si="51">SUM(AL28,AL40,AL58,AL70,AL82,AL100)</f>
        <v>3.2006254019039915</v>
      </c>
      <c r="AM16" s="304">
        <f t="shared" si="51"/>
        <v>3.10496603668473</v>
      </c>
      <c r="AN16" s="304">
        <f t="shared" si="51"/>
        <v>2.3710739511960672</v>
      </c>
    </row>
    <row r="17" spans="1:40" x14ac:dyDescent="0.2">
      <c r="A17" s="13" t="str">
        <f>name!E12</f>
        <v>Elementary occupations</v>
      </c>
      <c r="B17" s="304">
        <f t="shared" si="0"/>
        <v>84.814320137323932</v>
      </c>
      <c r="C17" s="304">
        <f t="shared" si="0"/>
        <v>86.062380532069298</v>
      </c>
      <c r="D17" s="304">
        <f t="shared" si="0"/>
        <v>83.448184336130396</v>
      </c>
      <c r="E17" s="304"/>
      <c r="F17" s="304">
        <f t="shared" si="1"/>
        <v>6.7457934534445652E-2</v>
      </c>
      <c r="G17" s="304">
        <f t="shared" si="1"/>
        <v>8.2075173219656752E-2</v>
      </c>
      <c r="H17" s="304">
        <f t="shared" si="1"/>
        <v>0.10558936681639311</v>
      </c>
      <c r="I17" s="304"/>
      <c r="J17" s="304">
        <f t="shared" si="2"/>
        <v>2.337633289968529</v>
      </c>
      <c r="K17" s="304">
        <f t="shared" si="2"/>
        <v>3.0055349200894224</v>
      </c>
      <c r="L17" s="304">
        <f t="shared" si="2"/>
        <v>4.3665022927453263</v>
      </c>
      <c r="M17" s="304"/>
      <c r="N17" s="304">
        <f t="shared" si="3"/>
        <v>7.4091951095303061</v>
      </c>
      <c r="O17" s="304">
        <f t="shared" si="3"/>
        <v>8.6946631480560228</v>
      </c>
      <c r="P17" s="304">
        <f t="shared" si="3"/>
        <v>11.488304233451442</v>
      </c>
      <c r="Q17" s="306"/>
      <c r="R17" s="304">
        <f t="shared" ref="R17:T17" si="52">SUM(R29,R41,R59,R71,R83,R101)</f>
        <v>3.8615417663160381</v>
      </c>
      <c r="S17" s="304">
        <f t="shared" si="52"/>
        <v>4.4546733383131478</v>
      </c>
      <c r="T17" s="304">
        <f t="shared" si="52"/>
        <v>5.9437684914083908</v>
      </c>
      <c r="U17" s="306"/>
      <c r="V17" s="304">
        <f t="shared" ref="V17:X17" si="53">SUM(V29,V41,V59,V71,V83,V101)</f>
        <v>3.6085988296403264</v>
      </c>
      <c r="W17" s="304">
        <f t="shared" si="53"/>
        <v>4.0769309872119779</v>
      </c>
      <c r="X17" s="304">
        <f t="shared" si="53"/>
        <v>5.3525638380628431</v>
      </c>
      <c r="Y17" s="306"/>
      <c r="Z17" s="304">
        <f t="shared" ref="Z17:AB17" si="54">SUM(Z29,Z41,Z59,Z71,Z83,Z101)</f>
        <v>16.517630328747899</v>
      </c>
      <c r="AA17" s="304">
        <f t="shared" si="54"/>
        <v>16.148269626454493</v>
      </c>
      <c r="AB17" s="304">
        <f t="shared" si="54"/>
        <v>16.267832759685195</v>
      </c>
      <c r="AC17" s="306"/>
      <c r="AD17" s="304">
        <f t="shared" ref="AD17:AF17" si="55">SUM(AD29,AD41,AD59,AD71,AD83,AD101)</f>
        <v>23.48699530316895</v>
      </c>
      <c r="AE17" s="304">
        <f t="shared" si="55"/>
        <v>24.116057594612151</v>
      </c>
      <c r="AF17" s="304">
        <f t="shared" si="55"/>
        <v>21.812525772544824</v>
      </c>
      <c r="AG17" s="306"/>
      <c r="AH17" s="304">
        <f t="shared" ref="AH17:AJ17" si="56">SUM(AH29,AH41,AH59,AH71,AH83,AH101)</f>
        <v>19.760267220963613</v>
      </c>
      <c r="AI17" s="304">
        <f t="shared" si="56"/>
        <v>19.6026482256066</v>
      </c>
      <c r="AJ17" s="304">
        <f t="shared" si="56"/>
        <v>13.662111093161528</v>
      </c>
      <c r="AK17" s="306"/>
      <c r="AL17" s="304">
        <f t="shared" ref="AL17:AN17" si="57">SUM(AL29,AL41,AL59,AL71,AL83,AL101)</f>
        <v>7.7650003544538109</v>
      </c>
      <c r="AM17" s="304">
        <f t="shared" si="57"/>
        <v>5.8815275185058296</v>
      </c>
      <c r="AN17" s="304">
        <f t="shared" si="57"/>
        <v>4.4489864882544508</v>
      </c>
    </row>
    <row r="18" spans="1:40" x14ac:dyDescent="0.2">
      <c r="B18" s="304"/>
      <c r="C18" s="304"/>
      <c r="D18" s="304"/>
      <c r="E18" s="304"/>
      <c r="F18" s="304"/>
      <c r="G18" s="304"/>
      <c r="H18" s="304"/>
      <c r="I18" s="304"/>
      <c r="J18" s="304"/>
      <c r="K18" s="304"/>
      <c r="L18" s="304"/>
      <c r="M18" s="304"/>
      <c r="N18" s="304"/>
      <c r="O18" s="304"/>
      <c r="P18" s="304"/>
      <c r="Q18" s="306"/>
      <c r="R18" s="304"/>
      <c r="S18" s="304"/>
      <c r="T18" s="304"/>
      <c r="U18" s="306"/>
      <c r="V18" s="304"/>
      <c r="W18" s="304"/>
      <c r="X18" s="304"/>
      <c r="Y18" s="306"/>
      <c r="Z18" s="304"/>
      <c r="AA18" s="304"/>
      <c r="AB18" s="304"/>
      <c r="AC18" s="306"/>
      <c r="AD18" s="304"/>
      <c r="AE18" s="304"/>
      <c r="AF18" s="304"/>
      <c r="AG18" s="306"/>
      <c r="AH18" s="304"/>
      <c r="AI18" s="304"/>
      <c r="AJ18" s="304"/>
      <c r="AK18" s="306"/>
      <c r="AL18" s="304"/>
      <c r="AM18" s="304"/>
      <c r="AN18" s="304"/>
    </row>
    <row r="19" spans="1:40" x14ac:dyDescent="0.2">
      <c r="A19" s="1" t="str">
        <f>name!C4</f>
        <v>Primary sector and utilities</v>
      </c>
      <c r="B19" s="306"/>
      <c r="C19" s="306"/>
      <c r="D19" s="306"/>
      <c r="E19" s="304"/>
      <c r="F19" s="304"/>
      <c r="G19" s="304"/>
      <c r="H19" s="304"/>
      <c r="I19" s="304"/>
      <c r="J19" s="304"/>
      <c r="K19" s="304"/>
      <c r="L19" s="304"/>
      <c r="M19" s="304"/>
      <c r="N19" s="304"/>
      <c r="O19" s="304"/>
      <c r="P19" s="304"/>
      <c r="Q19" s="306"/>
      <c r="R19" s="304"/>
      <c r="S19" s="304"/>
      <c r="T19" s="304"/>
      <c r="U19" s="306"/>
      <c r="V19" s="304"/>
      <c r="W19" s="304"/>
      <c r="X19" s="304"/>
      <c r="Y19" s="306"/>
      <c r="Z19" s="304"/>
      <c r="AA19" s="304"/>
      <c r="AB19" s="304"/>
      <c r="AC19" s="306"/>
      <c r="AD19" s="304"/>
      <c r="AE19" s="304"/>
      <c r="AF19" s="304"/>
      <c r="AG19" s="306"/>
      <c r="AH19" s="304"/>
      <c r="AI19" s="304"/>
      <c r="AJ19" s="304"/>
      <c r="AK19" s="306"/>
      <c r="AL19" s="304"/>
      <c r="AM19" s="304"/>
      <c r="AN19" s="304"/>
    </row>
    <row r="20" spans="1:40" x14ac:dyDescent="0.2">
      <c r="A20" s="13" t="str">
        <f t="shared" ref="A20:A29" si="58">A8</f>
        <v>All occupations</v>
      </c>
      <c r="B20" s="305">
        <f>SUM(B21:B29)</f>
        <v>14.369000000000019</v>
      </c>
      <c r="C20" s="305">
        <f>SUM(C21:C29)</f>
        <v>14.727</v>
      </c>
      <c r="D20" s="305">
        <f>SUM(D21:D29)</f>
        <v>15.406999999999993</v>
      </c>
      <c r="E20" s="304"/>
      <c r="F20" s="305">
        <f>SUM(F21:F29)</f>
        <v>0.23162248237824601</v>
      </c>
      <c r="G20" s="305">
        <f>SUM(G21:G29)</f>
        <v>0.27168508802158192</v>
      </c>
      <c r="H20" s="305">
        <f>SUM(H21:H29)</f>
        <v>0.3664298515566729</v>
      </c>
      <c r="I20" s="304"/>
      <c r="J20" s="305">
        <f>SUM(J21:J29)</f>
        <v>1.2914296169577073</v>
      </c>
      <c r="K20" s="305">
        <f>SUM(K21:K29)</f>
        <v>1.4487568409189964</v>
      </c>
      <c r="L20" s="305">
        <f>SUM(L21:L29)</f>
        <v>1.8811454501189082</v>
      </c>
      <c r="M20" s="304"/>
      <c r="N20" s="305">
        <f>SUM(N21:N29)</f>
        <v>2.911334427617557</v>
      </c>
      <c r="O20" s="305">
        <f>SUM(O21:O29)</f>
        <v>3.0398169982303811</v>
      </c>
      <c r="P20" s="305">
        <f>SUM(P21:P29)</f>
        <v>3.5362823004022528</v>
      </c>
      <c r="Q20" s="306"/>
      <c r="R20" s="305">
        <f>SUM(R21:R29)</f>
        <v>0.56346173759642393</v>
      </c>
      <c r="S20" s="305">
        <f>SUM(S21:S29)</f>
        <v>0.59155455176694627</v>
      </c>
      <c r="T20" s="305">
        <f>SUM(T21:T29)</f>
        <v>0.69936962872577801</v>
      </c>
      <c r="U20" s="306"/>
      <c r="V20" s="305">
        <f>SUM(V21:V29)</f>
        <v>1.3932279353702326</v>
      </c>
      <c r="W20" s="305">
        <f>SUM(W21:W29)</f>
        <v>1.444912802900526</v>
      </c>
      <c r="X20" s="305">
        <f>SUM(X21:X29)</f>
        <v>1.6822429840233593</v>
      </c>
      <c r="Y20" s="306"/>
      <c r="Z20" s="305">
        <f>SUM(Z21:Z29)</f>
        <v>2.8172234277274324</v>
      </c>
      <c r="AA20" s="305">
        <f>SUM(AA21:AA29)</f>
        <v>2.7394199025786161</v>
      </c>
      <c r="AB20" s="305">
        <f>SUM(AB21:AB29)</f>
        <v>2.75256674158274</v>
      </c>
      <c r="AC20" s="306"/>
      <c r="AD20" s="305">
        <f>SUM(AD21:AD29)</f>
        <v>2.5394745383181521</v>
      </c>
      <c r="AE20" s="305">
        <f>SUM(AE21:AE29)</f>
        <v>2.4969580558745563</v>
      </c>
      <c r="AF20" s="305">
        <f>SUM(AF21:AF29)</f>
        <v>2.2255588544846994</v>
      </c>
      <c r="AG20" s="306"/>
      <c r="AH20" s="305">
        <f>SUM(AH21:AH29)</f>
        <v>1.7529916954527129</v>
      </c>
      <c r="AI20" s="305">
        <f>SUM(AI21:AI29)</f>
        <v>1.629479346393115</v>
      </c>
      <c r="AJ20" s="305">
        <f>SUM(AJ21:AJ29)</f>
        <v>1.1753787790068178</v>
      </c>
      <c r="AK20" s="306"/>
      <c r="AL20" s="305">
        <f>SUM(AL21:AL29)</f>
        <v>0.86823413858155307</v>
      </c>
      <c r="AM20" s="305">
        <f>SUM(AM21:AM29)</f>
        <v>1.0644164133152798</v>
      </c>
      <c r="AN20" s="305">
        <f>SUM(AN21:AN29)</f>
        <v>1.0880254100987643</v>
      </c>
    </row>
    <row r="21" spans="1:40" x14ac:dyDescent="0.2">
      <c r="A21" s="13" t="str">
        <f t="shared" si="58"/>
        <v>Managers, directors and senior officials</v>
      </c>
      <c r="B21" s="304">
        <f>SUM(F21,J21,N21,R21,V21,Z21,AD21,AH21,AL21)</f>
        <v>1.8320643376321422</v>
      </c>
      <c r="C21" s="304">
        <f t="shared" ref="C21:D21" si="59">SUM(G21,K21,O21,S21,W21,AA21,AE21,AI21,AM21)</f>
        <v>1.9594623063591909</v>
      </c>
      <c r="D21" s="304">
        <f t="shared" si="59"/>
        <v>2.1524710409443051</v>
      </c>
      <c r="E21" s="304"/>
      <c r="F21" s="304">
        <v>5.2859955787087576E-2</v>
      </c>
      <c r="G21" s="304">
        <v>5.9347695493431045E-2</v>
      </c>
      <c r="H21" s="304">
        <v>7.3957752818806358E-2</v>
      </c>
      <c r="I21" s="304"/>
      <c r="J21" s="304">
        <v>0.35855707722638147</v>
      </c>
      <c r="K21" s="304">
        <v>0.37741975995897381</v>
      </c>
      <c r="L21" s="304">
        <v>0.44028424539121236</v>
      </c>
      <c r="M21" s="304"/>
      <c r="N21" s="304">
        <v>0.47136060693213483</v>
      </c>
      <c r="O21" s="304">
        <v>0.48191281956330279</v>
      </c>
      <c r="P21" s="304">
        <v>0.54310286808589114</v>
      </c>
      <c r="Q21" s="306"/>
      <c r="R21" s="304">
        <v>6.878464819480952E-2</v>
      </c>
      <c r="S21" s="304">
        <v>7.4540531939903676E-2</v>
      </c>
      <c r="T21" s="304">
        <v>8.2491820082664896E-2</v>
      </c>
      <c r="U21" s="306"/>
      <c r="V21" s="304">
        <v>0.13595765659766085</v>
      </c>
      <c r="W21" s="304">
        <v>0.1284649898347503</v>
      </c>
      <c r="X21" s="304">
        <v>0.13045992456989569</v>
      </c>
      <c r="Y21" s="306"/>
      <c r="Z21" s="304">
        <v>0.27051953060576256</v>
      </c>
      <c r="AA21" s="304">
        <v>0.3026011846005614</v>
      </c>
      <c r="AB21" s="304">
        <v>0.37420438773158887</v>
      </c>
      <c r="AC21" s="306"/>
      <c r="AD21" s="304">
        <v>0.23465325662487121</v>
      </c>
      <c r="AE21" s="304">
        <v>0.2509356200648678</v>
      </c>
      <c r="AF21" s="304">
        <v>0.21525838013749132</v>
      </c>
      <c r="AG21" s="306"/>
      <c r="AH21" s="304">
        <v>0.15100672097022802</v>
      </c>
      <c r="AI21" s="304">
        <v>0.14970496280210407</v>
      </c>
      <c r="AJ21" s="304">
        <v>0.10572496453584153</v>
      </c>
      <c r="AK21" s="306"/>
      <c r="AL21" s="304">
        <v>8.8364884693206094E-2</v>
      </c>
      <c r="AM21" s="304">
        <v>0.13453474210129593</v>
      </c>
      <c r="AN21" s="304">
        <v>0.18698669759091291</v>
      </c>
    </row>
    <row r="22" spans="1:40" x14ac:dyDescent="0.2">
      <c r="A22" s="13" t="str">
        <f t="shared" si="58"/>
        <v>Professional occupations</v>
      </c>
      <c r="B22" s="304">
        <f t="shared" ref="B22:B29" si="60">SUM(F22,J22,N22,R22,V22,Z22,AD22,AH22,AL22)</f>
        <v>2.3825401182512076</v>
      </c>
      <c r="C22" s="304">
        <f t="shared" ref="C22:C29" si="61">SUM(G22,K22,O22,S22,W22,AA22,AE22,AI22,AM22)</f>
        <v>2.6069068196182772</v>
      </c>
      <c r="D22" s="304">
        <f t="shared" ref="D22:D29" si="62">SUM(H22,L22,P22,T22,X22,AB22,AF22,AJ22,AN22)</f>
        <v>2.9825294848376145</v>
      </c>
      <c r="E22" s="304"/>
      <c r="F22" s="304">
        <v>0.10981975686397166</v>
      </c>
      <c r="G22" s="304">
        <v>0.13436535294397484</v>
      </c>
      <c r="H22" s="304">
        <v>0.18532739471467791</v>
      </c>
      <c r="I22" s="304"/>
      <c r="J22" s="304">
        <v>0.50678700561213996</v>
      </c>
      <c r="K22" s="304">
        <v>0.6094728552254185</v>
      </c>
      <c r="L22" s="304">
        <v>0.8064673029478201</v>
      </c>
      <c r="M22" s="304"/>
      <c r="N22" s="304">
        <v>0.77610729148198643</v>
      </c>
      <c r="O22" s="304">
        <v>0.80907433277185614</v>
      </c>
      <c r="P22" s="304">
        <v>0.85563866950093548</v>
      </c>
      <c r="Q22" s="306"/>
      <c r="R22" s="304">
        <v>7.7547189530869656E-2</v>
      </c>
      <c r="S22" s="304">
        <v>8.1481986547245477E-2</v>
      </c>
      <c r="T22" s="304">
        <v>9.0348565639130102E-2</v>
      </c>
      <c r="U22" s="306"/>
      <c r="V22" s="304">
        <v>0.33150018733279807</v>
      </c>
      <c r="W22" s="304">
        <v>0.34278152249606586</v>
      </c>
      <c r="X22" s="304">
        <v>0.37446142257331771</v>
      </c>
      <c r="Y22" s="306"/>
      <c r="Z22" s="304">
        <v>0.239240933951097</v>
      </c>
      <c r="AA22" s="304">
        <v>0.23052262137554519</v>
      </c>
      <c r="AB22" s="304">
        <v>0.20565403635302509</v>
      </c>
      <c r="AC22" s="306"/>
      <c r="AD22" s="304">
        <v>0.17063436025743403</v>
      </c>
      <c r="AE22" s="304">
        <v>0.17951947046363459</v>
      </c>
      <c r="AF22" s="304">
        <v>0.20790970768889172</v>
      </c>
      <c r="AG22" s="306"/>
      <c r="AH22" s="304">
        <v>0.11525162287749327</v>
      </c>
      <c r="AI22" s="304">
        <v>0.1305711903811235</v>
      </c>
      <c r="AJ22" s="304">
        <v>0.11068700340221028</v>
      </c>
      <c r="AK22" s="306"/>
      <c r="AL22" s="304">
        <v>5.5651770343417548E-2</v>
      </c>
      <c r="AM22" s="304">
        <v>8.9117487413412702E-2</v>
      </c>
      <c r="AN22" s="304">
        <v>0.1460353820176061</v>
      </c>
    </row>
    <row r="23" spans="1:40" x14ac:dyDescent="0.2">
      <c r="A23" s="13" t="str">
        <f t="shared" si="58"/>
        <v>Associate professional occupations</v>
      </c>
      <c r="B23" s="304">
        <f t="shared" si="60"/>
        <v>1.686797365709958</v>
      </c>
      <c r="C23" s="304">
        <f t="shared" si="61"/>
        <v>1.6351251492647361</v>
      </c>
      <c r="D23" s="304">
        <f t="shared" si="62"/>
        <v>1.7938456530667608</v>
      </c>
      <c r="E23" s="304"/>
      <c r="F23" s="304">
        <v>3.2343121434059895E-2</v>
      </c>
      <c r="G23" s="304">
        <v>3.5904048033208055E-2</v>
      </c>
      <c r="H23" s="304">
        <v>5.083811035169284E-2</v>
      </c>
      <c r="I23" s="304"/>
      <c r="J23" s="304">
        <v>0.19042393575713268</v>
      </c>
      <c r="K23" s="304">
        <v>0.20261031510282596</v>
      </c>
      <c r="L23" s="304">
        <v>0.23484359640142458</v>
      </c>
      <c r="M23" s="304"/>
      <c r="N23" s="304">
        <v>0.47363727457847499</v>
      </c>
      <c r="O23" s="304">
        <v>0.4464782354970725</v>
      </c>
      <c r="P23" s="304">
        <v>0.48242150665874745</v>
      </c>
      <c r="Q23" s="306"/>
      <c r="R23" s="304">
        <v>4.6638773693307441E-2</v>
      </c>
      <c r="S23" s="304">
        <v>4.5245218291408915E-2</v>
      </c>
      <c r="T23" s="304">
        <v>5.2981927587859259E-2</v>
      </c>
      <c r="U23" s="306"/>
      <c r="V23" s="304">
        <v>0.23763259467596037</v>
      </c>
      <c r="W23" s="304">
        <v>0.24494282871255366</v>
      </c>
      <c r="X23" s="304">
        <v>0.29798792049452488</v>
      </c>
      <c r="Y23" s="306"/>
      <c r="Z23" s="304">
        <v>0.35843292403228216</v>
      </c>
      <c r="AA23" s="304">
        <v>0.30719479305477604</v>
      </c>
      <c r="AB23" s="304">
        <v>0.31091727940684494</v>
      </c>
      <c r="AC23" s="306"/>
      <c r="AD23" s="304">
        <v>0.15488497897868053</v>
      </c>
      <c r="AE23" s="304">
        <v>0.1245059151938233</v>
      </c>
      <c r="AF23" s="304">
        <v>9.5576285524680657E-2</v>
      </c>
      <c r="AG23" s="306"/>
      <c r="AH23" s="304">
        <v>0.13373976932927781</v>
      </c>
      <c r="AI23" s="304">
        <v>0.13538770789907567</v>
      </c>
      <c r="AJ23" s="304">
        <v>0.11252249594389292</v>
      </c>
      <c r="AK23" s="306"/>
      <c r="AL23" s="304">
        <v>5.9063993230781972E-2</v>
      </c>
      <c r="AM23" s="304">
        <v>9.2856087479991911E-2</v>
      </c>
      <c r="AN23" s="304">
        <v>0.15575653069709333</v>
      </c>
    </row>
    <row r="24" spans="1:40" x14ac:dyDescent="0.2">
      <c r="A24" s="13" t="str">
        <f t="shared" si="58"/>
        <v>Administrative and secretarial occupations</v>
      </c>
      <c r="B24" s="304">
        <f t="shared" si="60"/>
        <v>1.0447197433458013</v>
      </c>
      <c r="C24" s="304">
        <f t="shared" si="61"/>
        <v>0.9140278120954255</v>
      </c>
      <c r="D24" s="304">
        <f t="shared" si="62"/>
        <v>0.80085625039201558</v>
      </c>
      <c r="E24" s="304"/>
      <c r="F24" s="304">
        <v>4.1338976838790108E-3</v>
      </c>
      <c r="G24" s="304">
        <v>4.2877160033433634E-3</v>
      </c>
      <c r="H24" s="304">
        <v>9.9175594438519789E-3</v>
      </c>
      <c r="I24" s="304"/>
      <c r="J24" s="304">
        <v>6.6533646394475301E-2</v>
      </c>
      <c r="K24" s="304">
        <v>7.1329240743156552E-2</v>
      </c>
      <c r="L24" s="304">
        <v>0.14590181433416344</v>
      </c>
      <c r="M24" s="304"/>
      <c r="N24" s="304">
        <v>0.19209929562109243</v>
      </c>
      <c r="O24" s="304">
        <v>0.17995338824885118</v>
      </c>
      <c r="P24" s="304">
        <v>0.18529652561774618</v>
      </c>
      <c r="Q24" s="306"/>
      <c r="R24" s="304">
        <v>3.5856499232105599E-2</v>
      </c>
      <c r="S24" s="304">
        <v>3.1559075153170538E-2</v>
      </c>
      <c r="T24" s="304">
        <v>3.1575579151970137E-2</v>
      </c>
      <c r="U24" s="306"/>
      <c r="V24" s="304">
        <v>0.10527465955854966</v>
      </c>
      <c r="W24" s="304">
        <v>0.10423063652680199</v>
      </c>
      <c r="X24" s="304">
        <v>0.11046318078943597</v>
      </c>
      <c r="Y24" s="306"/>
      <c r="Z24" s="304">
        <v>0.24535612478291488</v>
      </c>
      <c r="AA24" s="304">
        <v>0.19750914297228378</v>
      </c>
      <c r="AB24" s="304">
        <v>0.12222969128237091</v>
      </c>
      <c r="AC24" s="306"/>
      <c r="AD24" s="304">
        <v>0.19789721869577945</v>
      </c>
      <c r="AE24" s="304">
        <v>0.15519798884558247</v>
      </c>
      <c r="AF24" s="304">
        <v>8.9527505566513538E-2</v>
      </c>
      <c r="AG24" s="306"/>
      <c r="AH24" s="304">
        <v>0.13232997322535694</v>
      </c>
      <c r="AI24" s="304">
        <v>9.8020091654202307E-2</v>
      </c>
      <c r="AJ24" s="304">
        <v>4.5274500511469848E-2</v>
      </c>
      <c r="AK24" s="306"/>
      <c r="AL24" s="304">
        <v>6.5238428151647945E-2</v>
      </c>
      <c r="AM24" s="304">
        <v>7.1940531948033307E-2</v>
      </c>
      <c r="AN24" s="304">
        <v>6.0669893694493639E-2</v>
      </c>
    </row>
    <row r="25" spans="1:40" x14ac:dyDescent="0.2">
      <c r="A25" s="13" t="str">
        <f t="shared" si="58"/>
        <v>Skilled trades occupations</v>
      </c>
      <c r="B25" s="304">
        <f t="shared" si="60"/>
        <v>3.6088421353249789</v>
      </c>
      <c r="C25" s="304">
        <f t="shared" si="61"/>
        <v>3.6977315148763497</v>
      </c>
      <c r="D25" s="304">
        <f t="shared" si="62"/>
        <v>3.7339453278133408</v>
      </c>
      <c r="E25" s="304"/>
      <c r="F25" s="304">
        <v>2.3362594585082146E-2</v>
      </c>
      <c r="G25" s="304">
        <v>2.8346748259356482E-2</v>
      </c>
      <c r="H25" s="304">
        <v>3.4774455029607271E-2</v>
      </c>
      <c r="I25" s="304"/>
      <c r="J25" s="304">
        <v>8.5407326548566712E-2</v>
      </c>
      <c r="K25" s="304">
        <v>9.6910105823514184E-2</v>
      </c>
      <c r="L25" s="304">
        <v>0.14787006848435355</v>
      </c>
      <c r="M25" s="304"/>
      <c r="N25" s="304">
        <v>0.63910246969540685</v>
      </c>
      <c r="O25" s="304">
        <v>0.74035990707526922</v>
      </c>
      <c r="P25" s="304">
        <v>1.0135323071993407</v>
      </c>
      <c r="Q25" s="306"/>
      <c r="R25" s="304">
        <v>0.15648710732556836</v>
      </c>
      <c r="S25" s="304">
        <v>0.1679153015292226</v>
      </c>
      <c r="T25" s="304">
        <v>0.20462579704477254</v>
      </c>
      <c r="U25" s="306"/>
      <c r="V25" s="304">
        <v>0.37207240949507392</v>
      </c>
      <c r="W25" s="304">
        <v>0.3987064960784869</v>
      </c>
      <c r="X25" s="304">
        <v>0.51906338899131865</v>
      </c>
      <c r="Y25" s="306"/>
      <c r="Z25" s="304">
        <v>0.81914878276366099</v>
      </c>
      <c r="AA25" s="304">
        <v>0.75903270589477168</v>
      </c>
      <c r="AB25" s="304">
        <v>0.66614960372222554</v>
      </c>
      <c r="AC25" s="306"/>
      <c r="AD25" s="304">
        <v>0.80009432534083269</v>
      </c>
      <c r="AE25" s="304">
        <v>0.80095166198390522</v>
      </c>
      <c r="AF25" s="304">
        <v>0.73573018566984705</v>
      </c>
      <c r="AG25" s="306"/>
      <c r="AH25" s="304">
        <v>0.46610293093046884</v>
      </c>
      <c r="AI25" s="304">
        <v>0.44257598350274985</v>
      </c>
      <c r="AJ25" s="304">
        <v>0.31864186141798662</v>
      </c>
      <c r="AK25" s="306"/>
      <c r="AL25" s="304">
        <v>0.24706418864031865</v>
      </c>
      <c r="AM25" s="304">
        <v>0.26293260472907298</v>
      </c>
      <c r="AN25" s="304">
        <v>9.3557660253888453E-2</v>
      </c>
    </row>
    <row r="26" spans="1:40" x14ac:dyDescent="0.2">
      <c r="A26" s="13" t="str">
        <f t="shared" si="58"/>
        <v>Caring, leisure and other service occupations</v>
      </c>
      <c r="B26" s="304">
        <f t="shared" si="60"/>
        <v>0.46564479800076136</v>
      </c>
      <c r="C26" s="304">
        <f t="shared" si="61"/>
        <v>0.48093944460821059</v>
      </c>
      <c r="D26" s="304">
        <f t="shared" si="62"/>
        <v>0.49087769895506167</v>
      </c>
      <c r="E26" s="304"/>
      <c r="F26" s="304">
        <v>2.1852968622549001E-3</v>
      </c>
      <c r="G26" s="304">
        <v>2.4950997609417664E-3</v>
      </c>
      <c r="H26" s="304">
        <v>2.997639674215717E-3</v>
      </c>
      <c r="I26" s="304"/>
      <c r="J26" s="304">
        <v>1.735220187045465E-2</v>
      </c>
      <c r="K26" s="304">
        <v>2.0045505237811675E-2</v>
      </c>
      <c r="L26" s="304">
        <v>2.2448988567416894E-2</v>
      </c>
      <c r="M26" s="304"/>
      <c r="N26" s="304">
        <v>0.12699516132062147</v>
      </c>
      <c r="O26" s="304">
        <v>0.12510455003463486</v>
      </c>
      <c r="P26" s="304">
        <v>0.11804881572144982</v>
      </c>
      <c r="Q26" s="306"/>
      <c r="R26" s="304">
        <v>3.5176592633802628E-2</v>
      </c>
      <c r="S26" s="304">
        <v>4.3190571272040207E-2</v>
      </c>
      <c r="T26" s="304">
        <v>5.6390029864042138E-2</v>
      </c>
      <c r="U26" s="306"/>
      <c r="V26" s="304">
        <v>2.9499659076797993E-2</v>
      </c>
      <c r="W26" s="304">
        <v>3.1136188280811418E-2</v>
      </c>
      <c r="X26" s="304">
        <v>3.3282553602821077E-2</v>
      </c>
      <c r="Y26" s="306"/>
      <c r="Z26" s="304">
        <v>6.3410269267768285E-2</v>
      </c>
      <c r="AA26" s="304">
        <v>6.5766657816969915E-2</v>
      </c>
      <c r="AB26" s="304">
        <v>7.5552913260116955E-2</v>
      </c>
      <c r="AC26" s="306"/>
      <c r="AD26" s="304">
        <v>6.3627986017958174E-2</v>
      </c>
      <c r="AE26" s="304">
        <v>5.7223616007284428E-2</v>
      </c>
      <c r="AF26" s="304">
        <v>4.5290150636394702E-2</v>
      </c>
      <c r="AG26" s="306"/>
      <c r="AH26" s="304">
        <v>8.1157378654392265E-2</v>
      </c>
      <c r="AI26" s="304">
        <v>8.3991466725273703E-2</v>
      </c>
      <c r="AJ26" s="304">
        <v>8.1681602663094266E-2</v>
      </c>
      <c r="AK26" s="306"/>
      <c r="AL26" s="304">
        <v>4.6240252296711012E-2</v>
      </c>
      <c r="AM26" s="304">
        <v>5.1985789472442638E-2</v>
      </c>
      <c r="AN26" s="304">
        <v>5.5185004965510105E-2</v>
      </c>
    </row>
    <row r="27" spans="1:40" x14ac:dyDescent="0.2">
      <c r="A27" s="13" t="str">
        <f t="shared" si="58"/>
        <v>Sales and customer service occupations</v>
      </c>
      <c r="B27" s="304">
        <f t="shared" si="60"/>
        <v>0.7455559891168998</v>
      </c>
      <c r="C27" s="304">
        <f t="shared" si="61"/>
        <v>0.75350040083888159</v>
      </c>
      <c r="D27" s="304">
        <f t="shared" si="62"/>
        <v>0.79239439020425984</v>
      </c>
      <c r="E27" s="304"/>
      <c r="F27" s="304">
        <v>6.5696806112951868E-3</v>
      </c>
      <c r="G27" s="304">
        <v>6.4715528186702386E-3</v>
      </c>
      <c r="H27" s="304">
        <v>7.9412672664818731E-3</v>
      </c>
      <c r="I27" s="304"/>
      <c r="J27" s="304">
        <v>3.1861537156914845E-2</v>
      </c>
      <c r="K27" s="304">
        <v>3.3344931048853069E-2</v>
      </c>
      <c r="L27" s="304">
        <v>3.7052267834190931E-2</v>
      </c>
      <c r="M27" s="304"/>
      <c r="N27" s="304">
        <v>0.13000009358991432</v>
      </c>
      <c r="O27" s="304">
        <v>0.13300961943918088</v>
      </c>
      <c r="P27" s="304">
        <v>0.17956798795048196</v>
      </c>
      <c r="Q27" s="306"/>
      <c r="R27" s="304">
        <v>7.8934211738063156E-2</v>
      </c>
      <c r="S27" s="304">
        <v>8.0022232051936384E-2</v>
      </c>
      <c r="T27" s="304">
        <v>0.10691463753954758</v>
      </c>
      <c r="U27" s="306"/>
      <c r="V27" s="304">
        <v>4.831691219306191E-2</v>
      </c>
      <c r="W27" s="304">
        <v>4.861726359683341E-2</v>
      </c>
      <c r="X27" s="304">
        <v>5.1781841895841285E-2</v>
      </c>
      <c r="Y27" s="306"/>
      <c r="Z27" s="304">
        <v>0.16932515137635387</v>
      </c>
      <c r="AA27" s="304">
        <v>0.18296928737043158</v>
      </c>
      <c r="AB27" s="304">
        <v>0.20950787811825047</v>
      </c>
      <c r="AC27" s="306"/>
      <c r="AD27" s="304">
        <v>0.10377098395776617</v>
      </c>
      <c r="AE27" s="304">
        <v>0.1044973939652238</v>
      </c>
      <c r="AF27" s="304">
        <v>9.395545655287077E-2</v>
      </c>
      <c r="AG27" s="306"/>
      <c r="AH27" s="304">
        <v>0.13076630099586789</v>
      </c>
      <c r="AI27" s="304">
        <v>0.11258030377129985</v>
      </c>
      <c r="AJ27" s="304">
        <v>6.8489552788022212E-2</v>
      </c>
      <c r="AK27" s="306"/>
      <c r="AL27" s="304">
        <v>4.601111749766245E-2</v>
      </c>
      <c r="AM27" s="304">
        <v>5.1987816776452332E-2</v>
      </c>
      <c r="AN27" s="304">
        <v>3.7183500258572783E-2</v>
      </c>
    </row>
    <row r="28" spans="1:40" x14ac:dyDescent="0.2">
      <c r="A28" s="13" t="str">
        <f t="shared" si="58"/>
        <v>Process, plant and machine operatives</v>
      </c>
      <c r="B28" s="304">
        <f t="shared" si="60"/>
        <v>1.2000338975649196</v>
      </c>
      <c r="C28" s="304">
        <f t="shared" si="61"/>
        <v>1.3593991577757825</v>
      </c>
      <c r="D28" s="304">
        <f t="shared" si="62"/>
        <v>1.4892880475382859</v>
      </c>
      <c r="E28" s="304"/>
      <c r="F28" s="304">
        <v>2.9455297186888052E-4</v>
      </c>
      <c r="G28" s="304">
        <v>4.1031418878985436E-4</v>
      </c>
      <c r="H28" s="304">
        <v>6.2150408747717106E-4</v>
      </c>
      <c r="I28" s="304"/>
      <c r="J28" s="304">
        <v>2.0004500245691746E-2</v>
      </c>
      <c r="K28" s="304">
        <v>2.2631608307192359E-2</v>
      </c>
      <c r="L28" s="304">
        <v>2.9102377869788434E-2</v>
      </c>
      <c r="M28" s="304"/>
      <c r="N28" s="304">
        <v>6.1526260325736347E-2</v>
      </c>
      <c r="O28" s="304">
        <v>8.1344442858574104E-2</v>
      </c>
      <c r="P28" s="304">
        <v>0.11233169030709846</v>
      </c>
      <c r="Q28" s="306"/>
      <c r="R28" s="304">
        <v>1.9802765812678046E-2</v>
      </c>
      <c r="S28" s="304">
        <v>2.405301357283373E-2</v>
      </c>
      <c r="T28" s="304">
        <v>3.1876394468094892E-2</v>
      </c>
      <c r="U28" s="306"/>
      <c r="V28" s="304">
        <v>4.2723548191666232E-2</v>
      </c>
      <c r="W28" s="304">
        <v>5.261176015318976E-2</v>
      </c>
      <c r="X28" s="304">
        <v>6.4044735372421391E-2</v>
      </c>
      <c r="Y28" s="306"/>
      <c r="Z28" s="304">
        <v>0.33979333091337377</v>
      </c>
      <c r="AA28" s="304">
        <v>0.39950056745898588</v>
      </c>
      <c r="AB28" s="304">
        <v>0.52823495997833003</v>
      </c>
      <c r="AC28" s="306"/>
      <c r="AD28" s="304">
        <v>0.37507924648406094</v>
      </c>
      <c r="AE28" s="304">
        <v>0.41229862601643685</v>
      </c>
      <c r="AF28" s="304">
        <v>0.41605075867264268</v>
      </c>
      <c r="AG28" s="306"/>
      <c r="AH28" s="304">
        <v>0.18630627139879891</v>
      </c>
      <c r="AI28" s="304">
        <v>0.17509907032039862</v>
      </c>
      <c r="AJ28" s="304">
        <v>0.10210432231367023</v>
      </c>
      <c r="AK28" s="306"/>
      <c r="AL28" s="304">
        <v>0.15450342122104468</v>
      </c>
      <c r="AM28" s="304">
        <v>0.1914497548993811</v>
      </c>
      <c r="AN28" s="304">
        <v>0.20492130446876286</v>
      </c>
    </row>
    <row r="29" spans="1:40" x14ac:dyDescent="0.2">
      <c r="A29" s="13" t="str">
        <f t="shared" si="58"/>
        <v>Elementary occupations</v>
      </c>
      <c r="B29" s="304">
        <f t="shared" si="60"/>
        <v>1.4028016150533493</v>
      </c>
      <c r="C29" s="304">
        <f t="shared" si="61"/>
        <v>1.3199073945631463</v>
      </c>
      <c r="D29" s="304">
        <f t="shared" si="62"/>
        <v>1.1707921062483482</v>
      </c>
      <c r="E29" s="304"/>
      <c r="F29" s="304">
        <v>5.3625578746760757E-5</v>
      </c>
      <c r="G29" s="304">
        <v>5.6560519866285674E-5</v>
      </c>
      <c r="H29" s="304">
        <v>5.4168169861810314E-5</v>
      </c>
      <c r="I29" s="304"/>
      <c r="J29" s="304">
        <v>1.4502386145950176E-2</v>
      </c>
      <c r="K29" s="304">
        <v>1.4992519471250047E-2</v>
      </c>
      <c r="L29" s="304">
        <v>1.7174788288537707E-2</v>
      </c>
      <c r="M29" s="304"/>
      <c r="N29" s="304">
        <v>4.0505974072189657E-2</v>
      </c>
      <c r="O29" s="304">
        <v>4.2579702741639483E-2</v>
      </c>
      <c r="P29" s="304">
        <v>4.6341929360561793E-2</v>
      </c>
      <c r="Q29" s="306"/>
      <c r="R29" s="304">
        <v>4.4233949435219549E-2</v>
      </c>
      <c r="S29" s="304">
        <v>4.3546621409184694E-2</v>
      </c>
      <c r="T29" s="304">
        <v>4.2164877347696458E-2</v>
      </c>
      <c r="U29" s="306"/>
      <c r="V29" s="304">
        <v>9.0250308248663633E-2</v>
      </c>
      <c r="W29" s="304">
        <v>9.3421117221032815E-2</v>
      </c>
      <c r="X29" s="304">
        <v>0.10069801573378243</v>
      </c>
      <c r="Y29" s="306"/>
      <c r="Z29" s="304">
        <v>0.31199638003421915</v>
      </c>
      <c r="AA29" s="304">
        <v>0.29432294203429071</v>
      </c>
      <c r="AB29" s="304">
        <v>0.26011599172998728</v>
      </c>
      <c r="AC29" s="306"/>
      <c r="AD29" s="304">
        <v>0.43883218196076873</v>
      </c>
      <c r="AE29" s="304">
        <v>0.41182776333379811</v>
      </c>
      <c r="AF29" s="304">
        <v>0.32626042403536659</v>
      </c>
      <c r="AG29" s="306"/>
      <c r="AH29" s="304">
        <v>0.35633072707082886</v>
      </c>
      <c r="AI29" s="304">
        <v>0.30154856933688734</v>
      </c>
      <c r="AJ29" s="304">
        <v>0.23025247543062988</v>
      </c>
      <c r="AK29" s="306"/>
      <c r="AL29" s="304">
        <v>0.10609608250676283</v>
      </c>
      <c r="AM29" s="304">
        <v>0.11761159849519695</v>
      </c>
      <c r="AN29" s="304">
        <v>0.14772943615192413</v>
      </c>
    </row>
    <row r="30" spans="1:40" x14ac:dyDescent="0.2">
      <c r="B30" s="305"/>
      <c r="C30" s="305"/>
      <c r="D30" s="305"/>
      <c r="E30" s="304"/>
      <c r="F30" s="304"/>
      <c r="G30" s="304"/>
      <c r="H30" s="304"/>
      <c r="I30" s="304"/>
      <c r="J30" s="304"/>
      <c r="K30" s="304"/>
      <c r="L30" s="304"/>
      <c r="M30" s="304"/>
      <c r="N30" s="304"/>
      <c r="O30" s="304"/>
      <c r="P30" s="304"/>
      <c r="Q30" s="306"/>
      <c r="R30" s="304"/>
      <c r="S30" s="304"/>
      <c r="T30" s="304"/>
      <c r="U30" s="306"/>
      <c r="V30" s="304"/>
      <c r="W30" s="304"/>
      <c r="X30" s="304"/>
      <c r="Y30" s="306"/>
      <c r="Z30" s="304"/>
      <c r="AA30" s="304"/>
      <c r="AB30" s="304"/>
      <c r="AC30" s="306"/>
      <c r="AD30" s="304"/>
      <c r="AE30" s="304"/>
      <c r="AF30" s="304"/>
      <c r="AG30" s="306"/>
      <c r="AH30" s="304"/>
      <c r="AI30" s="304"/>
      <c r="AJ30" s="304"/>
      <c r="AK30" s="306"/>
      <c r="AL30" s="304"/>
      <c r="AM30" s="304"/>
      <c r="AN30" s="304"/>
    </row>
    <row r="31" spans="1:40" x14ac:dyDescent="0.2">
      <c r="A31" s="1" t="str">
        <f>name!C5</f>
        <v>Manufacturing</v>
      </c>
      <c r="B31" s="306"/>
      <c r="C31" s="306"/>
      <c r="D31" s="306"/>
      <c r="E31" s="304"/>
      <c r="F31" s="304"/>
      <c r="G31" s="304"/>
      <c r="H31" s="304"/>
      <c r="I31" s="304"/>
      <c r="J31" s="304"/>
      <c r="K31" s="304"/>
      <c r="L31" s="304"/>
      <c r="M31" s="304"/>
      <c r="N31" s="304"/>
      <c r="O31" s="304"/>
      <c r="P31" s="304"/>
      <c r="Q31" s="306"/>
      <c r="R31" s="304"/>
      <c r="S31" s="304"/>
      <c r="T31" s="304"/>
      <c r="U31" s="306"/>
      <c r="V31" s="304"/>
      <c r="W31" s="304"/>
      <c r="X31" s="304"/>
      <c r="Y31" s="306"/>
      <c r="Z31" s="304"/>
      <c r="AA31" s="304"/>
      <c r="AB31" s="304"/>
      <c r="AC31" s="306"/>
      <c r="AD31" s="304"/>
      <c r="AE31" s="304"/>
      <c r="AF31" s="304"/>
      <c r="AG31" s="306"/>
      <c r="AH31" s="304"/>
      <c r="AI31" s="304"/>
      <c r="AJ31" s="304"/>
      <c r="AK31" s="306"/>
      <c r="AL31" s="304"/>
      <c r="AM31" s="304"/>
      <c r="AN31" s="304"/>
    </row>
    <row r="32" spans="1:40" x14ac:dyDescent="0.2">
      <c r="A32" s="13" t="str">
        <f t="shared" ref="A32:A41" si="63">A8</f>
        <v>All occupations</v>
      </c>
      <c r="B32" s="305">
        <f>SUM(B33:B41)</f>
        <v>49.208000000000055</v>
      </c>
      <c r="C32" s="305">
        <f>SUM(C33:C41)</f>
        <v>46.915999999999954</v>
      </c>
      <c r="D32" s="305">
        <f>SUM(D33:D41)</f>
        <v>42.040000000000106</v>
      </c>
      <c r="E32" s="304"/>
      <c r="F32" s="305">
        <f>SUM(F33:F41)</f>
        <v>0.84636430215556957</v>
      </c>
      <c r="G32" s="305">
        <f>SUM(G33:G41)</f>
        <v>0.87192464109064793</v>
      </c>
      <c r="H32" s="305">
        <f>SUM(H33:H41)</f>
        <v>0.95941497169614387</v>
      </c>
      <c r="I32" s="304"/>
      <c r="J32" s="305">
        <f>SUM(J33:J41)</f>
        <v>4.5535296673278181</v>
      </c>
      <c r="K32" s="305">
        <f>SUM(K33:K41)</f>
        <v>4.8749422056560636</v>
      </c>
      <c r="L32" s="305">
        <f>SUM(L33:L41)</f>
        <v>5.6032792314534658</v>
      </c>
      <c r="M32" s="304"/>
      <c r="N32" s="305">
        <f>SUM(N33:N41)</f>
        <v>9.8121136482329927</v>
      </c>
      <c r="O32" s="305">
        <f>SUM(O33:O41)</f>
        <v>9.5926444806581301</v>
      </c>
      <c r="P32" s="305">
        <f>SUM(P33:P41)</f>
        <v>9.4894156136549768</v>
      </c>
      <c r="Q32" s="306"/>
      <c r="R32" s="305">
        <f>SUM(R33:R41)</f>
        <v>2.2460021846362079</v>
      </c>
      <c r="S32" s="305">
        <f>SUM(S33:S41)</f>
        <v>2.235236976997764</v>
      </c>
      <c r="T32" s="305">
        <f>SUM(T33:T41)</f>
        <v>2.3286455145824547</v>
      </c>
      <c r="U32" s="306"/>
      <c r="V32" s="305">
        <f>SUM(V33:V41)</f>
        <v>4.9989544173263765</v>
      </c>
      <c r="W32" s="305">
        <f>SUM(W33:W41)</f>
        <v>4.7037211778433461</v>
      </c>
      <c r="X32" s="305">
        <f>SUM(X33:X41)</f>
        <v>4.4558682617662662</v>
      </c>
      <c r="Y32" s="306"/>
      <c r="Z32" s="305">
        <f>SUM(Z33:Z41)</f>
        <v>11.024084481742722</v>
      </c>
      <c r="AA32" s="305">
        <f>SUM(AA33:AA41)</f>
        <v>10.361942171007406</v>
      </c>
      <c r="AB32" s="305">
        <f>SUM(AB33:AB41)</f>
        <v>8.9621571048350113</v>
      </c>
      <c r="AC32" s="306"/>
      <c r="AD32" s="305">
        <f>SUM(AD33:AD41)</f>
        <v>8.5090672099496043</v>
      </c>
      <c r="AE32" s="305">
        <f>SUM(AE33:AE41)</f>
        <v>7.8993797993812631</v>
      </c>
      <c r="AF32" s="305">
        <f>SUM(AF33:AF41)</f>
        <v>5.8641904516075458</v>
      </c>
      <c r="AG32" s="306"/>
      <c r="AH32" s="305">
        <f>SUM(AH33:AH41)</f>
        <v>5.5228390174311253</v>
      </c>
      <c r="AI32" s="305">
        <f>SUM(AI33:AI41)</f>
        <v>4.8901046740723206</v>
      </c>
      <c r="AJ32" s="305">
        <f>SUM(AJ33:AJ41)</f>
        <v>2.9135714428742716</v>
      </c>
      <c r="AK32" s="306"/>
      <c r="AL32" s="305">
        <f>SUM(AL33:AL41)</f>
        <v>1.6950450711976375</v>
      </c>
      <c r="AM32" s="305">
        <f>SUM(AM33:AM41)</f>
        <v>1.4861038732930085</v>
      </c>
      <c r="AN32" s="305">
        <f>SUM(AN33:AN41)</f>
        <v>1.4634574075299649</v>
      </c>
    </row>
    <row r="33" spans="1:40" x14ac:dyDescent="0.2">
      <c r="A33" s="13" t="str">
        <f t="shared" si="63"/>
        <v>Managers, directors and senior officials</v>
      </c>
      <c r="B33" s="304">
        <f>SUM(F33,J33,N33,R33,V33,Z33,AD33,AH33,AL33)</f>
        <v>8.5701960466454228</v>
      </c>
      <c r="C33" s="304">
        <f t="shared" ref="C33:C41" si="64">SUM(G33,K33,O33,S33,W33,AA33,AE33,AI33,AM33)</f>
        <v>7.9601800508326939</v>
      </c>
      <c r="D33" s="304">
        <f t="shared" ref="D33:D40" si="65">SUM(H33,L33,P33,T33,X33,AB33,AF33,AJ33,AN33)</f>
        <v>7.5405433501207471</v>
      </c>
      <c r="E33" s="304"/>
      <c r="F33" s="304">
        <v>0.13684931785227969</v>
      </c>
      <c r="G33" s="304">
        <v>0.12502768340025147</v>
      </c>
      <c r="H33" s="304">
        <v>0.12138254756513928</v>
      </c>
      <c r="I33" s="304"/>
      <c r="J33" s="304">
        <v>1.0313419365211742</v>
      </c>
      <c r="K33" s="304">
        <v>1.0476865880431205</v>
      </c>
      <c r="L33" s="304">
        <v>1.1672268504086996</v>
      </c>
      <c r="M33" s="304"/>
      <c r="N33" s="304">
        <v>2.4335762155225988</v>
      </c>
      <c r="O33" s="304">
        <v>2.3071779326514439</v>
      </c>
      <c r="P33" s="304">
        <v>2.2980591599080622</v>
      </c>
      <c r="Q33" s="306"/>
      <c r="R33" s="304">
        <v>0.5016299678694448</v>
      </c>
      <c r="S33" s="304">
        <v>0.4660232388971291</v>
      </c>
      <c r="T33" s="304">
        <v>0.48140771444648189</v>
      </c>
      <c r="U33" s="306"/>
      <c r="V33" s="304">
        <v>1.1833604015221437</v>
      </c>
      <c r="W33" s="304">
        <v>1.0800865495381418</v>
      </c>
      <c r="X33" s="304">
        <v>1.0525581157159536</v>
      </c>
      <c r="Y33" s="306"/>
      <c r="Z33" s="304">
        <v>1.4414340161634049</v>
      </c>
      <c r="AA33" s="304">
        <v>1.2555086686217529</v>
      </c>
      <c r="AB33" s="304">
        <v>1.0531207050711222</v>
      </c>
      <c r="AC33" s="306"/>
      <c r="AD33" s="304">
        <v>1.0760409771121213</v>
      </c>
      <c r="AE33" s="304">
        <v>0.95682460777935197</v>
      </c>
      <c r="AF33" s="304">
        <v>0.74881043566378835</v>
      </c>
      <c r="AG33" s="306"/>
      <c r="AH33" s="304">
        <v>0.60024418130463364</v>
      </c>
      <c r="AI33" s="304">
        <v>0.5161858419046762</v>
      </c>
      <c r="AJ33" s="304">
        <v>0.32677404584643843</v>
      </c>
      <c r="AK33" s="306"/>
      <c r="AL33" s="304">
        <v>0.16571903277762198</v>
      </c>
      <c r="AM33" s="304">
        <v>0.20565893999682555</v>
      </c>
      <c r="AN33" s="304">
        <v>0.29120377549506138</v>
      </c>
    </row>
    <row r="34" spans="1:40" x14ac:dyDescent="0.2">
      <c r="A34" s="13" t="str">
        <f t="shared" si="63"/>
        <v>Professional occupations</v>
      </c>
      <c r="B34" s="304">
        <f t="shared" ref="B34:B41" si="66">SUM(F34,J34,N34,R34,V34,Z34,AD34,AH34,AL34)</f>
        <v>11.360697202472652</v>
      </c>
      <c r="C34" s="304">
        <f t="shared" si="64"/>
        <v>11.260411914142296</v>
      </c>
      <c r="D34" s="304">
        <f t="shared" si="65"/>
        <v>10.458724931509122</v>
      </c>
      <c r="E34" s="304"/>
      <c r="F34" s="304">
        <v>0.52023454012113646</v>
      </c>
      <c r="G34" s="304">
        <v>0.55596002417958434</v>
      </c>
      <c r="H34" s="304">
        <v>0.62598423047875373</v>
      </c>
      <c r="I34" s="304"/>
      <c r="J34" s="304">
        <v>1.9630169671141344</v>
      </c>
      <c r="K34" s="304">
        <v>2.1368096979430904</v>
      </c>
      <c r="L34" s="304">
        <v>2.4237348316548042</v>
      </c>
      <c r="M34" s="304"/>
      <c r="N34" s="304">
        <v>3.3586551409452619</v>
      </c>
      <c r="O34" s="304">
        <v>3.2588741191466308</v>
      </c>
      <c r="P34" s="304">
        <v>3.0010607947798476</v>
      </c>
      <c r="Q34" s="306"/>
      <c r="R34" s="304">
        <v>0.35033787338712535</v>
      </c>
      <c r="S34" s="304">
        <v>0.34202955615840169</v>
      </c>
      <c r="T34" s="304">
        <v>0.33718696816898713</v>
      </c>
      <c r="U34" s="306"/>
      <c r="V34" s="304">
        <v>1.5112291241075795</v>
      </c>
      <c r="W34" s="304">
        <v>1.4245602805324493</v>
      </c>
      <c r="X34" s="304">
        <v>1.282800619524904</v>
      </c>
      <c r="Y34" s="306"/>
      <c r="Z34" s="304">
        <v>1.9422441987096692</v>
      </c>
      <c r="AA34" s="304">
        <v>1.8539917067629008</v>
      </c>
      <c r="AB34" s="304">
        <v>1.4925526087134926</v>
      </c>
      <c r="AC34" s="306"/>
      <c r="AD34" s="304">
        <v>0.98078456280643478</v>
      </c>
      <c r="AE34" s="304">
        <v>0.89798500934731074</v>
      </c>
      <c r="AF34" s="304">
        <v>0.59030521672902148</v>
      </c>
      <c r="AG34" s="306"/>
      <c r="AH34" s="304">
        <v>0.59278159581647494</v>
      </c>
      <c r="AI34" s="304">
        <v>0.59602647037240875</v>
      </c>
      <c r="AJ34" s="304">
        <v>0.47441559373018599</v>
      </c>
      <c r="AK34" s="306"/>
      <c r="AL34" s="304">
        <v>0.14141319946483646</v>
      </c>
      <c r="AM34" s="304">
        <v>0.19417504969952132</v>
      </c>
      <c r="AN34" s="304">
        <v>0.23068406772912761</v>
      </c>
    </row>
    <row r="35" spans="1:40" x14ac:dyDescent="0.2">
      <c r="A35" s="13" t="str">
        <f t="shared" si="63"/>
        <v>Associate professional occupations</v>
      </c>
      <c r="B35" s="304">
        <f t="shared" si="66"/>
        <v>7.9053107479977491</v>
      </c>
      <c r="C35" s="304">
        <f t="shared" si="64"/>
        <v>7.1065966052968221</v>
      </c>
      <c r="D35" s="304">
        <f t="shared" si="65"/>
        <v>6.562554878867167</v>
      </c>
      <c r="E35" s="304"/>
      <c r="F35" s="304">
        <v>0.11772423723449911</v>
      </c>
      <c r="G35" s="304">
        <v>0.11407033003624868</v>
      </c>
      <c r="H35" s="304">
        <v>0.12661672451364356</v>
      </c>
      <c r="I35" s="304"/>
      <c r="J35" s="304">
        <v>0.87122513812883351</v>
      </c>
      <c r="K35" s="304">
        <v>0.86156161865922021</v>
      </c>
      <c r="L35" s="304">
        <v>0.94047399260478481</v>
      </c>
      <c r="M35" s="304"/>
      <c r="N35" s="304">
        <v>2.0257263047804273</v>
      </c>
      <c r="O35" s="304">
        <v>1.8964518651696394</v>
      </c>
      <c r="P35" s="304">
        <v>1.8488438150027906</v>
      </c>
      <c r="Q35" s="306"/>
      <c r="R35" s="304">
        <v>0.58862691360324881</v>
      </c>
      <c r="S35" s="304">
        <v>0.57648495472558825</v>
      </c>
      <c r="T35" s="304">
        <v>0.60332494760046484</v>
      </c>
      <c r="U35" s="306"/>
      <c r="V35" s="304">
        <v>0.86183094881343836</v>
      </c>
      <c r="W35" s="304">
        <v>0.73256019531491245</v>
      </c>
      <c r="X35" s="304">
        <v>0.65831299442226987</v>
      </c>
      <c r="Y35" s="306"/>
      <c r="Z35" s="304">
        <v>1.7515980752389793</v>
      </c>
      <c r="AA35" s="304">
        <v>1.5164640269840903</v>
      </c>
      <c r="AB35" s="304">
        <v>1.3072460111589639</v>
      </c>
      <c r="AC35" s="306"/>
      <c r="AD35" s="304">
        <v>1.0822765542133799</v>
      </c>
      <c r="AE35" s="304">
        <v>0.92228643200664739</v>
      </c>
      <c r="AF35" s="304">
        <v>0.69455777469238433</v>
      </c>
      <c r="AG35" s="306"/>
      <c r="AH35" s="304">
        <v>0.51640804191603495</v>
      </c>
      <c r="AI35" s="304">
        <v>0.38828822615166902</v>
      </c>
      <c r="AJ35" s="304">
        <v>0.27067793986103783</v>
      </c>
      <c r="AK35" s="306"/>
      <c r="AL35" s="304">
        <v>8.9894534068907114E-2</v>
      </c>
      <c r="AM35" s="304">
        <v>9.8428956248806973E-2</v>
      </c>
      <c r="AN35" s="304">
        <v>0.11250067901082704</v>
      </c>
    </row>
    <row r="36" spans="1:40" x14ac:dyDescent="0.2">
      <c r="A36" s="13" t="str">
        <f t="shared" si="63"/>
        <v>Administrative and secretarial occupations</v>
      </c>
      <c r="B36" s="304">
        <f t="shared" si="66"/>
        <v>4.2811982911627124</v>
      </c>
      <c r="C36" s="304">
        <f t="shared" si="64"/>
        <v>3.7371573233030975</v>
      </c>
      <c r="D36" s="304">
        <f t="shared" si="65"/>
        <v>3.1065270545451904</v>
      </c>
      <c r="E36" s="304"/>
      <c r="F36" s="304">
        <v>1.594091569375785E-2</v>
      </c>
      <c r="G36" s="304">
        <v>1.5776529591327901E-2</v>
      </c>
      <c r="H36" s="304">
        <v>1.6801243693588954E-2</v>
      </c>
      <c r="I36" s="304"/>
      <c r="J36" s="304">
        <v>0.21226055483559411</v>
      </c>
      <c r="K36" s="304">
        <v>0.22265132088476566</v>
      </c>
      <c r="L36" s="304">
        <v>0.25968331774677694</v>
      </c>
      <c r="M36" s="304"/>
      <c r="N36" s="304">
        <v>0.77151571367672789</v>
      </c>
      <c r="O36" s="304">
        <v>0.7614648147163583</v>
      </c>
      <c r="P36" s="304">
        <v>0.79554681817971751</v>
      </c>
      <c r="Q36" s="306"/>
      <c r="R36" s="304">
        <v>0.28243305926072232</v>
      </c>
      <c r="S36" s="304">
        <v>0.28207890961408139</v>
      </c>
      <c r="T36" s="304">
        <v>0.30514398344996368</v>
      </c>
      <c r="U36" s="306"/>
      <c r="V36" s="304">
        <v>0.33489556643921592</v>
      </c>
      <c r="W36" s="304">
        <v>0.31700969634180365</v>
      </c>
      <c r="X36" s="304">
        <v>0.32349179672574274</v>
      </c>
      <c r="Y36" s="306"/>
      <c r="Z36" s="304">
        <v>0.97188665833409904</v>
      </c>
      <c r="AA36" s="304">
        <v>0.85134293756362789</v>
      </c>
      <c r="AB36" s="304">
        <v>0.71787325672154245</v>
      </c>
      <c r="AC36" s="306"/>
      <c r="AD36" s="304">
        <v>1.1368258483345759</v>
      </c>
      <c r="AE36" s="304">
        <v>0.92385813274901807</v>
      </c>
      <c r="AF36" s="304">
        <v>0.60464308218878859</v>
      </c>
      <c r="AG36" s="306"/>
      <c r="AH36" s="304">
        <v>0.4633794897613201</v>
      </c>
      <c r="AI36" s="304">
        <v>0.27862604820276698</v>
      </c>
      <c r="AJ36" s="304">
        <v>3.9129294492167087E-2</v>
      </c>
      <c r="AK36" s="306"/>
      <c r="AL36" s="304">
        <v>9.2060484826699457E-2</v>
      </c>
      <c r="AM36" s="304">
        <v>8.4348933639347298E-2</v>
      </c>
      <c r="AN36" s="304">
        <v>4.4214261346902782E-2</v>
      </c>
    </row>
    <row r="37" spans="1:40" x14ac:dyDescent="0.2">
      <c r="A37" s="13" t="str">
        <f t="shared" si="63"/>
        <v>Skilled trades occupations</v>
      </c>
      <c r="B37" s="304">
        <f t="shared" si="66"/>
        <v>7.6051105233110592</v>
      </c>
      <c r="C37" s="304">
        <f t="shared" si="64"/>
        <v>7.2078976019946044</v>
      </c>
      <c r="D37" s="304">
        <f t="shared" si="65"/>
        <v>5.8258248774323604</v>
      </c>
      <c r="E37" s="304"/>
      <c r="F37" s="304">
        <v>1.3183090022200378E-2</v>
      </c>
      <c r="G37" s="304">
        <v>1.5590280156577294E-2</v>
      </c>
      <c r="H37" s="304">
        <v>2.026736786530672E-2</v>
      </c>
      <c r="I37" s="304"/>
      <c r="J37" s="304">
        <v>0.22975581261926561</v>
      </c>
      <c r="K37" s="304">
        <v>0.30319392562617536</v>
      </c>
      <c r="L37" s="304">
        <v>0.43168139974949155</v>
      </c>
      <c r="M37" s="304"/>
      <c r="N37" s="304">
        <v>0.49408584233544778</v>
      </c>
      <c r="O37" s="304">
        <v>0.56784458672485971</v>
      </c>
      <c r="P37" s="304">
        <v>0.67808763988283116</v>
      </c>
      <c r="Q37" s="306"/>
      <c r="R37" s="304">
        <v>0.21438963060552646</v>
      </c>
      <c r="S37" s="304">
        <v>0.23261056597686888</v>
      </c>
      <c r="T37" s="304">
        <v>0.23615791553689819</v>
      </c>
      <c r="U37" s="306"/>
      <c r="V37" s="304">
        <v>0.65411871041260816</v>
      </c>
      <c r="W37" s="304">
        <v>0.62286794978878446</v>
      </c>
      <c r="X37" s="304">
        <v>0.57618699792442662</v>
      </c>
      <c r="Y37" s="306"/>
      <c r="Z37" s="304">
        <v>2.8577755797179822</v>
      </c>
      <c r="AA37" s="304">
        <v>2.6679934169755648</v>
      </c>
      <c r="AB37" s="304">
        <v>2.199203195574595</v>
      </c>
      <c r="AC37" s="306"/>
      <c r="AD37" s="304">
        <v>1.7246467927617546</v>
      </c>
      <c r="AE37" s="304">
        <v>1.5689968121531723</v>
      </c>
      <c r="AF37" s="304">
        <v>0.97902907347137602</v>
      </c>
      <c r="AG37" s="306"/>
      <c r="AH37" s="304">
        <v>1.054826141155033</v>
      </c>
      <c r="AI37" s="304">
        <v>0.95712755151733153</v>
      </c>
      <c r="AJ37" s="304">
        <v>0.51696889850495154</v>
      </c>
      <c r="AK37" s="306"/>
      <c r="AL37" s="304">
        <v>0.36232892368124098</v>
      </c>
      <c r="AM37" s="304">
        <v>0.27167251307526963</v>
      </c>
      <c r="AN37" s="304">
        <v>0.18824238892248371</v>
      </c>
    </row>
    <row r="38" spans="1:40" x14ac:dyDescent="0.2">
      <c r="A38" s="13" t="str">
        <f t="shared" si="63"/>
        <v>Caring, leisure and other service occupations</v>
      </c>
      <c r="B38" s="304">
        <f t="shared" si="66"/>
        <v>0.77965581175590604</v>
      </c>
      <c r="C38" s="304">
        <f t="shared" si="64"/>
        <v>0.81960886759245366</v>
      </c>
      <c r="D38" s="304">
        <f t="shared" si="65"/>
        <v>0.80102170299500786</v>
      </c>
      <c r="E38" s="304"/>
      <c r="F38" s="304">
        <v>1.9712745318879177E-2</v>
      </c>
      <c r="G38" s="304">
        <v>2.1484183285688085E-2</v>
      </c>
      <c r="H38" s="304">
        <v>2.3774141764101257E-2</v>
      </c>
      <c r="I38" s="304"/>
      <c r="J38" s="304">
        <v>1.6936889300312698E-2</v>
      </c>
      <c r="K38" s="304">
        <v>1.8583653034803915E-2</v>
      </c>
      <c r="L38" s="304">
        <v>1.9389649980696443E-2</v>
      </c>
      <c r="M38" s="304"/>
      <c r="N38" s="304">
        <v>8.9873421143360582E-2</v>
      </c>
      <c r="O38" s="304">
        <v>9.023056106268415E-2</v>
      </c>
      <c r="P38" s="304">
        <v>8.4693942639442521E-2</v>
      </c>
      <c r="Q38" s="306"/>
      <c r="R38" s="304">
        <v>2.2407154927284765E-2</v>
      </c>
      <c r="S38" s="304">
        <v>2.0548045333160452E-2</v>
      </c>
      <c r="T38" s="304">
        <v>1.9466157938758069E-2</v>
      </c>
      <c r="U38" s="306"/>
      <c r="V38" s="304">
        <v>6.7119546760793541E-2</v>
      </c>
      <c r="W38" s="304">
        <v>7.0347620494974825E-2</v>
      </c>
      <c r="X38" s="304">
        <v>6.6331510310825209E-2</v>
      </c>
      <c r="Y38" s="306"/>
      <c r="Z38" s="304">
        <v>0.1093628770003051</v>
      </c>
      <c r="AA38" s="304">
        <v>9.6063231931588694E-2</v>
      </c>
      <c r="AB38" s="304">
        <v>7.9309280381741898E-2</v>
      </c>
      <c r="AC38" s="306"/>
      <c r="AD38" s="304">
        <v>0.13329892908721483</v>
      </c>
      <c r="AE38" s="304">
        <v>0.12533202942172633</v>
      </c>
      <c r="AF38" s="304">
        <v>9.6914533754666229E-2</v>
      </c>
      <c r="AG38" s="306"/>
      <c r="AH38" s="304">
        <v>0.27129960103905282</v>
      </c>
      <c r="AI38" s="304">
        <v>0.30621284190970954</v>
      </c>
      <c r="AJ38" s="304">
        <v>0.30320686251774603</v>
      </c>
      <c r="AK38" s="306"/>
      <c r="AL38" s="304">
        <v>4.9644647178702546E-2</v>
      </c>
      <c r="AM38" s="304">
        <v>7.0806701118117613E-2</v>
      </c>
      <c r="AN38" s="304">
        <v>0.10793562370703015</v>
      </c>
    </row>
    <row r="39" spans="1:40" x14ac:dyDescent="0.2">
      <c r="A39" s="13" t="str">
        <f t="shared" si="63"/>
        <v>Sales and customer service occupations</v>
      </c>
      <c r="B39" s="304">
        <f t="shared" si="66"/>
        <v>1.6702002467557728</v>
      </c>
      <c r="C39" s="304">
        <f t="shared" si="64"/>
        <v>1.68571549806419</v>
      </c>
      <c r="D39" s="304">
        <f t="shared" si="65"/>
        <v>1.6124167492097132</v>
      </c>
      <c r="E39" s="304"/>
      <c r="F39" s="304">
        <v>1.2215111744034323E-2</v>
      </c>
      <c r="G39" s="304">
        <v>1.2217372411183347E-2</v>
      </c>
      <c r="H39" s="304">
        <v>1.1493241293665832E-2</v>
      </c>
      <c r="I39" s="304"/>
      <c r="J39" s="304">
        <v>0.12153667557613523</v>
      </c>
      <c r="K39" s="304">
        <v>0.13515727755976883</v>
      </c>
      <c r="L39" s="304">
        <v>0.15807481706274926</v>
      </c>
      <c r="M39" s="304"/>
      <c r="N39" s="304">
        <v>0.33831671595607271</v>
      </c>
      <c r="O39" s="304">
        <v>0.35962735501222287</v>
      </c>
      <c r="P39" s="304">
        <v>0.36275238300136498</v>
      </c>
      <c r="Q39" s="306"/>
      <c r="R39" s="304">
        <v>0.10667970363553342</v>
      </c>
      <c r="S39" s="304">
        <v>0.11695809825337991</v>
      </c>
      <c r="T39" s="304">
        <v>0.11944594947338004</v>
      </c>
      <c r="U39" s="306"/>
      <c r="V39" s="304">
        <v>0.12098304600064363</v>
      </c>
      <c r="W39" s="304">
        <v>0.13339324151226839</v>
      </c>
      <c r="X39" s="304">
        <v>0.13526599377482176</v>
      </c>
      <c r="Y39" s="306"/>
      <c r="Z39" s="304">
        <v>0.37825339717038375</v>
      </c>
      <c r="AA39" s="304">
        <v>0.35900664581555003</v>
      </c>
      <c r="AB39" s="304">
        <v>0.33621895819075492</v>
      </c>
      <c r="AC39" s="306"/>
      <c r="AD39" s="304">
        <v>0.30498339434986155</v>
      </c>
      <c r="AE39" s="304">
        <v>0.29588264918369517</v>
      </c>
      <c r="AF39" s="304">
        <v>0.26585232034170286</v>
      </c>
      <c r="AG39" s="306"/>
      <c r="AH39" s="304">
        <v>0.18411889011142643</v>
      </c>
      <c r="AI39" s="304">
        <v>0.14351505834269795</v>
      </c>
      <c r="AJ39" s="304">
        <v>5.4123466642836182E-2</v>
      </c>
      <c r="AK39" s="306"/>
      <c r="AL39" s="304">
        <v>0.10311331221168184</v>
      </c>
      <c r="AM39" s="304">
        <v>0.12995779997342349</v>
      </c>
      <c r="AN39" s="304">
        <v>0.16918961942843755</v>
      </c>
    </row>
    <row r="40" spans="1:40" x14ac:dyDescent="0.2">
      <c r="A40" s="13" t="str">
        <f t="shared" si="63"/>
        <v>Process, plant and machine operatives</v>
      </c>
      <c r="B40" s="304">
        <f t="shared" si="66"/>
        <v>4.666899077879294</v>
      </c>
      <c r="C40" s="304">
        <f t="shared" si="64"/>
        <v>5.0892209005830793</v>
      </c>
      <c r="D40" s="304">
        <f t="shared" si="65"/>
        <v>4.4290469583261158</v>
      </c>
      <c r="E40" s="304"/>
      <c r="F40" s="304">
        <v>1.9106672400827768E-3</v>
      </c>
      <c r="G40" s="304">
        <v>2.12185438871935E-3</v>
      </c>
      <c r="H40" s="304">
        <v>2.1507331612229037E-3</v>
      </c>
      <c r="I40" s="304"/>
      <c r="J40" s="304">
        <v>6.7032333997659219E-2</v>
      </c>
      <c r="K40" s="304">
        <v>0.10524356482634038</v>
      </c>
      <c r="L40" s="304">
        <v>0.15121088534666363</v>
      </c>
      <c r="M40" s="304"/>
      <c r="N40" s="304">
        <v>0.17556775809622427</v>
      </c>
      <c r="O40" s="304">
        <v>0.2264235565504196</v>
      </c>
      <c r="P40" s="304">
        <v>0.28191011705349778</v>
      </c>
      <c r="Q40" s="306"/>
      <c r="R40" s="305">
        <v>0.10727637055155272</v>
      </c>
      <c r="S40" s="305">
        <v>0.13063635809447527</v>
      </c>
      <c r="T40" s="305">
        <v>0.14730609720691529</v>
      </c>
      <c r="U40" s="306"/>
      <c r="V40" s="305">
        <v>0.20268536434414897</v>
      </c>
      <c r="W40" s="305">
        <v>0.26126083920758525</v>
      </c>
      <c r="X40" s="305">
        <v>0.29593652026873818</v>
      </c>
      <c r="Y40" s="306"/>
      <c r="Z40" s="305">
        <v>1.1950536871844413</v>
      </c>
      <c r="AA40" s="305">
        <v>1.4424406339799107</v>
      </c>
      <c r="AB40" s="305">
        <v>1.487079971476718</v>
      </c>
      <c r="AC40" s="306"/>
      <c r="AD40" s="305">
        <v>1.4715435776204548</v>
      </c>
      <c r="AE40" s="305">
        <v>1.7051643560010379</v>
      </c>
      <c r="AF40" s="305">
        <v>1.4972057130869902</v>
      </c>
      <c r="AG40" s="306"/>
      <c r="AH40" s="305">
        <v>1.0368252027071247</v>
      </c>
      <c r="AI40" s="305">
        <v>0.98657800726966183</v>
      </c>
      <c r="AJ40" s="305">
        <v>0.3829024440684074</v>
      </c>
      <c r="AK40" s="306"/>
      <c r="AL40" s="305">
        <v>0.40900411613760507</v>
      </c>
      <c r="AM40" s="305">
        <v>0.22935173026492914</v>
      </c>
      <c r="AN40" s="305">
        <v>0.18334447665696246</v>
      </c>
    </row>
    <row r="41" spans="1:40" x14ac:dyDescent="0.2">
      <c r="A41" s="39" t="str">
        <f t="shared" si="63"/>
        <v>Elementary occupations</v>
      </c>
      <c r="B41" s="307">
        <f t="shared" si="66"/>
        <v>2.3687320520194852</v>
      </c>
      <c r="C41" s="307">
        <f t="shared" si="64"/>
        <v>2.049211238190713</v>
      </c>
      <c r="D41" s="307">
        <f>SUM(H41,L41,P41,T41,X41,AB41,AF41,AJ41,AN41)</f>
        <v>1.7033394969946749</v>
      </c>
      <c r="E41" s="307"/>
      <c r="F41" s="307">
        <v>8.593676928699643E-3</v>
      </c>
      <c r="G41" s="307">
        <v>9.6763836410673331E-3</v>
      </c>
      <c r="H41" s="307">
        <v>1.0944741360721561E-2</v>
      </c>
      <c r="I41" s="307"/>
      <c r="J41" s="307">
        <v>4.0423359234708668E-2</v>
      </c>
      <c r="K41" s="307">
        <v>4.4054559078779906E-2</v>
      </c>
      <c r="L41" s="307">
        <v>5.1803486898800127E-2</v>
      </c>
      <c r="M41" s="307"/>
      <c r="N41" s="307">
        <v>0.12479653577687205</v>
      </c>
      <c r="O41" s="307">
        <v>0.12454968962387115</v>
      </c>
      <c r="P41" s="307">
        <v>0.13846094320742311</v>
      </c>
      <c r="Q41" s="308"/>
      <c r="R41" s="307">
        <v>7.2221510795769273E-2</v>
      </c>
      <c r="S41" s="307">
        <v>6.7867249944679367E-2</v>
      </c>
      <c r="T41" s="307">
        <v>7.9205780760605513E-2</v>
      </c>
      <c r="U41" s="308"/>
      <c r="V41" s="307">
        <v>6.2731708925803931E-2</v>
      </c>
      <c r="W41" s="307">
        <v>6.163480511242516E-2</v>
      </c>
      <c r="X41" s="307">
        <v>6.498371309858314E-2</v>
      </c>
      <c r="Y41" s="308"/>
      <c r="Z41" s="307">
        <v>0.37647599222345823</v>
      </c>
      <c r="AA41" s="307">
        <v>0.31913090237242159</v>
      </c>
      <c r="AB41" s="307">
        <v>0.2895531175460806</v>
      </c>
      <c r="AC41" s="308"/>
      <c r="AD41" s="307">
        <v>0.59866657366380738</v>
      </c>
      <c r="AE41" s="307">
        <v>0.50304977073930235</v>
      </c>
      <c r="AF41" s="307">
        <v>0.38687230167882769</v>
      </c>
      <c r="AG41" s="308"/>
      <c r="AH41" s="307">
        <v>0.8029558736200243</v>
      </c>
      <c r="AI41" s="307">
        <v>0.71754462840139877</v>
      </c>
      <c r="AJ41" s="307">
        <v>0.54537289721050108</v>
      </c>
      <c r="AK41" s="308"/>
      <c r="AL41" s="307">
        <v>0.28186682085034198</v>
      </c>
      <c r="AM41" s="307">
        <v>0.20170324927676758</v>
      </c>
      <c r="AN41" s="307">
        <v>0.13614251523313209</v>
      </c>
    </row>
    <row r="42" spans="1:40" x14ac:dyDescent="0.2">
      <c r="B42" s="32"/>
      <c r="C42" s="32"/>
      <c r="D42" s="32"/>
    </row>
    <row r="43" spans="1:40" ht="15.75" x14ac:dyDescent="0.25">
      <c r="A43" s="19" t="str">
        <f>CONCATENATE(A1," (Continued)")</f>
        <v>Basic Table 1  Employment by Industry Sector, Occupation Group and Qualification, 2020-2035, Enterprise M3 (Continued)</v>
      </c>
    </row>
    <row r="44" spans="1:40" ht="12.75" customHeight="1" x14ac:dyDescent="0.25">
      <c r="A44" s="19"/>
    </row>
    <row r="45" spans="1:40" ht="12.75" customHeight="1" x14ac:dyDescent="0.25">
      <c r="A45" s="19"/>
    </row>
    <row r="46" spans="1:40" ht="26.25" customHeight="1" x14ac:dyDescent="0.2">
      <c r="A46" s="78"/>
      <c r="B46" s="78"/>
      <c r="C46" s="79" t="str">
        <f>B4</f>
        <v>All qualifications</v>
      </c>
      <c r="D46" s="78"/>
      <c r="E46" s="78"/>
      <c r="F46" s="78"/>
      <c r="G46" s="79" t="str">
        <f>F4</f>
        <v>RQF8 Doctorate</v>
      </c>
      <c r="H46" s="78"/>
      <c r="I46" s="78"/>
      <c r="J46" s="78"/>
      <c r="K46" s="79" t="str">
        <f>J4</f>
        <v>RQF7 Other higher degree</v>
      </c>
      <c r="L46" s="78"/>
      <c r="M46" s="78"/>
      <c r="N46" s="382" t="str">
        <f>N4</f>
        <v>RQF6 First degree</v>
      </c>
      <c r="O46" s="382"/>
      <c r="P46" s="382"/>
      <c r="Q46" s="78"/>
      <c r="R46" s="382" t="str">
        <f>R4</f>
        <v>RQF5 Foundation degree;Nursing;Teaching</v>
      </c>
      <c r="S46" s="382"/>
      <c r="T46" s="382"/>
      <c r="U46" s="78"/>
      <c r="V46" s="382" t="str">
        <f>V4</f>
        <v>RQF4 HE below degree level</v>
      </c>
      <c r="W46" s="382"/>
      <c r="X46" s="382"/>
      <c r="Y46" s="78"/>
      <c r="Z46" s="382" t="str">
        <f>Z4</f>
        <v>RQF3 A level &amp; equivalent</v>
      </c>
      <c r="AA46" s="382"/>
      <c r="AB46" s="382"/>
      <c r="AC46" s="78"/>
      <c r="AD46" s="382" t="str">
        <f>AD4</f>
        <v>RQF2 GCSE(A-C) &amp; equivalent</v>
      </c>
      <c r="AE46" s="382"/>
      <c r="AF46" s="382"/>
      <c r="AG46" s="78"/>
      <c r="AH46" s="382" t="str">
        <f>AH4</f>
        <v>RQF1 GCSE(below grade C) &amp; equivalent</v>
      </c>
      <c r="AI46" s="382"/>
      <c r="AJ46" s="382"/>
      <c r="AK46" s="78"/>
      <c r="AL46" s="382" t="str">
        <f>AL4</f>
        <v>No Qualification</v>
      </c>
      <c r="AM46" s="382"/>
      <c r="AN46" s="382"/>
    </row>
    <row r="47" spans="1:40" x14ac:dyDescent="0.2">
      <c r="A47" s="39"/>
      <c r="B47" s="42">
        <f>B5</f>
        <v>2020</v>
      </c>
      <c r="C47" s="42">
        <f>C5</f>
        <v>2025</v>
      </c>
      <c r="D47" s="42">
        <f>D5</f>
        <v>2035</v>
      </c>
      <c r="E47" s="39"/>
      <c r="F47" s="35">
        <f>B47</f>
        <v>2020</v>
      </c>
      <c r="G47" s="35">
        <f>C47</f>
        <v>2025</v>
      </c>
      <c r="H47" s="35">
        <f>D47</f>
        <v>2035</v>
      </c>
      <c r="I47" s="39"/>
      <c r="J47" s="35">
        <f>B47</f>
        <v>2020</v>
      </c>
      <c r="K47" s="35">
        <f>C47</f>
        <v>2025</v>
      </c>
      <c r="L47" s="35">
        <f>D47</f>
        <v>2035</v>
      </c>
      <c r="M47" s="39"/>
      <c r="N47" s="35">
        <f>B47</f>
        <v>2020</v>
      </c>
      <c r="O47" s="35">
        <f>C47</f>
        <v>2025</v>
      </c>
      <c r="P47" s="35">
        <f>D47</f>
        <v>2035</v>
      </c>
      <c r="Q47" s="39"/>
      <c r="R47" s="35">
        <f>F47</f>
        <v>2020</v>
      </c>
      <c r="S47" s="35">
        <f>G47</f>
        <v>2025</v>
      </c>
      <c r="T47" s="35">
        <f>H47</f>
        <v>2035</v>
      </c>
      <c r="U47" s="39"/>
      <c r="V47" s="35">
        <f>J47</f>
        <v>2020</v>
      </c>
      <c r="W47" s="35">
        <f>K47</f>
        <v>2025</v>
      </c>
      <c r="X47" s="35">
        <f>L47</f>
        <v>2035</v>
      </c>
      <c r="Y47" s="39"/>
      <c r="Z47" s="35">
        <f>N47</f>
        <v>2020</v>
      </c>
      <c r="AA47" s="35">
        <f>O47</f>
        <v>2025</v>
      </c>
      <c r="AB47" s="35">
        <f>P47</f>
        <v>2035</v>
      </c>
      <c r="AC47" s="39"/>
      <c r="AD47" s="35">
        <f>R47</f>
        <v>2020</v>
      </c>
      <c r="AE47" s="35">
        <f>S47</f>
        <v>2025</v>
      </c>
      <c r="AF47" s="35">
        <f>T47</f>
        <v>2035</v>
      </c>
      <c r="AG47" s="39"/>
      <c r="AH47" s="35">
        <f>V47</f>
        <v>2020</v>
      </c>
      <c r="AI47" s="35">
        <f>W47</f>
        <v>2025</v>
      </c>
      <c r="AJ47" s="35">
        <f>X47</f>
        <v>2035</v>
      </c>
      <c r="AK47" s="39"/>
      <c r="AL47" s="35">
        <f>Z47</f>
        <v>2020</v>
      </c>
      <c r="AM47" s="35">
        <f>AA47</f>
        <v>2025</v>
      </c>
      <c r="AN47" s="35">
        <f>AB47</f>
        <v>2035</v>
      </c>
    </row>
    <row r="48" spans="1:40" x14ac:dyDescent="0.2">
      <c r="B48" s="32"/>
      <c r="C48" s="32"/>
      <c r="D48" s="32"/>
    </row>
    <row r="49" spans="1:40" x14ac:dyDescent="0.2">
      <c r="A49" s="1" t="str">
        <f>name!C6</f>
        <v>Construction</v>
      </c>
      <c r="E49" s="77"/>
      <c r="F49" s="77"/>
      <c r="G49" s="77"/>
      <c r="H49" s="77"/>
      <c r="I49" s="77"/>
      <c r="J49" s="77"/>
      <c r="K49" s="77"/>
      <c r="L49" s="77"/>
      <c r="M49" s="77"/>
      <c r="N49" s="77"/>
      <c r="O49" s="77"/>
      <c r="P49" s="77"/>
      <c r="Q49" s="77"/>
      <c r="R49" s="77"/>
      <c r="S49" s="77"/>
      <c r="T49" s="77"/>
      <c r="U49" s="77"/>
      <c r="V49" s="77"/>
      <c r="W49" s="77"/>
      <c r="X49" s="77"/>
      <c r="Y49" s="77"/>
      <c r="Z49" s="77"/>
      <c r="AA49" s="77"/>
      <c r="AB49" s="77"/>
      <c r="AC49" s="77"/>
      <c r="AD49" s="77"/>
      <c r="AE49" s="77"/>
      <c r="AF49" s="77"/>
      <c r="AG49" s="77"/>
      <c r="AH49" s="77"/>
      <c r="AI49" s="77"/>
      <c r="AJ49" s="77"/>
      <c r="AK49" s="77"/>
      <c r="AL49" s="77"/>
      <c r="AM49" s="77"/>
      <c r="AN49" s="77"/>
    </row>
    <row r="50" spans="1:40" x14ac:dyDescent="0.2">
      <c r="A50" s="13" t="str">
        <f t="shared" ref="A50:A59" si="67">A8</f>
        <v>All occupations</v>
      </c>
      <c r="B50" s="305">
        <f>SUM(B51:B59)</f>
        <v>62.178999999999895</v>
      </c>
      <c r="C50" s="305">
        <f>SUM(C51:C59)</f>
        <v>66.668000000000177</v>
      </c>
      <c r="D50" s="305">
        <f>SUM(D51:D59)</f>
        <v>72.45499999999997</v>
      </c>
      <c r="E50" s="304"/>
      <c r="F50" s="305">
        <f>SUM(F51:F59)</f>
        <v>0.25695171715531978</v>
      </c>
      <c r="G50" s="305">
        <f>SUM(G51:G59)</f>
        <v>0.32023410884639048</v>
      </c>
      <c r="H50" s="305">
        <f>SUM(H51:H59)</f>
        <v>0.48942591468819846</v>
      </c>
      <c r="I50" s="304"/>
      <c r="J50" s="305">
        <f>SUM(J51:J59)</f>
        <v>3.9694944959768006</v>
      </c>
      <c r="K50" s="305">
        <f>SUM(K51:K59)</f>
        <v>4.9808818020841663</v>
      </c>
      <c r="L50" s="305">
        <f>SUM(L51:L59)</f>
        <v>7.3301612872883988</v>
      </c>
      <c r="M50" s="304"/>
      <c r="N50" s="305">
        <f>SUM(N51:N59)</f>
        <v>6.8122166576004579</v>
      </c>
      <c r="O50" s="305">
        <f>SUM(O51:O59)</f>
        <v>7.4505154686555715</v>
      </c>
      <c r="P50" s="305">
        <f>SUM(P51:P59)</f>
        <v>9.1137468815651914</v>
      </c>
      <c r="Q50" s="304"/>
      <c r="R50" s="305">
        <f>SUM(R51:R59)</f>
        <v>2.4135582158712601</v>
      </c>
      <c r="S50" s="305">
        <f>SUM(S51:S59)</f>
        <v>2.6037575542456919</v>
      </c>
      <c r="T50" s="305">
        <f>SUM(T51:T59)</f>
        <v>3.3268599966362333</v>
      </c>
      <c r="U50" s="304"/>
      <c r="V50" s="305">
        <f>SUM(V51:V59)</f>
        <v>5.0129876124780433</v>
      </c>
      <c r="W50" s="305">
        <f>SUM(W51:W59)</f>
        <v>5.2109517107652827</v>
      </c>
      <c r="X50" s="305">
        <f>SUM(X51:X59)</f>
        <v>6.2011611451030513</v>
      </c>
      <c r="Y50" s="304"/>
      <c r="Z50" s="305">
        <f>SUM(Z51:Z59)</f>
        <v>18.399234549374423</v>
      </c>
      <c r="AA50" s="305">
        <f>SUM(AA51:AA59)</f>
        <v>19.238960773556212</v>
      </c>
      <c r="AB50" s="305">
        <f>SUM(AB51:AB59)</f>
        <v>20.777003474777441</v>
      </c>
      <c r="AC50" s="304"/>
      <c r="AD50" s="305">
        <f>SUM(AD51:AD59)</f>
        <v>14.149490812547075</v>
      </c>
      <c r="AE50" s="305">
        <f>SUM(AE51:AE59)</f>
        <v>15.358004408538605</v>
      </c>
      <c r="AF50" s="305">
        <f>SUM(AF51:AF59)</f>
        <v>15.805122275310405</v>
      </c>
      <c r="AG50" s="304"/>
      <c r="AH50" s="305">
        <f>SUM(AH51:AH59)</f>
        <v>8.4627747021218145</v>
      </c>
      <c r="AI50" s="305">
        <f>SUM(AI51:AI59)</f>
        <v>9.1680208426518188</v>
      </c>
      <c r="AJ50" s="305">
        <f>SUM(AJ51:AJ59)</f>
        <v>7.9855949416908016</v>
      </c>
      <c r="AK50" s="304"/>
      <c r="AL50" s="305">
        <f>SUM(AL51:AL59)</f>
        <v>2.7022912368746992</v>
      </c>
      <c r="AM50" s="305">
        <f>SUM(AM51:AM59)</f>
        <v>2.3366733306564469</v>
      </c>
      <c r="AN50" s="305">
        <f>SUM(AN51:AN59)</f>
        <v>1.4259240829402564</v>
      </c>
    </row>
    <row r="51" spans="1:40" x14ac:dyDescent="0.2">
      <c r="A51" s="13" t="str">
        <f t="shared" si="67"/>
        <v>Managers, directors and senior officials</v>
      </c>
      <c r="B51" s="304">
        <f>SUM(F51,J51,N51,R51,V51,Z51,AD51,AH51,AL51)</f>
        <v>9.4481299477668799</v>
      </c>
      <c r="C51" s="304">
        <f t="shared" ref="C51:D51" si="68">SUM(G51,K51,O51,S51,W51,AA51,AE51,AI51,AM51)</f>
        <v>9.5276319965958773</v>
      </c>
      <c r="D51" s="304">
        <f t="shared" si="68"/>
        <v>11.269294336008837</v>
      </c>
      <c r="E51" s="304"/>
      <c r="F51" s="304">
        <v>5.6052470724912602E-2</v>
      </c>
      <c r="G51" s="304">
        <v>7.1782405835152052E-2</v>
      </c>
      <c r="H51" s="304">
        <v>0.11239207662636738</v>
      </c>
      <c r="I51" s="304"/>
      <c r="J51" s="304">
        <v>1.1199296480606076</v>
      </c>
      <c r="K51" s="304">
        <v>1.3419571532861736</v>
      </c>
      <c r="L51" s="304">
        <v>2.051758142093584</v>
      </c>
      <c r="M51" s="304"/>
      <c r="N51" s="304">
        <v>1.7633354576790852</v>
      </c>
      <c r="O51" s="304">
        <v>1.7895871042598737</v>
      </c>
      <c r="P51" s="304">
        <v>2.1092495515596754</v>
      </c>
      <c r="Q51" s="304"/>
      <c r="R51" s="304">
        <v>0.46665081445691114</v>
      </c>
      <c r="S51" s="304">
        <v>0.42985383064624494</v>
      </c>
      <c r="T51" s="304">
        <v>0.46822057146417945</v>
      </c>
      <c r="U51" s="304"/>
      <c r="V51" s="304">
        <v>1.158249495683547</v>
      </c>
      <c r="W51" s="304">
        <v>1.1080805597103223</v>
      </c>
      <c r="X51" s="304">
        <v>1.3258317471585559</v>
      </c>
      <c r="Y51" s="304"/>
      <c r="Z51" s="304">
        <v>2.3717751389911315</v>
      </c>
      <c r="AA51" s="304">
        <v>2.2428777826921849</v>
      </c>
      <c r="AB51" s="304">
        <v>2.6952091281314403</v>
      </c>
      <c r="AC51" s="304"/>
      <c r="AD51" s="304">
        <v>1.4181927144651911</v>
      </c>
      <c r="AE51" s="304">
        <v>1.3605349124642701</v>
      </c>
      <c r="AF51" s="304">
        <v>1.3706779148475594</v>
      </c>
      <c r="AG51" s="304"/>
      <c r="AH51" s="304">
        <v>0.80700442010375584</v>
      </c>
      <c r="AI51" s="304">
        <v>0.80805578073081596</v>
      </c>
      <c r="AJ51" s="304">
        <v>0.67724515297701027</v>
      </c>
      <c r="AK51" s="304"/>
      <c r="AL51" s="304">
        <v>0.28693978760173866</v>
      </c>
      <c r="AM51" s="304">
        <v>0.37490246697083951</v>
      </c>
      <c r="AN51" s="304">
        <v>0.45871005115046454</v>
      </c>
    </row>
    <row r="52" spans="1:40" x14ac:dyDescent="0.2">
      <c r="A52" s="13" t="str">
        <f t="shared" si="67"/>
        <v>Professional occupations</v>
      </c>
      <c r="B52" s="304">
        <f t="shared" ref="B52:B59" si="69">SUM(F52,J52,N52,R52,V52,Z52,AD52,AH52,AL52)</f>
        <v>8.8030756570962136</v>
      </c>
      <c r="C52" s="304">
        <f t="shared" ref="C52:C59" si="70">SUM(G52,K52,O52,S52,W52,AA52,AE52,AI52,AM52)</f>
        <v>9.8725890627553703</v>
      </c>
      <c r="D52" s="304">
        <f t="shared" ref="D52:D59" si="71">SUM(H52,L52,P52,T52,X52,AB52,AF52,AJ52,AN52)</f>
        <v>11.958218536119611</v>
      </c>
      <c r="E52" s="304"/>
      <c r="F52" s="304">
        <v>0.1032487610612364</v>
      </c>
      <c r="G52" s="304">
        <v>0.11919248532581611</v>
      </c>
      <c r="H52" s="304">
        <v>0.16088450545225666</v>
      </c>
      <c r="I52" s="304"/>
      <c r="J52" s="304">
        <v>1.5997701093311099</v>
      </c>
      <c r="K52" s="304">
        <v>2.0815137437477169</v>
      </c>
      <c r="L52" s="304">
        <v>3.0416027799150105</v>
      </c>
      <c r="M52" s="304"/>
      <c r="N52" s="304">
        <v>2.0259600810592584</v>
      </c>
      <c r="O52" s="304">
        <v>2.115459253155652</v>
      </c>
      <c r="P52" s="304">
        <v>2.3448566887987461</v>
      </c>
      <c r="Q52" s="304"/>
      <c r="R52" s="304">
        <v>0.27612345732155236</v>
      </c>
      <c r="S52" s="304">
        <v>0.24760486549694963</v>
      </c>
      <c r="T52" s="304">
        <v>0.30819202208529356</v>
      </c>
      <c r="U52" s="304"/>
      <c r="V52" s="304">
        <v>0.79101275250893721</v>
      </c>
      <c r="W52" s="304">
        <v>0.67820254210775766</v>
      </c>
      <c r="X52" s="304">
        <v>0.5149891430995478</v>
      </c>
      <c r="Y52" s="304"/>
      <c r="Z52" s="304">
        <v>2.2230159984092777</v>
      </c>
      <c r="AA52" s="304">
        <v>2.5793807628882375</v>
      </c>
      <c r="AB52" s="304">
        <v>3.4307606923376475</v>
      </c>
      <c r="AC52" s="304"/>
      <c r="AD52" s="304">
        <v>1.1707677062171435</v>
      </c>
      <c r="AE52" s="304">
        <v>1.3192907024649816</v>
      </c>
      <c r="AF52" s="304">
        <v>1.4549536327512897</v>
      </c>
      <c r="AG52" s="304"/>
      <c r="AH52" s="304">
        <v>0.45736782011778243</v>
      </c>
      <c r="AI52" s="304">
        <v>0.52749378536046376</v>
      </c>
      <c r="AJ52" s="304">
        <v>0.47730619912279737</v>
      </c>
      <c r="AK52" s="304"/>
      <c r="AL52" s="304">
        <v>0.15580897106991404</v>
      </c>
      <c r="AM52" s="304">
        <v>0.20445092220779595</v>
      </c>
      <c r="AN52" s="304">
        <v>0.22467287255702267</v>
      </c>
    </row>
    <row r="53" spans="1:40" x14ac:dyDescent="0.2">
      <c r="A53" s="13" t="str">
        <f t="shared" si="67"/>
        <v>Associate professional occupations</v>
      </c>
      <c r="B53" s="304">
        <f t="shared" si="69"/>
        <v>4.8613924612867869</v>
      </c>
      <c r="C53" s="304">
        <f t="shared" si="70"/>
        <v>4.8132658270411559</v>
      </c>
      <c r="D53" s="304">
        <f t="shared" si="71"/>
        <v>5.5573763332337647</v>
      </c>
      <c r="E53" s="304"/>
      <c r="F53" s="304">
        <v>1.5158333916361694E-2</v>
      </c>
      <c r="G53" s="304">
        <v>1.7330117516745475E-2</v>
      </c>
      <c r="H53" s="304">
        <v>2.7581540384721506E-2</v>
      </c>
      <c r="I53" s="304"/>
      <c r="J53" s="304">
        <v>0.49112261214724484</v>
      </c>
      <c r="K53" s="304">
        <v>0.56189130127049725</v>
      </c>
      <c r="L53" s="304">
        <v>0.81648014835865212</v>
      </c>
      <c r="M53" s="304"/>
      <c r="N53" s="304">
        <v>0.84859347705514443</v>
      </c>
      <c r="O53" s="304">
        <v>0.84708317513952491</v>
      </c>
      <c r="P53" s="304">
        <v>0.98867188679634888</v>
      </c>
      <c r="Q53" s="304"/>
      <c r="R53" s="304">
        <v>0.40109086866499716</v>
      </c>
      <c r="S53" s="304">
        <v>0.43668658538656857</v>
      </c>
      <c r="T53" s="304">
        <v>0.56136892138665095</v>
      </c>
      <c r="U53" s="304"/>
      <c r="V53" s="304">
        <v>0.7107135483532051</v>
      </c>
      <c r="W53" s="304">
        <v>0.64492329440850338</v>
      </c>
      <c r="X53" s="304">
        <v>0.72994154967874847</v>
      </c>
      <c r="Y53" s="304"/>
      <c r="Z53" s="304">
        <v>0.95868144261240262</v>
      </c>
      <c r="AA53" s="304">
        <v>0.81885107434167059</v>
      </c>
      <c r="AB53" s="304">
        <v>0.83001104895516564</v>
      </c>
      <c r="AC53" s="304"/>
      <c r="AD53" s="304">
        <v>0.809253944644302</v>
      </c>
      <c r="AE53" s="304">
        <v>0.81928223905553887</v>
      </c>
      <c r="AF53" s="304">
        <v>0.89359010340691314</v>
      </c>
      <c r="AG53" s="304"/>
      <c r="AH53" s="304">
        <v>0.53607387211508795</v>
      </c>
      <c r="AI53" s="304">
        <v>0.5810796680806809</v>
      </c>
      <c r="AJ53" s="304">
        <v>0.55278198069189899</v>
      </c>
      <c r="AK53" s="304"/>
      <c r="AL53" s="304">
        <v>9.0704361778040629E-2</v>
      </c>
      <c r="AM53" s="304">
        <v>8.6138371841426115E-2</v>
      </c>
      <c r="AN53" s="304">
        <v>0.15694915357466513</v>
      </c>
    </row>
    <row r="54" spans="1:40" x14ac:dyDescent="0.2">
      <c r="A54" s="13" t="str">
        <f t="shared" si="67"/>
        <v>Administrative and secretarial occupations</v>
      </c>
      <c r="B54" s="304">
        <f t="shared" si="69"/>
        <v>5.5980528065511761</v>
      </c>
      <c r="C54" s="304">
        <f t="shared" si="70"/>
        <v>5.6544750629045195</v>
      </c>
      <c r="D54" s="304">
        <f t="shared" si="71"/>
        <v>5.5229841328992944</v>
      </c>
      <c r="E54" s="304"/>
      <c r="F54" s="304">
        <v>5.6812760365523324E-2</v>
      </c>
      <c r="G54" s="304">
        <v>7.4377414720481996E-2</v>
      </c>
      <c r="H54" s="304">
        <v>0.13021203104440437</v>
      </c>
      <c r="I54" s="304"/>
      <c r="J54" s="304">
        <v>0.30004835957106063</v>
      </c>
      <c r="K54" s="304">
        <v>0.40508460928262302</v>
      </c>
      <c r="L54" s="304">
        <v>0.54127417800543864</v>
      </c>
      <c r="M54" s="304"/>
      <c r="N54" s="304">
        <v>0.91804155841208945</v>
      </c>
      <c r="O54" s="304">
        <v>1.1423815797797743</v>
      </c>
      <c r="P54" s="304">
        <v>1.6532222615603354</v>
      </c>
      <c r="Q54" s="304"/>
      <c r="R54" s="304">
        <v>0.54654048713708425</v>
      </c>
      <c r="S54" s="304">
        <v>0.61208412344781749</v>
      </c>
      <c r="T54" s="304">
        <v>0.83635263265079562</v>
      </c>
      <c r="U54" s="304"/>
      <c r="V54" s="304">
        <v>0.39363411151649175</v>
      </c>
      <c r="W54" s="304">
        <v>0.46274652046766612</v>
      </c>
      <c r="X54" s="304">
        <v>0.67025748993684331</v>
      </c>
      <c r="Y54" s="304"/>
      <c r="Z54" s="304">
        <v>1.0093553920847429</v>
      </c>
      <c r="AA54" s="304">
        <v>0.88342070685971752</v>
      </c>
      <c r="AB54" s="304">
        <v>0.44366561291155515</v>
      </c>
      <c r="AC54" s="304"/>
      <c r="AD54" s="304">
        <v>0.88048442744421251</v>
      </c>
      <c r="AE54" s="304">
        <v>0.72541698671494648</v>
      </c>
      <c r="AF54" s="304">
        <v>0.33829872993304388</v>
      </c>
      <c r="AG54" s="304"/>
      <c r="AH54" s="304">
        <v>1.2488849931581432</v>
      </c>
      <c r="AI54" s="304">
        <v>1.3165178028722795</v>
      </c>
      <c r="AJ54" s="304">
        <v>0.9026827327670055</v>
      </c>
      <c r="AK54" s="304"/>
      <c r="AL54" s="304">
        <v>0.24425071686182864</v>
      </c>
      <c r="AM54" s="304">
        <v>3.2445318759212645E-2</v>
      </c>
      <c r="AN54" s="304">
        <v>7.0184640898719834E-3</v>
      </c>
    </row>
    <row r="55" spans="1:40" x14ac:dyDescent="0.2">
      <c r="A55" s="13" t="str">
        <f t="shared" si="67"/>
        <v>Skilled trades occupations</v>
      </c>
      <c r="B55" s="304">
        <f t="shared" si="69"/>
        <v>24.154127269511822</v>
      </c>
      <c r="C55" s="304">
        <f t="shared" si="70"/>
        <v>26.195166039616105</v>
      </c>
      <c r="D55" s="304">
        <f t="shared" si="71"/>
        <v>26.608816162377888</v>
      </c>
      <c r="E55" s="304"/>
      <c r="F55" s="304">
        <v>4.8756967980754309E-3</v>
      </c>
      <c r="G55" s="304">
        <v>5.7029552160698582E-3</v>
      </c>
      <c r="H55" s="304">
        <v>7.4481240238984739E-3</v>
      </c>
      <c r="I55" s="304"/>
      <c r="J55" s="304">
        <v>0.263566987271103</v>
      </c>
      <c r="K55" s="304">
        <v>0.33761434182960925</v>
      </c>
      <c r="L55" s="304">
        <v>0.50171864719924852</v>
      </c>
      <c r="M55" s="304"/>
      <c r="N55" s="304">
        <v>0.86297853370904321</v>
      </c>
      <c r="O55" s="304">
        <v>1.0744916358603536</v>
      </c>
      <c r="P55" s="304">
        <v>1.3963233812405125</v>
      </c>
      <c r="Q55" s="304"/>
      <c r="R55" s="304">
        <v>0.53813608382637157</v>
      </c>
      <c r="S55" s="304">
        <v>0.63671451690365399</v>
      </c>
      <c r="T55" s="304">
        <v>0.81006453407192602</v>
      </c>
      <c r="U55" s="304"/>
      <c r="V55" s="304">
        <v>1.4503611822492868</v>
      </c>
      <c r="W55" s="304">
        <v>1.6885035558790054</v>
      </c>
      <c r="X55" s="304">
        <v>2.1692137832381113</v>
      </c>
      <c r="Y55" s="304"/>
      <c r="Z55" s="304">
        <v>9.1764235412804371</v>
      </c>
      <c r="AA55" s="304">
        <v>9.4551482643491003</v>
      </c>
      <c r="AB55" s="304">
        <v>9.1176881024756344</v>
      </c>
      <c r="AC55" s="304"/>
      <c r="AD55" s="304">
        <v>7.2492644146329805</v>
      </c>
      <c r="AE55" s="304">
        <v>8.0335313335164997</v>
      </c>
      <c r="AF55" s="304">
        <v>8.3535092469988843</v>
      </c>
      <c r="AG55" s="304"/>
      <c r="AH55" s="304">
        <v>3.3418440884422198</v>
      </c>
      <c r="AI55" s="304">
        <v>3.8124281638079505</v>
      </c>
      <c r="AJ55" s="304">
        <v>3.9764614598832324</v>
      </c>
      <c r="AK55" s="304"/>
      <c r="AL55" s="304">
        <v>1.266676741302305</v>
      </c>
      <c r="AM55" s="304">
        <v>1.1510312722538589</v>
      </c>
      <c r="AN55" s="304">
        <v>0.27638888324643995</v>
      </c>
    </row>
    <row r="56" spans="1:40" x14ac:dyDescent="0.2">
      <c r="A56" s="13" t="str">
        <f t="shared" si="67"/>
        <v>Caring, leisure and other service occupations</v>
      </c>
      <c r="B56" s="304">
        <f t="shared" si="69"/>
        <v>0.2346297725188298</v>
      </c>
      <c r="C56" s="304">
        <f t="shared" si="70"/>
        <v>0.24949532202026281</v>
      </c>
      <c r="D56" s="304">
        <f t="shared" si="71"/>
        <v>0.28032791189724571</v>
      </c>
      <c r="E56" s="304"/>
      <c r="F56" s="304">
        <v>2.7500641675497396E-4</v>
      </c>
      <c r="G56" s="304">
        <v>2.3862976487862294E-4</v>
      </c>
      <c r="H56" s="304">
        <v>3.1550117158728674E-4</v>
      </c>
      <c r="I56" s="304"/>
      <c r="J56" s="304">
        <v>7.7160913925937305E-3</v>
      </c>
      <c r="K56" s="304">
        <v>9.2935111966738048E-3</v>
      </c>
      <c r="L56" s="304">
        <v>1.1527613308986251E-2</v>
      </c>
      <c r="M56" s="304"/>
      <c r="N56" s="304">
        <v>1.0814163017921491E-2</v>
      </c>
      <c r="O56" s="304">
        <v>1.1037379595083399E-2</v>
      </c>
      <c r="P56" s="304">
        <v>1.2330891629839641E-2</v>
      </c>
      <c r="Q56" s="304"/>
      <c r="R56" s="304">
        <v>1.9935581906153324E-3</v>
      </c>
      <c r="S56" s="304">
        <v>2.324394094272036E-3</v>
      </c>
      <c r="T56" s="304">
        <v>2.7937519297376195E-3</v>
      </c>
      <c r="U56" s="304"/>
      <c r="V56" s="304">
        <v>7.6686514121711742E-3</v>
      </c>
      <c r="W56" s="304">
        <v>7.8400781147764543E-3</v>
      </c>
      <c r="X56" s="304">
        <v>9.1633911122957334E-3</v>
      </c>
      <c r="Y56" s="304"/>
      <c r="Z56" s="304">
        <v>6.9793995881103799E-2</v>
      </c>
      <c r="AA56" s="304">
        <v>8.3256177288253963E-2</v>
      </c>
      <c r="AB56" s="304">
        <v>0.10604916740647594</v>
      </c>
      <c r="AC56" s="304"/>
      <c r="AD56" s="304">
        <v>1.4130855912200318E-2</v>
      </c>
      <c r="AE56" s="304">
        <v>1.383759325789951E-2</v>
      </c>
      <c r="AF56" s="304">
        <v>1.5639084435626872E-2</v>
      </c>
      <c r="AG56" s="304"/>
      <c r="AH56" s="304">
        <v>6.8598477866003843E-2</v>
      </c>
      <c r="AI56" s="304">
        <v>6.2804623911398863E-2</v>
      </c>
      <c r="AJ56" s="304">
        <v>6.4184245386407379E-2</v>
      </c>
      <c r="AK56" s="304"/>
      <c r="AL56" s="304">
        <v>5.3638972429465144E-2</v>
      </c>
      <c r="AM56" s="304">
        <v>5.8862934797026152E-2</v>
      </c>
      <c r="AN56" s="304">
        <v>5.8324265516288977E-2</v>
      </c>
    </row>
    <row r="57" spans="1:40" x14ac:dyDescent="0.2">
      <c r="A57" s="13" t="str">
        <f t="shared" si="67"/>
        <v>Sales and customer service occupations</v>
      </c>
      <c r="B57" s="304">
        <f t="shared" si="69"/>
        <v>1.0531791621347204</v>
      </c>
      <c r="C57" s="304">
        <f t="shared" si="70"/>
        <v>1.2363784599810625</v>
      </c>
      <c r="D57" s="304">
        <f t="shared" si="71"/>
        <v>1.3541001240053414</v>
      </c>
      <c r="E57" s="304"/>
      <c r="F57" s="304">
        <v>3.7787210385109098E-3</v>
      </c>
      <c r="G57" s="304">
        <v>5.5708707728972014E-3</v>
      </c>
      <c r="H57" s="304">
        <v>8.715589435994377E-3</v>
      </c>
      <c r="I57" s="304"/>
      <c r="J57" s="304">
        <v>7.6572818366912196E-2</v>
      </c>
      <c r="K57" s="304">
        <v>8.5514530849206585E-2</v>
      </c>
      <c r="L57" s="304">
        <v>0.1026415411559255</v>
      </c>
      <c r="M57" s="304"/>
      <c r="N57" s="304">
        <v>0.19656923817403549</v>
      </c>
      <c r="O57" s="304">
        <v>0.24448960860911445</v>
      </c>
      <c r="P57" s="304">
        <v>0.30306747906699366</v>
      </c>
      <c r="Q57" s="304"/>
      <c r="R57" s="304">
        <v>5.0655313412300298E-2</v>
      </c>
      <c r="S57" s="304">
        <v>6.5451690702745008E-2</v>
      </c>
      <c r="T57" s="304">
        <v>8.2702725817582284E-2</v>
      </c>
      <c r="U57" s="304"/>
      <c r="V57" s="304">
        <v>6.3152879848212051E-2</v>
      </c>
      <c r="W57" s="304">
        <v>7.7646733031701165E-2</v>
      </c>
      <c r="X57" s="304">
        <v>9.6319516805260449E-2</v>
      </c>
      <c r="Y57" s="304"/>
      <c r="Z57" s="304">
        <v>0.40239748105841427</v>
      </c>
      <c r="AA57" s="304">
        <v>0.45753298191389685</v>
      </c>
      <c r="AB57" s="304">
        <v>0.55182869404623824</v>
      </c>
      <c r="AC57" s="304"/>
      <c r="AD57" s="304">
        <v>6.1199650832944159E-2</v>
      </c>
      <c r="AE57" s="304">
        <v>4.8774761128281975E-2</v>
      </c>
      <c r="AF57" s="304">
        <v>3.0581005608695509E-2</v>
      </c>
      <c r="AG57" s="304"/>
      <c r="AH57" s="304">
        <v>0.10960698567517152</v>
      </c>
      <c r="AI57" s="304">
        <v>0.1291061599160982</v>
      </c>
      <c r="AJ57" s="304">
        <v>2.5590524614490347E-2</v>
      </c>
      <c r="AK57" s="304"/>
      <c r="AL57" s="304">
        <v>8.9246073728219563E-2</v>
      </c>
      <c r="AM57" s="304">
        <v>0.12229112305712135</v>
      </c>
      <c r="AN57" s="304">
        <v>0.15265304745416114</v>
      </c>
    </row>
    <row r="58" spans="1:40" x14ac:dyDescent="0.2">
      <c r="A58" s="13" t="str">
        <f t="shared" si="67"/>
        <v>Process, plant and machine operatives</v>
      </c>
      <c r="B58" s="304">
        <f t="shared" si="69"/>
        <v>4.6970536530441089</v>
      </c>
      <c r="C58" s="304">
        <f t="shared" si="70"/>
        <v>5.7657925198672855</v>
      </c>
      <c r="D58" s="304">
        <f t="shared" si="71"/>
        <v>6.241471322887973</v>
      </c>
      <c r="E58" s="304"/>
      <c r="F58" s="304">
        <v>1.6358205481649086E-2</v>
      </c>
      <c r="G58" s="304">
        <v>2.5464745139220341E-2</v>
      </c>
      <c r="H58" s="304">
        <v>4.1127642324645906E-2</v>
      </c>
      <c r="I58" s="304"/>
      <c r="J58" s="304">
        <v>6.2918521314160814E-2</v>
      </c>
      <c r="K58" s="304">
        <v>9.5539663636691197E-2</v>
      </c>
      <c r="L58" s="304">
        <v>0.16575069815285526</v>
      </c>
      <c r="M58" s="304"/>
      <c r="N58" s="304">
        <v>9.5638833180449467E-2</v>
      </c>
      <c r="O58" s="304">
        <v>0.12803700655903827</v>
      </c>
      <c r="P58" s="304">
        <v>0.1995163786544093</v>
      </c>
      <c r="Q58" s="304"/>
      <c r="R58" s="304">
        <v>0.11155704089859836</v>
      </c>
      <c r="S58" s="304">
        <v>0.1514488156087529</v>
      </c>
      <c r="T58" s="304">
        <v>0.23574947967270832</v>
      </c>
      <c r="U58" s="304"/>
      <c r="V58" s="304">
        <v>0.26130960199553555</v>
      </c>
      <c r="W58" s="304">
        <v>0.33664339665109499</v>
      </c>
      <c r="X58" s="304">
        <v>0.437538123989201</v>
      </c>
      <c r="Y58" s="304"/>
      <c r="Z58" s="304">
        <v>1.2958323209593037</v>
      </c>
      <c r="AA58" s="304">
        <v>1.6728021808185307</v>
      </c>
      <c r="AB58" s="304">
        <v>2.1353681062396848</v>
      </c>
      <c r="AC58" s="304"/>
      <c r="AD58" s="304">
        <v>1.5948801928123693</v>
      </c>
      <c r="AE58" s="304">
        <v>2.0444112228753482</v>
      </c>
      <c r="AF58" s="304">
        <v>2.2874649666552851</v>
      </c>
      <c r="AG58" s="304"/>
      <c r="AH58" s="304">
        <v>1.021689238736416</v>
      </c>
      <c r="AI58" s="304">
        <v>1.0791703103051171</v>
      </c>
      <c r="AJ58" s="304">
        <v>0.67380535718869228</v>
      </c>
      <c r="AK58" s="304"/>
      <c r="AL58" s="304">
        <v>0.2368696976656271</v>
      </c>
      <c r="AM58" s="304">
        <v>0.23227517827349195</v>
      </c>
      <c r="AN58" s="304">
        <v>6.515057001049121E-2</v>
      </c>
    </row>
    <row r="59" spans="1:40" x14ac:dyDescent="0.2">
      <c r="A59" s="13" t="str">
        <f t="shared" si="67"/>
        <v>Elementary occupations</v>
      </c>
      <c r="B59" s="304">
        <f t="shared" si="69"/>
        <v>3.3293592700893586</v>
      </c>
      <c r="C59" s="304">
        <f t="shared" si="70"/>
        <v>3.3532057092185492</v>
      </c>
      <c r="D59" s="304">
        <f t="shared" si="71"/>
        <v>3.6624111405700197</v>
      </c>
      <c r="E59" s="304"/>
      <c r="F59" s="304">
        <v>3.91761352295376E-4</v>
      </c>
      <c r="G59" s="304">
        <v>5.744845551287379E-4</v>
      </c>
      <c r="H59" s="304">
        <v>7.4890422432252594E-4</v>
      </c>
      <c r="I59" s="304"/>
      <c r="J59" s="304">
        <v>4.7849348522007305E-2</v>
      </c>
      <c r="K59" s="304">
        <v>6.2472946984974596E-2</v>
      </c>
      <c r="L59" s="304">
        <v>9.7407539098698787E-2</v>
      </c>
      <c r="M59" s="304"/>
      <c r="N59" s="304">
        <v>9.0285315313430287E-2</v>
      </c>
      <c r="O59" s="304">
        <v>9.7948725697154987E-2</v>
      </c>
      <c r="P59" s="304">
        <v>0.10650836225833037</v>
      </c>
      <c r="Q59" s="304"/>
      <c r="R59" s="304">
        <v>2.0810591962830069E-2</v>
      </c>
      <c r="S59" s="304">
        <v>2.1588731958687074E-2</v>
      </c>
      <c r="T59" s="304">
        <v>2.1415357557359661E-2</v>
      </c>
      <c r="U59" s="304"/>
      <c r="V59" s="304">
        <v>0.17688538891065683</v>
      </c>
      <c r="W59" s="304">
        <v>0.20636503039445672</v>
      </c>
      <c r="X59" s="304">
        <v>0.24790640008448775</v>
      </c>
      <c r="Y59" s="304"/>
      <c r="Z59" s="304">
        <v>0.89195923809760957</v>
      </c>
      <c r="AA59" s="304">
        <v>1.0456908424046203</v>
      </c>
      <c r="AB59" s="304">
        <v>1.4664229222735978</v>
      </c>
      <c r="AC59" s="304"/>
      <c r="AD59" s="304">
        <v>0.95131690558573545</v>
      </c>
      <c r="AE59" s="304">
        <v>0.99292465706083877</v>
      </c>
      <c r="AF59" s="304">
        <v>1.0604075906731059</v>
      </c>
      <c r="AG59" s="304"/>
      <c r="AH59" s="304">
        <v>0.87170480590723332</v>
      </c>
      <c r="AI59" s="304">
        <v>0.85136454766701319</v>
      </c>
      <c r="AJ59" s="304">
        <v>0.63553728905926621</v>
      </c>
      <c r="AK59" s="304"/>
      <c r="AL59" s="304">
        <v>0.27815591443756044</v>
      </c>
      <c r="AM59" s="304">
        <v>7.427574249567441E-2</v>
      </c>
      <c r="AN59" s="304">
        <v>2.6056775340850675E-2</v>
      </c>
    </row>
    <row r="60" spans="1:40" x14ac:dyDescent="0.2">
      <c r="B60" s="304"/>
      <c r="C60" s="304"/>
      <c r="D60" s="304"/>
      <c r="E60" s="304"/>
      <c r="F60" s="304"/>
      <c r="G60" s="304"/>
      <c r="H60" s="304"/>
      <c r="I60" s="304"/>
      <c r="J60" s="304"/>
      <c r="K60" s="304"/>
      <c r="L60" s="304"/>
      <c r="M60" s="304"/>
      <c r="N60" s="304"/>
      <c r="O60" s="304"/>
      <c r="P60" s="304"/>
      <c r="Q60" s="304"/>
      <c r="R60" s="304"/>
      <c r="S60" s="304"/>
      <c r="T60" s="304"/>
      <c r="U60" s="304"/>
      <c r="V60" s="304"/>
      <c r="W60" s="304"/>
      <c r="X60" s="304"/>
      <c r="Y60" s="304"/>
      <c r="Z60" s="304"/>
      <c r="AA60" s="304"/>
      <c r="AB60" s="304"/>
      <c r="AC60" s="304"/>
      <c r="AD60" s="304"/>
      <c r="AE60" s="304"/>
      <c r="AF60" s="304"/>
      <c r="AG60" s="304"/>
      <c r="AH60" s="304"/>
      <c r="AI60" s="304"/>
      <c r="AJ60" s="304"/>
      <c r="AK60" s="304"/>
      <c r="AL60" s="304"/>
      <c r="AM60" s="304"/>
      <c r="AN60" s="304"/>
    </row>
    <row r="61" spans="1:40" x14ac:dyDescent="0.2">
      <c r="A61" s="1" t="str">
        <f>name!C7</f>
        <v>Trade, accomod. and transport</v>
      </c>
      <c r="B61" s="306"/>
      <c r="C61" s="306"/>
      <c r="D61" s="306"/>
      <c r="E61" s="304"/>
      <c r="F61" s="304"/>
      <c r="G61" s="304"/>
      <c r="H61" s="304"/>
      <c r="I61" s="304"/>
      <c r="J61" s="304"/>
      <c r="K61" s="304"/>
      <c r="L61" s="304"/>
      <c r="M61" s="304"/>
      <c r="N61" s="304"/>
      <c r="O61" s="304"/>
      <c r="P61" s="304"/>
      <c r="Q61" s="304"/>
      <c r="R61" s="304"/>
      <c r="S61" s="304"/>
      <c r="T61" s="304"/>
      <c r="U61" s="304"/>
      <c r="V61" s="304"/>
      <c r="W61" s="304"/>
      <c r="X61" s="304"/>
      <c r="Y61" s="304"/>
      <c r="Z61" s="304"/>
      <c r="AA61" s="304"/>
      <c r="AB61" s="304"/>
      <c r="AC61" s="304"/>
      <c r="AD61" s="304"/>
      <c r="AE61" s="304"/>
      <c r="AF61" s="304"/>
      <c r="AG61" s="304"/>
      <c r="AH61" s="304"/>
      <c r="AI61" s="304"/>
      <c r="AJ61" s="304"/>
      <c r="AK61" s="304"/>
      <c r="AL61" s="304"/>
      <c r="AM61" s="304"/>
      <c r="AN61" s="304"/>
    </row>
    <row r="62" spans="1:40" x14ac:dyDescent="0.2">
      <c r="A62" s="13" t="str">
        <f t="shared" ref="A62:A71" si="72">A8</f>
        <v>All occupations</v>
      </c>
      <c r="B62" s="305">
        <f>SUM(B63:B71)</f>
        <v>223.49699999999982</v>
      </c>
      <c r="C62" s="305">
        <f>SUM(C63:C71)</f>
        <v>229.71599999999998</v>
      </c>
      <c r="D62" s="305">
        <f>SUM(D63:D71)</f>
        <v>241.38099999999986</v>
      </c>
      <c r="E62" s="304"/>
      <c r="F62" s="305">
        <f>SUM(F63:F71)</f>
        <v>0.82007393244245885</v>
      </c>
      <c r="G62" s="305">
        <f>SUM(G63:G71)</f>
        <v>1.0485831420073779</v>
      </c>
      <c r="H62" s="305">
        <f>SUM(H63:H71)</f>
        <v>1.6301052142249293</v>
      </c>
      <c r="I62" s="304"/>
      <c r="J62" s="305">
        <f>SUM(J63:J71)</f>
        <v>10.398773640552339</v>
      </c>
      <c r="K62" s="305">
        <f>SUM(K63:K71)</f>
        <v>12.779147038930713</v>
      </c>
      <c r="L62" s="305">
        <f>SUM(L63:L71)</f>
        <v>19.205334536000805</v>
      </c>
      <c r="M62" s="304"/>
      <c r="N62" s="305">
        <f>SUM(N63:N71)</f>
        <v>35.182353682485193</v>
      </c>
      <c r="O62" s="305">
        <f>SUM(O63:O71)</f>
        <v>39.885770688594256</v>
      </c>
      <c r="P62" s="305">
        <f>SUM(P63:P71)</f>
        <v>53.06596806487466</v>
      </c>
      <c r="Q62" s="304"/>
      <c r="R62" s="305">
        <f>SUM(R63:R71)</f>
        <v>10.394377385567587</v>
      </c>
      <c r="S62" s="305">
        <f>SUM(S63:S71)</f>
        <v>11.446774963770761</v>
      </c>
      <c r="T62" s="305">
        <f>SUM(T63:T71)</f>
        <v>14.967636247915069</v>
      </c>
      <c r="U62" s="304"/>
      <c r="V62" s="305">
        <f>SUM(V63:V71)</f>
        <v>11.88119982430387</v>
      </c>
      <c r="W62" s="305">
        <f>SUM(W63:W71)</f>
        <v>12.805468440298538</v>
      </c>
      <c r="X62" s="305">
        <f>SUM(X63:X71)</f>
        <v>16.306024928127073</v>
      </c>
      <c r="Y62" s="304"/>
      <c r="Z62" s="305">
        <f>SUM(Z63:Z71)</f>
        <v>54.860808643852266</v>
      </c>
      <c r="AA62" s="305">
        <f>SUM(AA63:AA71)</f>
        <v>55.13738354647154</v>
      </c>
      <c r="AB62" s="305">
        <f>SUM(AB63:AB71)</f>
        <v>59.665288666427955</v>
      </c>
      <c r="AC62" s="304"/>
      <c r="AD62" s="305">
        <f>SUM(AD63:AD71)</f>
        <v>54.249199560167376</v>
      </c>
      <c r="AE62" s="305">
        <f>SUM(AE63:AE71)</f>
        <v>54.004600737903147</v>
      </c>
      <c r="AF62" s="305">
        <f>SUM(AF63:AF71)</f>
        <v>48.331431283642907</v>
      </c>
      <c r="AG62" s="304"/>
      <c r="AH62" s="305">
        <f>SUM(AH63:AH71)</f>
        <v>34.170385449565359</v>
      </c>
      <c r="AI62" s="305">
        <f>SUM(AI63:AI71)</f>
        <v>31.949963904593485</v>
      </c>
      <c r="AJ62" s="305">
        <f>SUM(AJ63:AJ71)</f>
        <v>18.206175917169212</v>
      </c>
      <c r="AK62" s="304"/>
      <c r="AL62" s="305">
        <f>SUM(AL63:AL71)</f>
        <v>11.53982788106336</v>
      </c>
      <c r="AM62" s="305">
        <f>SUM(AM63:AM71)</f>
        <v>10.658307537430149</v>
      </c>
      <c r="AN62" s="305">
        <f>SUM(AN63:AN71)</f>
        <v>10.003035141617246</v>
      </c>
    </row>
    <row r="63" spans="1:40" x14ac:dyDescent="0.2">
      <c r="A63" s="13" t="str">
        <f t="shared" si="72"/>
        <v>Managers, directors and senior officials</v>
      </c>
      <c r="B63" s="304">
        <f>SUM(F63,J63,N63,R63,V63,Z63,AD63,AH63,AL63)</f>
        <v>30.20813017115843</v>
      </c>
      <c r="C63" s="304">
        <f t="shared" ref="C63:C71" si="73">SUM(G63,K63,O63,S63,W63,AA63,AE63,AI63,AM63)</f>
        <v>32.051149457057228</v>
      </c>
      <c r="D63" s="304">
        <f t="shared" ref="D63:D71" si="74">SUM(H63,L63,P63,T63,X63,AB63,AF63,AJ63,AN63)</f>
        <v>36.973052089102396</v>
      </c>
      <c r="E63" s="304"/>
      <c r="F63" s="304">
        <v>0.13080178545381346</v>
      </c>
      <c r="G63" s="304">
        <v>0.1697138568899747</v>
      </c>
      <c r="H63" s="304">
        <v>0.27329669146074226</v>
      </c>
      <c r="I63" s="304"/>
      <c r="J63" s="304">
        <v>2.1487259965636949</v>
      </c>
      <c r="K63" s="304">
        <v>2.5845303794524686</v>
      </c>
      <c r="L63" s="304">
        <v>3.8904307417315627</v>
      </c>
      <c r="M63" s="304"/>
      <c r="N63" s="304">
        <v>7.5187716201746477</v>
      </c>
      <c r="O63" s="304">
        <v>8.4306211462787672</v>
      </c>
      <c r="P63" s="304">
        <v>11.226682396752564</v>
      </c>
      <c r="Q63" s="304"/>
      <c r="R63" s="304">
        <v>1.5624530717509972</v>
      </c>
      <c r="S63" s="304">
        <v>1.6698982575488479</v>
      </c>
      <c r="T63" s="304">
        <v>2.2103691837139814</v>
      </c>
      <c r="U63" s="304"/>
      <c r="V63" s="304">
        <v>1.9568696452072154</v>
      </c>
      <c r="W63" s="304">
        <v>2.0025462274119237</v>
      </c>
      <c r="X63" s="304">
        <v>2.4572129751434142</v>
      </c>
      <c r="Y63" s="304"/>
      <c r="Z63" s="304">
        <v>6.1365749789360615</v>
      </c>
      <c r="AA63" s="304">
        <v>6.1255439355532477</v>
      </c>
      <c r="AB63" s="304">
        <v>7.1875196308684792</v>
      </c>
      <c r="AC63" s="304"/>
      <c r="AD63" s="304">
        <v>6.0551657094317166</v>
      </c>
      <c r="AE63" s="304">
        <v>6.1368381883802865</v>
      </c>
      <c r="AF63" s="304">
        <v>5.6055267636730948</v>
      </c>
      <c r="AG63" s="304"/>
      <c r="AH63" s="304">
        <v>4.2144973914589725</v>
      </c>
      <c r="AI63" s="304">
        <v>4.4294617312261195</v>
      </c>
      <c r="AJ63" s="304">
        <v>3.5056906043932003</v>
      </c>
      <c r="AK63" s="304"/>
      <c r="AL63" s="304">
        <v>0.48426997218130852</v>
      </c>
      <c r="AM63" s="304">
        <v>0.50199573431559574</v>
      </c>
      <c r="AN63" s="304">
        <v>0.61632310136535262</v>
      </c>
    </row>
    <row r="64" spans="1:40" x14ac:dyDescent="0.2">
      <c r="A64" s="13" t="str">
        <f t="shared" si="72"/>
        <v>Professional occupations</v>
      </c>
      <c r="B64" s="304">
        <f t="shared" ref="B64:B71" si="75">SUM(F64,J64,N64,R64,V64,Z64,AD64,AH64,AL64)</f>
        <v>19.452982133554173</v>
      </c>
      <c r="C64" s="304">
        <f t="shared" si="73"/>
        <v>21.731330675489193</v>
      </c>
      <c r="D64" s="304">
        <f t="shared" si="74"/>
        <v>25.158773477500546</v>
      </c>
      <c r="E64" s="304"/>
      <c r="F64" s="304">
        <v>0.35406580166037521</v>
      </c>
      <c r="G64" s="304">
        <v>0.46496220859577103</v>
      </c>
      <c r="H64" s="304">
        <v>0.7283613495419714</v>
      </c>
      <c r="I64" s="304"/>
      <c r="J64" s="304">
        <v>2.3239172310617411</v>
      </c>
      <c r="K64" s="304">
        <v>2.9430126935165934</v>
      </c>
      <c r="L64" s="304">
        <v>4.2487275689753821</v>
      </c>
      <c r="M64" s="304"/>
      <c r="N64" s="304">
        <v>5.4723207071418578</v>
      </c>
      <c r="O64" s="304">
        <v>6.3018826673237296</v>
      </c>
      <c r="P64" s="304">
        <v>8.0139400270785703</v>
      </c>
      <c r="Q64" s="304"/>
      <c r="R64" s="304">
        <v>0.83017769171409261</v>
      </c>
      <c r="S64" s="304">
        <v>0.85557730214731109</v>
      </c>
      <c r="T64" s="304">
        <v>0.95113486436280748</v>
      </c>
      <c r="U64" s="304"/>
      <c r="V64" s="304">
        <v>1.0959012396503165</v>
      </c>
      <c r="W64" s="304">
        <v>1.1664271629182383</v>
      </c>
      <c r="X64" s="304">
        <v>1.4320628644508651</v>
      </c>
      <c r="Y64" s="304"/>
      <c r="Z64" s="304">
        <v>4.1130663004409618</v>
      </c>
      <c r="AA64" s="304">
        <v>4.5038653672517004</v>
      </c>
      <c r="AB64" s="304">
        <v>5.2386665376304205</v>
      </c>
      <c r="AC64" s="304"/>
      <c r="AD64" s="304">
        <v>3.0194707842751636</v>
      </c>
      <c r="AE64" s="304">
        <v>3.041611380809746</v>
      </c>
      <c r="AF64" s="304">
        <v>2.4844970519416667</v>
      </c>
      <c r="AG64" s="304"/>
      <c r="AH64" s="304">
        <v>1.8541357549370472</v>
      </c>
      <c r="AI64" s="304">
        <v>1.9823111057502929</v>
      </c>
      <c r="AJ64" s="304">
        <v>1.1531827255246467</v>
      </c>
      <c r="AK64" s="304"/>
      <c r="AL64" s="304">
        <v>0.38992662267261619</v>
      </c>
      <c r="AM64" s="304">
        <v>0.47168078717581002</v>
      </c>
      <c r="AN64" s="304">
        <v>0.90820048799421882</v>
      </c>
    </row>
    <row r="65" spans="1:40" x14ac:dyDescent="0.2">
      <c r="A65" s="13" t="str">
        <f t="shared" si="72"/>
        <v>Associate professional occupations</v>
      </c>
      <c r="B65" s="304">
        <f t="shared" si="75"/>
        <v>19.566270555331112</v>
      </c>
      <c r="C65" s="304">
        <f t="shared" si="73"/>
        <v>19.616336440098237</v>
      </c>
      <c r="D65" s="304">
        <f t="shared" si="74"/>
        <v>22.015858936326907</v>
      </c>
      <c r="E65" s="304"/>
      <c r="F65" s="304">
        <v>0.13240327892707732</v>
      </c>
      <c r="G65" s="304">
        <v>0.15181566437331395</v>
      </c>
      <c r="H65" s="304">
        <v>0.2186243408704871</v>
      </c>
      <c r="I65" s="304"/>
      <c r="J65" s="304">
        <v>1.1848426197541584</v>
      </c>
      <c r="K65" s="304">
        <v>1.320122686938439</v>
      </c>
      <c r="L65" s="304">
        <v>1.812918945550442</v>
      </c>
      <c r="M65" s="304"/>
      <c r="N65" s="304">
        <v>4.3355630011120239</v>
      </c>
      <c r="O65" s="304">
        <v>4.5225866092609239</v>
      </c>
      <c r="P65" s="304">
        <v>5.6639051165224421</v>
      </c>
      <c r="Q65" s="304"/>
      <c r="R65" s="304">
        <v>1.0248226816625445</v>
      </c>
      <c r="S65" s="304">
        <v>1.0494523864448888</v>
      </c>
      <c r="T65" s="304">
        <v>1.3326824598475671</v>
      </c>
      <c r="U65" s="304"/>
      <c r="V65" s="304">
        <v>1.2960050235489124</v>
      </c>
      <c r="W65" s="304">
        <v>1.3389297016105395</v>
      </c>
      <c r="X65" s="304">
        <v>1.6829233430976465</v>
      </c>
      <c r="Y65" s="304"/>
      <c r="Z65" s="304">
        <v>4.748571581875451</v>
      </c>
      <c r="AA65" s="304">
        <v>4.6390128053213999</v>
      </c>
      <c r="AB65" s="304">
        <v>5.4179291449095226</v>
      </c>
      <c r="AC65" s="304"/>
      <c r="AD65" s="304">
        <v>4.1408726324128846</v>
      </c>
      <c r="AE65" s="304">
        <v>4.1370334655523635</v>
      </c>
      <c r="AF65" s="304">
        <v>4.1132809170239772</v>
      </c>
      <c r="AG65" s="304"/>
      <c r="AH65" s="304">
        <v>2.1874715482375153</v>
      </c>
      <c r="AI65" s="304">
        <v>1.9640458330538098</v>
      </c>
      <c r="AJ65" s="304">
        <v>1.0384756181553509</v>
      </c>
      <c r="AK65" s="304"/>
      <c r="AL65" s="304">
        <v>0.51571818780054435</v>
      </c>
      <c r="AM65" s="304">
        <v>0.49333728754255957</v>
      </c>
      <c r="AN65" s="304">
        <v>0.73511905034946612</v>
      </c>
    </row>
    <row r="66" spans="1:40" x14ac:dyDescent="0.2">
      <c r="A66" s="13" t="str">
        <f t="shared" si="72"/>
        <v>Administrative and secretarial occupations</v>
      </c>
      <c r="B66" s="304">
        <f t="shared" si="75"/>
        <v>20.177800766572368</v>
      </c>
      <c r="C66" s="304">
        <f t="shared" si="73"/>
        <v>19.837698934335819</v>
      </c>
      <c r="D66" s="304">
        <f t="shared" si="74"/>
        <v>19.649994521104738</v>
      </c>
      <c r="E66" s="304"/>
      <c r="F66" s="304">
        <v>5.6004956216247063E-2</v>
      </c>
      <c r="G66" s="304">
        <v>7.7557511805596044E-2</v>
      </c>
      <c r="H66" s="304">
        <v>0.13584253911802005</v>
      </c>
      <c r="I66" s="304"/>
      <c r="J66" s="304">
        <v>0.99648610112389602</v>
      </c>
      <c r="K66" s="304">
        <v>1.1997773069193631</v>
      </c>
      <c r="L66" s="304">
        <v>1.8588203501186862</v>
      </c>
      <c r="M66" s="304"/>
      <c r="N66" s="304">
        <v>3.4073243264994395</v>
      </c>
      <c r="O66" s="304">
        <v>3.8733370568694965</v>
      </c>
      <c r="P66" s="304">
        <v>5.2408291357957006</v>
      </c>
      <c r="Q66" s="304"/>
      <c r="R66" s="304">
        <v>1.1137918412284613</v>
      </c>
      <c r="S66" s="304">
        <v>1.2452210804100277</v>
      </c>
      <c r="T66" s="304">
        <v>1.561776809838713</v>
      </c>
      <c r="U66" s="304"/>
      <c r="V66" s="304">
        <v>1.0419079913783964</v>
      </c>
      <c r="W66" s="304">
        <v>1.0455890943575388</v>
      </c>
      <c r="X66" s="304">
        <v>1.2268184634073225</v>
      </c>
      <c r="Y66" s="304"/>
      <c r="Z66" s="304">
        <v>5.0613041860006538</v>
      </c>
      <c r="AA66" s="304">
        <v>4.879534150247876</v>
      </c>
      <c r="AB66" s="304">
        <v>4.6562109146344666</v>
      </c>
      <c r="AC66" s="304"/>
      <c r="AD66" s="304">
        <v>5.6855305251931405</v>
      </c>
      <c r="AE66" s="304">
        <v>5.6083437031618883</v>
      </c>
      <c r="AF66" s="304">
        <v>4.5090905237609338</v>
      </c>
      <c r="AG66" s="304"/>
      <c r="AH66" s="304">
        <v>2.4449146405878781</v>
      </c>
      <c r="AI66" s="304">
        <v>1.620918593457052</v>
      </c>
      <c r="AJ66" s="304">
        <v>0.25358184067771045</v>
      </c>
      <c r="AK66" s="304"/>
      <c r="AL66" s="304">
        <v>0.37053619834425577</v>
      </c>
      <c r="AM66" s="304">
        <v>0.28742043710698195</v>
      </c>
      <c r="AN66" s="304">
        <v>0.20702394375318453</v>
      </c>
    </row>
    <row r="67" spans="1:40" x14ac:dyDescent="0.2">
      <c r="A67" s="13" t="str">
        <f t="shared" si="72"/>
        <v>Skilled trades occupations</v>
      </c>
      <c r="B67" s="304">
        <f t="shared" si="75"/>
        <v>19.232909089450086</v>
      </c>
      <c r="C67" s="304">
        <f t="shared" si="73"/>
        <v>19.584287589012231</v>
      </c>
      <c r="D67" s="304">
        <f t="shared" si="74"/>
        <v>19.912249103537956</v>
      </c>
      <c r="E67" s="304"/>
      <c r="F67" s="304">
        <v>1.0927006815775367E-2</v>
      </c>
      <c r="G67" s="304">
        <v>1.2741213027243717E-2</v>
      </c>
      <c r="H67" s="304">
        <v>1.9722257623808703E-2</v>
      </c>
      <c r="I67" s="304"/>
      <c r="J67" s="304">
        <v>0.39294033278385954</v>
      </c>
      <c r="K67" s="304">
        <v>0.49070484857122348</v>
      </c>
      <c r="L67" s="304">
        <v>0.81015733331102391</v>
      </c>
      <c r="M67" s="304"/>
      <c r="N67" s="304">
        <v>1.2597641899619618</v>
      </c>
      <c r="O67" s="304">
        <v>1.5294764384103965</v>
      </c>
      <c r="P67" s="304">
        <v>2.0540221584716138</v>
      </c>
      <c r="Q67" s="304"/>
      <c r="R67" s="304">
        <v>0.59968179842484615</v>
      </c>
      <c r="S67" s="304">
        <v>0.63089972214007406</v>
      </c>
      <c r="T67" s="304">
        <v>0.78188682067527959</v>
      </c>
      <c r="U67" s="304"/>
      <c r="V67" s="304">
        <v>1.0953163875484302</v>
      </c>
      <c r="W67" s="304">
        <v>1.2154295962000412</v>
      </c>
      <c r="X67" s="304">
        <v>1.5250270008353817</v>
      </c>
      <c r="Y67" s="304"/>
      <c r="Z67" s="304">
        <v>6.6657479954841348</v>
      </c>
      <c r="AA67" s="304">
        <v>7.0291601676025985</v>
      </c>
      <c r="AB67" s="304">
        <v>7.7179193881828105</v>
      </c>
      <c r="AC67" s="304"/>
      <c r="AD67" s="304">
        <v>4.3960062960405937</v>
      </c>
      <c r="AE67" s="304">
        <v>3.9469685968289565</v>
      </c>
      <c r="AF67" s="304">
        <v>3.5681528232178614</v>
      </c>
      <c r="AG67" s="304"/>
      <c r="AH67" s="304">
        <v>3.478632688041523</v>
      </c>
      <c r="AI67" s="304">
        <v>3.5864861183678438</v>
      </c>
      <c r="AJ67" s="304">
        <v>2.7728652781381151</v>
      </c>
      <c r="AK67" s="304"/>
      <c r="AL67" s="304">
        <v>1.3338923943489649</v>
      </c>
      <c r="AM67" s="304">
        <v>1.1424208878638542</v>
      </c>
      <c r="AN67" s="304">
        <v>0.66249604308205701</v>
      </c>
    </row>
    <row r="68" spans="1:40" x14ac:dyDescent="0.2">
      <c r="A68" s="13" t="str">
        <f t="shared" si="72"/>
        <v>Caring, leisure and other service occupations</v>
      </c>
      <c r="B68" s="304">
        <f t="shared" si="75"/>
        <v>6.8310960868481221</v>
      </c>
      <c r="C68" s="304">
        <f t="shared" si="73"/>
        <v>7.2079643872713435</v>
      </c>
      <c r="D68" s="304">
        <f t="shared" si="74"/>
        <v>8.639583649066541</v>
      </c>
      <c r="E68" s="304"/>
      <c r="F68" s="304">
        <v>1.0735345673957569E-2</v>
      </c>
      <c r="G68" s="304">
        <v>1.4284182362235392E-2</v>
      </c>
      <c r="H68" s="304">
        <v>2.2274712417456329E-2</v>
      </c>
      <c r="I68" s="304"/>
      <c r="J68" s="304">
        <v>0.1663103505236376</v>
      </c>
      <c r="K68" s="304">
        <v>0.2167834436334653</v>
      </c>
      <c r="L68" s="304">
        <v>0.33478111281146328</v>
      </c>
      <c r="M68" s="304"/>
      <c r="N68" s="304">
        <v>0.91380131590867586</v>
      </c>
      <c r="O68" s="304">
        <v>1.0261633862076804</v>
      </c>
      <c r="P68" s="304">
        <v>1.3435908283058438</v>
      </c>
      <c r="Q68" s="304"/>
      <c r="R68" s="304">
        <v>0.79137618299381507</v>
      </c>
      <c r="S68" s="304">
        <v>0.91412991803786237</v>
      </c>
      <c r="T68" s="304">
        <v>1.3469206285111865</v>
      </c>
      <c r="U68" s="304"/>
      <c r="V68" s="304">
        <v>0.74105735385874061</v>
      </c>
      <c r="W68" s="304">
        <v>0.85789922586683909</v>
      </c>
      <c r="X68" s="304">
        <v>1.2407857161595734</v>
      </c>
      <c r="Y68" s="304"/>
      <c r="Z68" s="304">
        <v>1.2700666005068462</v>
      </c>
      <c r="AA68" s="304">
        <v>1.2667018568170305</v>
      </c>
      <c r="AB68" s="304">
        <v>1.4450312383547055</v>
      </c>
      <c r="AC68" s="304"/>
      <c r="AD68" s="304">
        <v>1.6186406096989316</v>
      </c>
      <c r="AE68" s="304">
        <v>1.6262292732133135</v>
      </c>
      <c r="AF68" s="304">
        <v>1.7337353517292022</v>
      </c>
      <c r="AG68" s="304"/>
      <c r="AH68" s="304">
        <v>0.87696703974912327</v>
      </c>
      <c r="AI68" s="304">
        <v>0.89052779469297916</v>
      </c>
      <c r="AJ68" s="304">
        <v>0.73003107240647847</v>
      </c>
      <c r="AK68" s="304"/>
      <c r="AL68" s="304">
        <v>0.44214128793439361</v>
      </c>
      <c r="AM68" s="304">
        <v>0.39524530643993766</v>
      </c>
      <c r="AN68" s="304">
        <v>0.44243298837063244</v>
      </c>
    </row>
    <row r="69" spans="1:40" x14ac:dyDescent="0.2">
      <c r="A69" s="13" t="str">
        <f t="shared" si="72"/>
        <v>Sales and customer service occupations</v>
      </c>
      <c r="B69" s="304">
        <f t="shared" si="75"/>
        <v>46.79942863413352</v>
      </c>
      <c r="C69" s="304">
        <f t="shared" si="73"/>
        <v>45.070003134738016</v>
      </c>
      <c r="D69" s="304">
        <f t="shared" si="74"/>
        <v>44.226254804796078</v>
      </c>
      <c r="E69" s="304"/>
      <c r="F69" s="304">
        <v>6.3741794352637854E-2</v>
      </c>
      <c r="G69" s="304">
        <v>7.5754312384142167E-2</v>
      </c>
      <c r="H69" s="304">
        <v>0.10963693005723703</v>
      </c>
      <c r="I69" s="304"/>
      <c r="J69" s="304">
        <v>1.4861006873144091</v>
      </c>
      <c r="K69" s="304">
        <v>1.7936474939281295</v>
      </c>
      <c r="L69" s="304">
        <v>2.7170704736813276</v>
      </c>
      <c r="M69" s="304"/>
      <c r="N69" s="304">
        <v>6.2575099251257305</v>
      </c>
      <c r="O69" s="304">
        <v>6.9811122239171945</v>
      </c>
      <c r="P69" s="304">
        <v>9.2844438551109487</v>
      </c>
      <c r="Q69" s="304"/>
      <c r="R69" s="304">
        <v>1.8991914043570217</v>
      </c>
      <c r="S69" s="304">
        <v>2.055257498108519</v>
      </c>
      <c r="T69" s="304">
        <v>2.529062713570299</v>
      </c>
      <c r="U69" s="304"/>
      <c r="V69" s="304">
        <v>1.5763983258119434</v>
      </c>
      <c r="W69" s="304">
        <v>1.5679126937544798</v>
      </c>
      <c r="X69" s="304">
        <v>1.8963848132061869</v>
      </c>
      <c r="Y69" s="304"/>
      <c r="Z69" s="304">
        <v>13.914938959534402</v>
      </c>
      <c r="AA69" s="304">
        <v>13.474887554973945</v>
      </c>
      <c r="AB69" s="304">
        <v>14.534227920973217</v>
      </c>
      <c r="AC69" s="304"/>
      <c r="AD69" s="304">
        <v>11.743397220434748</v>
      </c>
      <c r="AE69" s="304">
        <v>10.674424068342285</v>
      </c>
      <c r="AF69" s="304">
        <v>8.6703943680136426</v>
      </c>
      <c r="AG69" s="304"/>
      <c r="AH69" s="304">
        <v>7.3140602226228344</v>
      </c>
      <c r="AI69" s="304">
        <v>6.1573671230296494</v>
      </c>
      <c r="AJ69" s="304">
        <v>2.759619752311762</v>
      </c>
      <c r="AK69" s="304"/>
      <c r="AL69" s="304">
        <v>2.5440900945797909</v>
      </c>
      <c r="AM69" s="304">
        <v>2.2896401662996713</v>
      </c>
      <c r="AN69" s="304">
        <v>1.725413977871445</v>
      </c>
    </row>
    <row r="70" spans="1:40" x14ac:dyDescent="0.2">
      <c r="A70" s="13" t="str">
        <f t="shared" si="72"/>
        <v>Process, plant and machine operatives</v>
      </c>
      <c r="B70" s="304">
        <f t="shared" si="75"/>
        <v>15.423820142920023</v>
      </c>
      <c r="C70" s="304">
        <f t="shared" si="73"/>
        <v>17.049500043655112</v>
      </c>
      <c r="D70" s="304">
        <f t="shared" si="74"/>
        <v>17.161357316900489</v>
      </c>
      <c r="E70" s="304"/>
      <c r="F70" s="304">
        <v>4.4303490476970436E-2</v>
      </c>
      <c r="G70" s="304">
        <v>6.0138966622659447E-2</v>
      </c>
      <c r="H70" s="304">
        <v>9.4113328098244964E-2</v>
      </c>
      <c r="I70" s="304"/>
      <c r="J70" s="304">
        <v>0.30730883373941514</v>
      </c>
      <c r="K70" s="304">
        <v>0.38147378833620105</v>
      </c>
      <c r="L70" s="304">
        <v>0.58255040703289873</v>
      </c>
      <c r="M70" s="304"/>
      <c r="N70" s="304">
        <v>0.88871595974508177</v>
      </c>
      <c r="O70" s="304">
        <v>1.0703480574695281</v>
      </c>
      <c r="P70" s="304">
        <v>1.6892438845188977</v>
      </c>
      <c r="Q70" s="304"/>
      <c r="R70" s="304">
        <v>0.36695686867912614</v>
      </c>
      <c r="S70" s="304">
        <v>0.44510077246175106</v>
      </c>
      <c r="T70" s="304">
        <v>0.61249022383387819</v>
      </c>
      <c r="U70" s="304"/>
      <c r="V70" s="304">
        <v>0.64028257817101752</v>
      </c>
      <c r="W70" s="304">
        <v>0.76429794510988858</v>
      </c>
      <c r="X70" s="304">
        <v>0.98055406939311118</v>
      </c>
      <c r="Y70" s="304"/>
      <c r="Z70" s="304">
        <v>3.0326917435534164</v>
      </c>
      <c r="AA70" s="304">
        <v>3.469808969462203</v>
      </c>
      <c r="AB70" s="304">
        <v>3.8461714121815649</v>
      </c>
      <c r="AC70" s="304"/>
      <c r="AD70" s="304">
        <v>4.873701448751091</v>
      </c>
      <c r="AE70" s="304">
        <v>5.5813369769587702</v>
      </c>
      <c r="AF70" s="304">
        <v>5.5635320685489225</v>
      </c>
      <c r="AG70" s="304"/>
      <c r="AH70" s="304">
        <v>3.6833207020972392</v>
      </c>
      <c r="AI70" s="304">
        <v>3.7651020730905853</v>
      </c>
      <c r="AJ70" s="304">
        <v>2.7754604335320345</v>
      </c>
      <c r="AK70" s="304"/>
      <c r="AL70" s="304">
        <v>1.5865385177066638</v>
      </c>
      <c r="AM70" s="304">
        <v>1.5118924941435257</v>
      </c>
      <c r="AN70" s="304">
        <v>1.0172414897609354</v>
      </c>
    </row>
    <row r="71" spans="1:40" x14ac:dyDescent="0.2">
      <c r="A71" s="13" t="str">
        <f t="shared" si="72"/>
        <v>Elementary occupations</v>
      </c>
      <c r="B71" s="304">
        <f t="shared" si="75"/>
        <v>45.804562420031978</v>
      </c>
      <c r="C71" s="304">
        <f t="shared" si="73"/>
        <v>47.567729338342779</v>
      </c>
      <c r="D71" s="304">
        <f t="shared" si="74"/>
        <v>47.643876101664233</v>
      </c>
      <c r="E71" s="304"/>
      <c r="F71" s="304">
        <v>1.7090472865604479E-2</v>
      </c>
      <c r="G71" s="304">
        <v>2.1615225946441462E-2</v>
      </c>
      <c r="H71" s="304">
        <v>2.8233065036961637E-2</v>
      </c>
      <c r="I71" s="304"/>
      <c r="J71" s="304">
        <v>1.3921414876875264</v>
      </c>
      <c r="K71" s="304">
        <v>1.8490943976348295</v>
      </c>
      <c r="L71" s="304">
        <v>2.9498776027880207</v>
      </c>
      <c r="M71" s="304"/>
      <c r="N71" s="304">
        <v>5.1285826368157732</v>
      </c>
      <c r="O71" s="304">
        <v>6.1502431028565372</v>
      </c>
      <c r="P71" s="304">
        <v>8.549310662318085</v>
      </c>
      <c r="Q71" s="304"/>
      <c r="R71" s="304">
        <v>2.205925844756683</v>
      </c>
      <c r="S71" s="304">
        <v>2.5812380264714756</v>
      </c>
      <c r="T71" s="304">
        <v>3.6413125435613547</v>
      </c>
      <c r="U71" s="304"/>
      <c r="V71" s="304">
        <v>2.4374612791288963</v>
      </c>
      <c r="W71" s="304">
        <v>2.8464367930690497</v>
      </c>
      <c r="X71" s="304">
        <v>3.864255682433571</v>
      </c>
      <c r="Y71" s="304"/>
      <c r="Z71" s="304">
        <v>9.9178462975203434</v>
      </c>
      <c r="AA71" s="304">
        <v>9.7488687392415478</v>
      </c>
      <c r="AB71" s="304">
        <v>9.6216124786927715</v>
      </c>
      <c r="AC71" s="304"/>
      <c r="AD71" s="304">
        <v>12.716414333929102</v>
      </c>
      <c r="AE71" s="304">
        <v>13.251815084655536</v>
      </c>
      <c r="AF71" s="304">
        <v>12.083221415733606</v>
      </c>
      <c r="AG71" s="304"/>
      <c r="AH71" s="304">
        <v>8.1163854618332252</v>
      </c>
      <c r="AI71" s="304">
        <v>7.5537435319251527</v>
      </c>
      <c r="AJ71" s="304">
        <v>3.2172685920299124</v>
      </c>
      <c r="AK71" s="304"/>
      <c r="AL71" s="304">
        <v>3.8727146054948198</v>
      </c>
      <c r="AM71" s="304">
        <v>3.5646744365422132</v>
      </c>
      <c r="AN71" s="304">
        <v>3.6887840590699543</v>
      </c>
    </row>
    <row r="72" spans="1:40" x14ac:dyDescent="0.2">
      <c r="B72" s="304"/>
      <c r="C72" s="304"/>
      <c r="D72" s="304"/>
      <c r="E72" s="304"/>
      <c r="F72" s="304"/>
      <c r="G72" s="304"/>
      <c r="H72" s="304"/>
      <c r="I72" s="304"/>
      <c r="J72" s="304"/>
      <c r="K72" s="304"/>
      <c r="L72" s="304"/>
      <c r="M72" s="304"/>
      <c r="N72" s="304"/>
      <c r="O72" s="304"/>
      <c r="P72" s="304"/>
      <c r="Q72" s="304"/>
      <c r="R72" s="304"/>
      <c r="S72" s="304"/>
      <c r="T72" s="304"/>
      <c r="U72" s="304"/>
      <c r="V72" s="304"/>
      <c r="W72" s="304"/>
      <c r="X72" s="304"/>
      <c r="Y72" s="304"/>
      <c r="Z72" s="304"/>
      <c r="AA72" s="304"/>
      <c r="AB72" s="304"/>
      <c r="AC72" s="304"/>
      <c r="AD72" s="304"/>
      <c r="AE72" s="304"/>
      <c r="AF72" s="304"/>
      <c r="AG72" s="304"/>
      <c r="AH72" s="304"/>
      <c r="AI72" s="304"/>
      <c r="AJ72" s="304"/>
      <c r="AK72" s="304"/>
      <c r="AL72" s="304"/>
      <c r="AM72" s="304"/>
      <c r="AN72" s="304"/>
    </row>
    <row r="73" spans="1:40" x14ac:dyDescent="0.2">
      <c r="A73" s="1" t="str">
        <f>name!C8</f>
        <v>Business and other services</v>
      </c>
      <c r="B73" s="306"/>
      <c r="C73" s="306"/>
      <c r="D73" s="306"/>
      <c r="E73" s="304"/>
      <c r="F73" s="304"/>
      <c r="G73" s="304"/>
      <c r="H73" s="304"/>
      <c r="I73" s="304"/>
      <c r="J73" s="304"/>
      <c r="K73" s="304"/>
      <c r="L73" s="304"/>
      <c r="M73" s="304"/>
      <c r="N73" s="304"/>
      <c r="O73" s="304"/>
      <c r="P73" s="304"/>
      <c r="Q73" s="304"/>
      <c r="R73" s="304"/>
      <c r="S73" s="304"/>
      <c r="T73" s="304"/>
      <c r="U73" s="304"/>
      <c r="V73" s="304"/>
      <c r="W73" s="304"/>
      <c r="X73" s="304"/>
      <c r="Y73" s="304"/>
      <c r="Z73" s="304"/>
      <c r="AA73" s="304"/>
      <c r="AB73" s="304"/>
      <c r="AC73" s="304"/>
      <c r="AD73" s="304"/>
      <c r="AE73" s="304"/>
      <c r="AF73" s="304"/>
      <c r="AG73" s="304"/>
      <c r="AH73" s="304"/>
      <c r="AI73" s="304"/>
      <c r="AJ73" s="304"/>
      <c r="AK73" s="304"/>
      <c r="AL73" s="304"/>
      <c r="AM73" s="304"/>
      <c r="AN73" s="304"/>
    </row>
    <row r="74" spans="1:40" x14ac:dyDescent="0.2">
      <c r="A74" s="13" t="str">
        <f t="shared" ref="A74:A83" si="76">A8</f>
        <v>All occupations</v>
      </c>
      <c r="B74" s="305">
        <f>SUM(B75:B83)</f>
        <v>317.27099999999996</v>
      </c>
      <c r="C74" s="305">
        <f>SUM(C75:C83)</f>
        <v>328.89399999999989</v>
      </c>
      <c r="D74" s="305">
        <f>SUM(D75:D83)</f>
        <v>348.23600000000027</v>
      </c>
      <c r="E74" s="304"/>
      <c r="F74" s="305">
        <f>SUM(F75:F83)</f>
        <v>6.991814152555631</v>
      </c>
      <c r="G74" s="305">
        <f>SUM(G75:G83)</f>
        <v>8.0571046194286229</v>
      </c>
      <c r="H74" s="305">
        <f>SUM(H75:H83)</f>
        <v>10.328210383608514</v>
      </c>
      <c r="I74" s="304"/>
      <c r="J74" s="305">
        <f>SUM(J75:J83)</f>
        <v>53.86607284277823</v>
      </c>
      <c r="K74" s="305">
        <f>SUM(K75:K83)</f>
        <v>62.795649404525491</v>
      </c>
      <c r="L74" s="305">
        <f>SUM(L75:L83)</f>
        <v>80.993437922429464</v>
      </c>
      <c r="M74" s="304"/>
      <c r="N74" s="305">
        <f>SUM(N75:N83)</f>
        <v>93.94580847135758</v>
      </c>
      <c r="O74" s="305">
        <f>SUM(O75:O83)</f>
        <v>98.971249374080358</v>
      </c>
      <c r="P74" s="305">
        <f>SUM(P75:P83)</f>
        <v>109.00956752639823</v>
      </c>
      <c r="Q74" s="304"/>
      <c r="R74" s="305">
        <f>SUM(R75:R83)</f>
        <v>17.17340993073292</v>
      </c>
      <c r="S74" s="305">
        <f>SUM(S75:S83)</f>
        <v>18.20326853336655</v>
      </c>
      <c r="T74" s="305">
        <f>SUM(T75:T83)</f>
        <v>21.457839849134206</v>
      </c>
      <c r="U74" s="304"/>
      <c r="V74" s="305">
        <f>SUM(V75:V83)</f>
        <v>20.989043710104589</v>
      </c>
      <c r="W74" s="305">
        <f>SUM(W75:W83)</f>
        <v>21.567621792709566</v>
      </c>
      <c r="X74" s="305">
        <f>SUM(X75:X83)</f>
        <v>24.215146759947135</v>
      </c>
      <c r="Y74" s="304"/>
      <c r="Z74" s="305">
        <f>SUM(Z75:Z83)</f>
        <v>45.042350789163486</v>
      </c>
      <c r="AA74" s="305">
        <f>SUM(AA75:AA83)</f>
        <v>41.008542640387248</v>
      </c>
      <c r="AB74" s="305">
        <f>SUM(AB75:AB83)</f>
        <v>36.614516505188583</v>
      </c>
      <c r="AC74" s="304"/>
      <c r="AD74" s="305">
        <f>SUM(AD75:AD83)</f>
        <v>41.098177881831433</v>
      </c>
      <c r="AE74" s="305">
        <f>SUM(AE75:AE83)</f>
        <v>39.401196334992122</v>
      </c>
      <c r="AF74" s="305">
        <f>SUM(AF75:AF83)</f>
        <v>32.294836751292429</v>
      </c>
      <c r="AG74" s="304"/>
      <c r="AH74" s="305">
        <f>SUM(AH75:AH83)</f>
        <v>28.844402222854775</v>
      </c>
      <c r="AI74" s="305">
        <f>SUM(AI75:AI83)</f>
        <v>28.979584986222378</v>
      </c>
      <c r="AJ74" s="305">
        <f>SUM(AJ75:AJ83)</f>
        <v>22.995095814370522</v>
      </c>
      <c r="AK74" s="304"/>
      <c r="AL74" s="305">
        <f>SUM(AL75:AL83)</f>
        <v>9.3199199986213959</v>
      </c>
      <c r="AM74" s="305">
        <f>SUM(AM75:AM83)</f>
        <v>9.9097823142875399</v>
      </c>
      <c r="AN74" s="305">
        <f>SUM(AN75:AN83)</f>
        <v>10.327348487631184</v>
      </c>
    </row>
    <row r="75" spans="1:40" x14ac:dyDescent="0.2">
      <c r="A75" s="13" t="str">
        <f t="shared" si="76"/>
        <v>Managers, directors and senior officials</v>
      </c>
      <c r="B75" s="305">
        <f>SUM(F75,J75,N75,R75,V75,Z75,AD75,AH75,AL75)</f>
        <v>49.642760002452725</v>
      </c>
      <c r="C75" s="305">
        <f t="shared" ref="C75:C83" si="77">SUM(G75,K75,O75,S75,W75,AA75,AE75,AI75,AM75)</f>
        <v>51.905160592767565</v>
      </c>
      <c r="D75" s="305">
        <f t="shared" ref="D75:D83" si="78">SUM(H75,L75,P75,T75,X75,AB75,AF75,AJ75,AN75)</f>
        <v>57.909111940823152</v>
      </c>
      <c r="E75" s="304"/>
      <c r="F75" s="304">
        <v>1.2705204937415948</v>
      </c>
      <c r="G75" s="304">
        <v>1.467382351851765</v>
      </c>
      <c r="H75" s="304">
        <v>1.9696816335414478</v>
      </c>
      <c r="I75" s="304"/>
      <c r="J75" s="304">
        <v>8.5156305112049679</v>
      </c>
      <c r="K75" s="304">
        <v>9.718513033061134</v>
      </c>
      <c r="L75" s="304">
        <v>12.975187623717837</v>
      </c>
      <c r="M75" s="304"/>
      <c r="N75" s="304">
        <v>16.067126931274249</v>
      </c>
      <c r="O75" s="304">
        <v>16.55850619225652</v>
      </c>
      <c r="P75" s="304">
        <v>18.693558912153925</v>
      </c>
      <c r="Q75" s="304"/>
      <c r="R75" s="304">
        <v>2.4986541186378872</v>
      </c>
      <c r="S75" s="304">
        <v>2.6653744368406111</v>
      </c>
      <c r="T75" s="304">
        <v>3.1077141633942</v>
      </c>
      <c r="U75" s="304"/>
      <c r="V75" s="304">
        <v>4.2499765386320325</v>
      </c>
      <c r="W75" s="304">
        <v>4.4376622439539615</v>
      </c>
      <c r="X75" s="304">
        <v>5.123091982066982</v>
      </c>
      <c r="Y75" s="304"/>
      <c r="Z75" s="304">
        <v>7.3218136357139221</v>
      </c>
      <c r="AA75" s="304">
        <v>6.7448755622052987</v>
      </c>
      <c r="AB75" s="304">
        <v>6.712101137056254</v>
      </c>
      <c r="AC75" s="304"/>
      <c r="AD75" s="304">
        <v>5.7773841542632445</v>
      </c>
      <c r="AE75" s="304">
        <v>5.946874706409675</v>
      </c>
      <c r="AF75" s="304">
        <v>5.3205952495367086</v>
      </c>
      <c r="AG75" s="304"/>
      <c r="AH75" s="304">
        <v>3.1387357043219986</v>
      </c>
      <c r="AI75" s="304">
        <v>3.3561929982055139</v>
      </c>
      <c r="AJ75" s="304">
        <v>2.6537548648447689</v>
      </c>
      <c r="AK75" s="304"/>
      <c r="AL75" s="304">
        <v>0.8029179146628177</v>
      </c>
      <c r="AM75" s="304">
        <v>1.0097790679830825</v>
      </c>
      <c r="AN75" s="304">
        <v>1.353426374511032</v>
      </c>
    </row>
    <row r="76" spans="1:40" x14ac:dyDescent="0.2">
      <c r="A76" s="13" t="str">
        <f t="shared" si="76"/>
        <v>Professional occupations</v>
      </c>
      <c r="B76" s="305">
        <f t="shared" ref="B76:B83" si="79">SUM(F76,J76,N76,R76,V76,Z76,AD76,AH76,AL76)</f>
        <v>94.456991240810495</v>
      </c>
      <c r="C76" s="305">
        <f t="shared" si="77"/>
        <v>103.08849946120874</v>
      </c>
      <c r="D76" s="305">
        <f>SUM(H76,L76,P76,T76,X76,AB76,AF76,AJ76,AN76)</f>
        <v>113.26953247776544</v>
      </c>
      <c r="E76" s="304"/>
      <c r="F76" s="304">
        <v>3.9577622835352733</v>
      </c>
      <c r="G76" s="304">
        <v>4.5681214098593692</v>
      </c>
      <c r="H76" s="304">
        <v>5.6560487297375275</v>
      </c>
      <c r="I76" s="304"/>
      <c r="J76" s="304">
        <v>26.100993329248475</v>
      </c>
      <c r="K76" s="304">
        <v>30.973153329392712</v>
      </c>
      <c r="L76" s="304">
        <v>39.370399918865566</v>
      </c>
      <c r="M76" s="304"/>
      <c r="N76" s="304">
        <v>36.852909550357445</v>
      </c>
      <c r="O76" s="304">
        <v>39.075542823592251</v>
      </c>
      <c r="P76" s="304">
        <v>40.123284140460903</v>
      </c>
      <c r="Q76" s="304"/>
      <c r="R76" s="304">
        <v>3.4811524941766292</v>
      </c>
      <c r="S76" s="304">
        <v>3.7252648276133185</v>
      </c>
      <c r="T76" s="304">
        <v>4.2066537188365603</v>
      </c>
      <c r="U76" s="304"/>
      <c r="V76" s="304">
        <v>5.8673522140286334</v>
      </c>
      <c r="W76" s="304">
        <v>6.0690477316602678</v>
      </c>
      <c r="X76" s="304">
        <v>6.5825904611473156</v>
      </c>
      <c r="Y76" s="304"/>
      <c r="Z76" s="304">
        <v>7.645720727809902</v>
      </c>
      <c r="AA76" s="304">
        <v>7.0414688739317421</v>
      </c>
      <c r="AB76" s="304">
        <v>6.5106774193109658</v>
      </c>
      <c r="AC76" s="304"/>
      <c r="AD76" s="304">
        <v>6.003051664371517</v>
      </c>
      <c r="AE76" s="304">
        <v>6.1758974276693595</v>
      </c>
      <c r="AF76" s="304">
        <v>5.597631468922537</v>
      </c>
      <c r="AG76" s="304"/>
      <c r="AH76" s="304">
        <v>3.6866249750814926</v>
      </c>
      <c r="AI76" s="304">
        <v>4.0453127062733456</v>
      </c>
      <c r="AJ76" s="304">
        <v>3.0056204957422477</v>
      </c>
      <c r="AK76" s="304"/>
      <c r="AL76" s="304">
        <v>0.86142400220114312</v>
      </c>
      <c r="AM76" s="304">
        <v>1.4146903312163746</v>
      </c>
      <c r="AN76" s="304">
        <v>2.2166261247418033</v>
      </c>
    </row>
    <row r="77" spans="1:40" x14ac:dyDescent="0.2">
      <c r="A77" s="13" t="str">
        <f t="shared" si="76"/>
        <v>Associate professional occupations</v>
      </c>
      <c r="B77" s="305">
        <f t="shared" si="79"/>
        <v>60.597843123436576</v>
      </c>
      <c r="C77" s="305">
        <f t="shared" si="77"/>
        <v>59.278309878008358</v>
      </c>
      <c r="D77" s="305">
        <f t="shared" si="78"/>
        <v>63.403490519285896</v>
      </c>
      <c r="E77" s="304"/>
      <c r="F77" s="304">
        <v>1.2524003698387771</v>
      </c>
      <c r="G77" s="304">
        <v>1.3962469517557605</v>
      </c>
      <c r="H77" s="304">
        <v>1.8671314681112492</v>
      </c>
      <c r="I77" s="304"/>
      <c r="J77" s="304">
        <v>12.106509765843287</v>
      </c>
      <c r="K77" s="304">
        <v>13.328813045187481</v>
      </c>
      <c r="L77" s="304">
        <v>17.185601778680262</v>
      </c>
      <c r="M77" s="304"/>
      <c r="N77" s="304">
        <v>22.041010182216816</v>
      </c>
      <c r="O77" s="304">
        <v>21.827635857817427</v>
      </c>
      <c r="P77" s="304">
        <v>23.579231013094141</v>
      </c>
      <c r="Q77" s="304"/>
      <c r="R77" s="304">
        <v>3.6397976133693235</v>
      </c>
      <c r="S77" s="304">
        <v>3.5802246301730412</v>
      </c>
      <c r="T77" s="304">
        <v>4.2152687470136021</v>
      </c>
      <c r="U77" s="304"/>
      <c r="V77" s="304">
        <v>3.7392700011517519</v>
      </c>
      <c r="W77" s="304">
        <v>3.4532500384961176</v>
      </c>
      <c r="X77" s="304">
        <v>3.4217785851021354</v>
      </c>
      <c r="Y77" s="304"/>
      <c r="Z77" s="304">
        <v>7.7110995175777131</v>
      </c>
      <c r="AA77" s="304">
        <v>6.4808445462736399</v>
      </c>
      <c r="AB77" s="304">
        <v>5.5117008780290826</v>
      </c>
      <c r="AC77" s="304"/>
      <c r="AD77" s="304">
        <v>5.5096214443461342</v>
      </c>
      <c r="AE77" s="304">
        <v>4.6794114031292491</v>
      </c>
      <c r="AF77" s="304">
        <v>3.3285341643106849</v>
      </c>
      <c r="AG77" s="304"/>
      <c r="AH77" s="304">
        <v>3.6427329043456376</v>
      </c>
      <c r="AI77" s="304">
        <v>3.3150248970886693</v>
      </c>
      <c r="AJ77" s="304">
        <v>2.513418259815706</v>
      </c>
      <c r="AK77" s="304"/>
      <c r="AL77" s="304">
        <v>0.95540132474714112</v>
      </c>
      <c r="AM77" s="304">
        <v>1.2168585080869694</v>
      </c>
      <c r="AN77" s="304">
        <v>1.7808256251290298</v>
      </c>
    </row>
    <row r="78" spans="1:40" x14ac:dyDescent="0.2">
      <c r="A78" s="13" t="str">
        <f t="shared" si="76"/>
        <v>Administrative and secretarial occupations</v>
      </c>
      <c r="B78" s="305">
        <f t="shared" si="79"/>
        <v>36.252118580832203</v>
      </c>
      <c r="C78" s="305">
        <f t="shared" si="77"/>
        <v>33.208006182285374</v>
      </c>
      <c r="D78" s="305">
        <f t="shared" si="78"/>
        <v>30.432285137236462</v>
      </c>
      <c r="E78" s="304"/>
      <c r="F78" s="304">
        <v>0.25275758964276468</v>
      </c>
      <c r="G78" s="304">
        <v>0.29504012648213906</v>
      </c>
      <c r="H78" s="304">
        <v>0.39374857080123632</v>
      </c>
      <c r="I78" s="304"/>
      <c r="J78" s="304">
        <v>3.0996981321523198</v>
      </c>
      <c r="K78" s="304">
        <v>3.5973381451580617</v>
      </c>
      <c r="L78" s="304">
        <v>4.6802398276058605</v>
      </c>
      <c r="M78" s="304"/>
      <c r="N78" s="304">
        <v>8.7896485587858688</v>
      </c>
      <c r="O78" s="304">
        <v>9.4553698993950661</v>
      </c>
      <c r="P78" s="304">
        <v>11.764073275699138</v>
      </c>
      <c r="Q78" s="304"/>
      <c r="R78" s="304">
        <v>2.741218586694218</v>
      </c>
      <c r="S78" s="304">
        <v>2.7864124472663421</v>
      </c>
      <c r="T78" s="304">
        <v>3.1347112582731325</v>
      </c>
      <c r="U78" s="304"/>
      <c r="V78" s="304">
        <v>2.9906303894941537</v>
      </c>
      <c r="W78" s="304">
        <v>3.0443441412383936</v>
      </c>
      <c r="X78" s="304">
        <v>3.4127125695591984</v>
      </c>
      <c r="Y78" s="304"/>
      <c r="Z78" s="304">
        <v>6.4668742065453229</v>
      </c>
      <c r="AA78" s="304">
        <v>5.1328501729571201</v>
      </c>
      <c r="AB78" s="304">
        <v>2.6868181499171016</v>
      </c>
      <c r="AC78" s="304"/>
      <c r="AD78" s="304">
        <v>6.6593345612297012</v>
      </c>
      <c r="AE78" s="304">
        <v>5.1142981097480336</v>
      </c>
      <c r="AF78" s="304">
        <v>2.5312795670292081</v>
      </c>
      <c r="AG78" s="304"/>
      <c r="AH78" s="304">
        <v>3.8232802552078597</v>
      </c>
      <c r="AI78" s="304">
        <v>2.3276420115093868</v>
      </c>
      <c r="AJ78" s="304">
        <v>0.55524989723637586</v>
      </c>
      <c r="AK78" s="304"/>
      <c r="AL78" s="304">
        <v>1.4286763010799919</v>
      </c>
      <c r="AM78" s="304">
        <v>1.4547111285308281</v>
      </c>
      <c r="AN78" s="304">
        <v>1.2734520211152105</v>
      </c>
    </row>
    <row r="79" spans="1:40" x14ac:dyDescent="0.2">
      <c r="A79" s="13" t="str">
        <f t="shared" si="76"/>
        <v>Skilled trades occupations</v>
      </c>
      <c r="B79" s="305">
        <f t="shared" si="79"/>
        <v>11.718061908929423</v>
      </c>
      <c r="C79" s="305">
        <f t="shared" si="77"/>
        <v>13.126742482281713</v>
      </c>
      <c r="D79" s="305">
        <f t="shared" si="78"/>
        <v>13.90834408055591</v>
      </c>
      <c r="E79" s="304"/>
      <c r="F79" s="304">
        <v>6.3229591707275323E-2</v>
      </c>
      <c r="G79" s="304">
        <v>8.1993326278669634E-2</v>
      </c>
      <c r="H79" s="304">
        <v>0.11207100765768732</v>
      </c>
      <c r="I79" s="304"/>
      <c r="J79" s="304">
        <v>0.78371719307317633</v>
      </c>
      <c r="K79" s="304">
        <v>1.0661190519225965</v>
      </c>
      <c r="L79" s="304">
        <v>1.420228682231697</v>
      </c>
      <c r="M79" s="304"/>
      <c r="N79" s="304">
        <v>1.8715461080212206</v>
      </c>
      <c r="O79" s="304">
        <v>2.2310872514763704</v>
      </c>
      <c r="P79" s="304">
        <v>2.8737331563596684</v>
      </c>
      <c r="Q79" s="304"/>
      <c r="R79" s="304">
        <v>0.66600779893932893</v>
      </c>
      <c r="S79" s="304">
        <v>0.74841559487446263</v>
      </c>
      <c r="T79" s="304">
        <v>0.99542586623941465</v>
      </c>
      <c r="U79" s="304"/>
      <c r="V79" s="304">
        <v>0.94396966115383008</v>
      </c>
      <c r="W79" s="304">
        <v>0.9910351098508694</v>
      </c>
      <c r="X79" s="304">
        <v>1.1377083118714428</v>
      </c>
      <c r="Y79" s="304"/>
      <c r="Z79" s="304">
        <v>2.7270562597988941</v>
      </c>
      <c r="AA79" s="304">
        <v>2.7224714007932973</v>
      </c>
      <c r="AB79" s="304">
        <v>2.5204734228865173</v>
      </c>
      <c r="AC79" s="304"/>
      <c r="AD79" s="304">
        <v>2.4590274173896454</v>
      </c>
      <c r="AE79" s="304">
        <v>2.6021213554187836</v>
      </c>
      <c r="AF79" s="304">
        <v>2.3665705253152129</v>
      </c>
      <c r="AG79" s="304"/>
      <c r="AH79" s="304">
        <v>1.4734032361467528</v>
      </c>
      <c r="AI79" s="304">
        <v>1.669400318730601</v>
      </c>
      <c r="AJ79" s="304">
        <v>1.4077657159986816</v>
      </c>
      <c r="AK79" s="304"/>
      <c r="AL79" s="304">
        <v>0.73010464269929942</v>
      </c>
      <c r="AM79" s="304">
        <v>1.0140990729360633</v>
      </c>
      <c r="AN79" s="304">
        <v>1.0743673919955861</v>
      </c>
    </row>
    <row r="80" spans="1:40" x14ac:dyDescent="0.2">
      <c r="A80" s="13" t="str">
        <f t="shared" si="76"/>
        <v>Caring, leisure and other service occupations</v>
      </c>
      <c r="B80" s="305">
        <f t="shared" si="79"/>
        <v>21.423139094200916</v>
      </c>
      <c r="C80" s="305">
        <f t="shared" si="77"/>
        <v>22.32341016177056</v>
      </c>
      <c r="D80" s="305">
        <f t="shared" si="78"/>
        <v>23.243849318643445</v>
      </c>
      <c r="E80" s="304"/>
      <c r="F80" s="304">
        <v>2.5247836378096997E-2</v>
      </c>
      <c r="G80" s="304">
        <v>3.3082467349065281E-2</v>
      </c>
      <c r="H80" s="304">
        <v>5.0638689472047402E-2</v>
      </c>
      <c r="I80" s="304"/>
      <c r="J80" s="304">
        <v>1.2019945470819777</v>
      </c>
      <c r="K80" s="304">
        <v>1.5367948279765951</v>
      </c>
      <c r="L80" s="304">
        <v>2.0550514064411636</v>
      </c>
      <c r="M80" s="304"/>
      <c r="N80" s="304">
        <v>3.2868297224003369</v>
      </c>
      <c r="O80" s="304">
        <v>4.0263192608987977</v>
      </c>
      <c r="P80" s="304">
        <v>5.1421195676790301</v>
      </c>
      <c r="Q80" s="304"/>
      <c r="R80" s="304">
        <v>1.9816089251434241</v>
      </c>
      <c r="S80" s="304">
        <v>2.1838046531829276</v>
      </c>
      <c r="T80" s="304">
        <v>2.6167969640679694</v>
      </c>
      <c r="U80" s="304"/>
      <c r="V80" s="304">
        <v>1.5395326498613815</v>
      </c>
      <c r="W80" s="304">
        <v>1.7524206359572869</v>
      </c>
      <c r="X80" s="304">
        <v>2.3545069540602763</v>
      </c>
      <c r="Y80" s="304"/>
      <c r="Z80" s="304">
        <v>5.7810511898396495</v>
      </c>
      <c r="AA80" s="304">
        <v>5.5395403409220512</v>
      </c>
      <c r="AB80" s="304">
        <v>5.268914762981864</v>
      </c>
      <c r="AC80" s="304"/>
      <c r="AD80" s="304">
        <v>4.3538710703171439</v>
      </c>
      <c r="AE80" s="304">
        <v>3.8935690731370811</v>
      </c>
      <c r="AF80" s="304">
        <v>2.9014788192897578</v>
      </c>
      <c r="AG80" s="304"/>
      <c r="AH80" s="304">
        <v>2.6646810209384708</v>
      </c>
      <c r="AI80" s="304">
        <v>2.743973960698912</v>
      </c>
      <c r="AJ80" s="304">
        <v>2.1806944040496008</v>
      </c>
      <c r="AK80" s="304"/>
      <c r="AL80" s="304">
        <v>0.58832213224043417</v>
      </c>
      <c r="AM80" s="304">
        <v>0.61390494164784615</v>
      </c>
      <c r="AN80" s="304">
        <v>0.67364775060173787</v>
      </c>
    </row>
    <row r="81" spans="1:40" x14ac:dyDescent="0.2">
      <c r="A81" s="13" t="str">
        <f t="shared" si="76"/>
        <v>Sales and customer service occupations</v>
      </c>
      <c r="B81" s="305">
        <f t="shared" si="79"/>
        <v>13.524992710527922</v>
      </c>
      <c r="C81" s="305">
        <f t="shared" si="77"/>
        <v>14.935094608418071</v>
      </c>
      <c r="D81" s="305">
        <f t="shared" si="78"/>
        <v>15.775786148074094</v>
      </c>
      <c r="E81" s="304"/>
      <c r="F81" s="304">
        <v>0.11331855328035045</v>
      </c>
      <c r="G81" s="304">
        <v>0.14062859025623387</v>
      </c>
      <c r="H81" s="304">
        <v>0.17853665298933979</v>
      </c>
      <c r="I81" s="304"/>
      <c r="J81" s="304">
        <v>1.0249020562684343</v>
      </c>
      <c r="K81" s="304">
        <v>1.288907282078948</v>
      </c>
      <c r="L81" s="304">
        <v>1.7008877481645739</v>
      </c>
      <c r="M81" s="304"/>
      <c r="N81" s="304">
        <v>2.9123683355841568</v>
      </c>
      <c r="O81" s="304">
        <v>3.3609708211596914</v>
      </c>
      <c r="P81" s="304">
        <v>4.0102078031378809</v>
      </c>
      <c r="Q81" s="304"/>
      <c r="R81" s="304">
        <v>0.81743816828647775</v>
      </c>
      <c r="S81" s="304">
        <v>0.92427254343619858</v>
      </c>
      <c r="T81" s="304">
        <v>1.1299160259770751</v>
      </c>
      <c r="U81" s="304"/>
      <c r="V81" s="304">
        <v>0.90364408832271725</v>
      </c>
      <c r="W81" s="304">
        <v>1.0405931128338277</v>
      </c>
      <c r="X81" s="304">
        <v>1.1873175667839067</v>
      </c>
      <c r="Y81" s="304"/>
      <c r="Z81" s="304">
        <v>2.7862145195479573</v>
      </c>
      <c r="AA81" s="304">
        <v>2.7959025642002131</v>
      </c>
      <c r="AB81" s="304">
        <v>2.4920312553725763</v>
      </c>
      <c r="AC81" s="304"/>
      <c r="AD81" s="304">
        <v>2.9498013244603749</v>
      </c>
      <c r="AE81" s="304">
        <v>3.2002183397995205</v>
      </c>
      <c r="AF81" s="304">
        <v>2.8788732840422502</v>
      </c>
      <c r="AG81" s="304"/>
      <c r="AH81" s="304">
        <v>1.4807239634747369</v>
      </c>
      <c r="AI81" s="304">
        <v>1.4585749020238612</v>
      </c>
      <c r="AJ81" s="304">
        <v>1.1467444646936902</v>
      </c>
      <c r="AK81" s="304"/>
      <c r="AL81" s="304">
        <v>0.53658170130271521</v>
      </c>
      <c r="AM81" s="304">
        <v>0.72502645262957799</v>
      </c>
      <c r="AN81" s="304">
        <v>1.0512713469128017</v>
      </c>
    </row>
    <row r="82" spans="1:40" x14ac:dyDescent="0.2">
      <c r="A82" s="13" t="str">
        <f t="shared" si="76"/>
        <v>Process, plant and machine operatives</v>
      </c>
      <c r="B82" s="305">
        <f t="shared" si="79"/>
        <v>5.0520542120582004</v>
      </c>
      <c r="C82" s="305">
        <f t="shared" si="77"/>
        <v>5.7875446281893055</v>
      </c>
      <c r="D82" s="305">
        <f t="shared" si="78"/>
        <v>5.9477055462598596</v>
      </c>
      <c r="E82" s="304"/>
      <c r="F82" s="304">
        <v>2.1868130912693167E-2</v>
      </c>
      <c r="G82" s="304">
        <v>3.1702176392620594E-2</v>
      </c>
      <c r="H82" s="304">
        <v>4.0526880245317719E-2</v>
      </c>
      <c r="I82" s="304"/>
      <c r="J82" s="304">
        <v>0.30560095246406677</v>
      </c>
      <c r="K82" s="304">
        <v>0.39077842414595337</v>
      </c>
      <c r="L82" s="304">
        <v>0.54209672732706715</v>
      </c>
      <c r="M82" s="304"/>
      <c r="N82" s="304">
        <v>0.47073474575199442</v>
      </c>
      <c r="O82" s="304">
        <v>0.59263181017528355</v>
      </c>
      <c r="P82" s="304">
        <v>0.7094736429653492</v>
      </c>
      <c r="Q82" s="304"/>
      <c r="R82" s="304">
        <v>0.16753665940247162</v>
      </c>
      <c r="S82" s="304">
        <v>0.21488898850724661</v>
      </c>
      <c r="T82" s="304">
        <v>0.28937776432303053</v>
      </c>
      <c r="U82" s="304"/>
      <c r="V82" s="304">
        <v>0.18536077529759323</v>
      </c>
      <c r="W82" s="304">
        <v>0.21781382071476207</v>
      </c>
      <c r="X82" s="304">
        <v>0.26980422817030625</v>
      </c>
      <c r="Y82" s="304"/>
      <c r="Z82" s="304">
        <v>1.2952951965844801</v>
      </c>
      <c r="AA82" s="304">
        <v>1.4761578897863787</v>
      </c>
      <c r="AB82" s="304">
        <v>1.7518991262400685</v>
      </c>
      <c r="AC82" s="304"/>
      <c r="AD82" s="304">
        <v>0.97404211251538853</v>
      </c>
      <c r="AE82" s="304">
        <v>1.0897548723833448</v>
      </c>
      <c r="AF82" s="304">
        <v>1.0406307621427231</v>
      </c>
      <c r="AG82" s="304"/>
      <c r="AH82" s="304">
        <v>0.94508987996589167</v>
      </c>
      <c r="AI82" s="304">
        <v>0.9957477709855278</v>
      </c>
      <c r="AJ82" s="304">
        <v>0.66735400335794592</v>
      </c>
      <c r="AK82" s="304"/>
      <c r="AL82" s="304">
        <v>0.68652575916362057</v>
      </c>
      <c r="AM82" s="304">
        <v>0.77806887509818834</v>
      </c>
      <c r="AN82" s="304">
        <v>0.63654241148805124</v>
      </c>
    </row>
    <row r="83" spans="1:40" x14ac:dyDescent="0.2">
      <c r="A83" s="39" t="str">
        <f t="shared" si="76"/>
        <v>Elementary occupations</v>
      </c>
      <c r="B83" s="307">
        <f t="shared" si="79"/>
        <v>24.60303912675154</v>
      </c>
      <c r="C83" s="307">
        <f t="shared" si="77"/>
        <v>25.241232005070206</v>
      </c>
      <c r="D83" s="307">
        <f t="shared" si="78"/>
        <v>24.345894831356013</v>
      </c>
      <c r="E83" s="307"/>
      <c r="F83" s="307">
        <v>3.4709303518805308E-2</v>
      </c>
      <c r="G83" s="307">
        <v>4.2907219203000578E-2</v>
      </c>
      <c r="H83" s="307">
        <v>5.9826751052658743E-2</v>
      </c>
      <c r="I83" s="307"/>
      <c r="J83" s="307">
        <v>0.72702635544152117</v>
      </c>
      <c r="K83" s="307">
        <v>0.89523226560201341</v>
      </c>
      <c r="L83" s="307">
        <v>1.0637442093954332</v>
      </c>
      <c r="M83" s="307"/>
      <c r="N83" s="307">
        <v>1.6536343369654707</v>
      </c>
      <c r="O83" s="307">
        <v>1.8431854573089548</v>
      </c>
      <c r="P83" s="307">
        <v>2.1138860148481946</v>
      </c>
      <c r="Q83" s="307"/>
      <c r="R83" s="307">
        <v>1.1799955660831569</v>
      </c>
      <c r="S83" s="307">
        <v>1.3746104114724018</v>
      </c>
      <c r="T83" s="307">
        <v>1.761975341009222</v>
      </c>
      <c r="U83" s="307"/>
      <c r="V83" s="307">
        <v>0.56930739216249826</v>
      </c>
      <c r="W83" s="307">
        <v>0.56145495800407907</v>
      </c>
      <c r="X83" s="307">
        <v>0.7256361011855742</v>
      </c>
      <c r="Y83" s="307"/>
      <c r="Z83" s="307">
        <v>3.3072255357456433</v>
      </c>
      <c r="AA83" s="307">
        <v>3.0744312893175101</v>
      </c>
      <c r="AB83" s="307">
        <v>3.1599003533941477</v>
      </c>
      <c r="AC83" s="307"/>
      <c r="AD83" s="307">
        <v>6.412044132938278</v>
      </c>
      <c r="AE83" s="307">
        <v>6.699051047297079</v>
      </c>
      <c r="AF83" s="307">
        <v>6.3292429107033454</v>
      </c>
      <c r="AG83" s="307"/>
      <c r="AH83" s="307">
        <v>7.9891302833719324</v>
      </c>
      <c r="AI83" s="307">
        <v>9.0677154207065609</v>
      </c>
      <c r="AJ83" s="307">
        <v>8.8644937086315014</v>
      </c>
      <c r="AK83" s="307"/>
      <c r="AL83" s="307">
        <v>2.7299662205242314</v>
      </c>
      <c r="AM83" s="307">
        <v>1.682643936158609</v>
      </c>
      <c r="AN83" s="307">
        <v>0.26718944113593196</v>
      </c>
    </row>
    <row r="84" spans="1:40" x14ac:dyDescent="0.2">
      <c r="B84" s="32"/>
      <c r="C84" s="32"/>
      <c r="D84" s="32"/>
    </row>
    <row r="85" spans="1:40" ht="15.75" x14ac:dyDescent="0.25">
      <c r="A85" s="19" t="str">
        <f>CONCATENATE(A1," (Continued)")</f>
        <v>Basic Table 1  Employment by Industry Sector, Occupation Group and Qualification, 2020-2035, Enterprise M3 (Continued)</v>
      </c>
    </row>
    <row r="86" spans="1:40" ht="12.75" customHeight="1" x14ac:dyDescent="0.25">
      <c r="A86" s="19"/>
    </row>
    <row r="87" spans="1:40" ht="12.75" customHeight="1" x14ac:dyDescent="0.25">
      <c r="A87" s="19"/>
    </row>
    <row r="88" spans="1:40" ht="26.25" customHeight="1" x14ac:dyDescent="0.2">
      <c r="A88" s="78"/>
      <c r="B88" s="78"/>
      <c r="C88" s="79" t="str">
        <f>B4</f>
        <v>All qualifications</v>
      </c>
      <c r="D88" s="78"/>
      <c r="E88" s="78"/>
      <c r="F88" s="78"/>
      <c r="G88" s="79" t="str">
        <f>F4</f>
        <v>RQF8 Doctorate</v>
      </c>
      <c r="H88" s="78"/>
      <c r="I88" s="78"/>
      <c r="J88" s="78"/>
      <c r="K88" s="79" t="str">
        <f>J4</f>
        <v>RQF7 Other higher degree</v>
      </c>
      <c r="L88" s="78"/>
      <c r="M88" s="78"/>
      <c r="N88" s="382" t="str">
        <f>N4</f>
        <v>RQF6 First degree</v>
      </c>
      <c r="O88" s="382"/>
      <c r="P88" s="382"/>
      <c r="Q88" s="78"/>
      <c r="R88" s="382" t="str">
        <f>R4</f>
        <v>RQF5 Foundation degree;Nursing;Teaching</v>
      </c>
      <c r="S88" s="382"/>
      <c r="T88" s="382"/>
      <c r="U88" s="78"/>
      <c r="V88" s="382" t="str">
        <f>V4</f>
        <v>RQF4 HE below degree level</v>
      </c>
      <c r="W88" s="382"/>
      <c r="X88" s="382"/>
      <c r="Y88" s="78"/>
      <c r="Z88" s="382" t="str">
        <f>Z4</f>
        <v>RQF3 A level &amp; equivalent</v>
      </c>
      <c r="AA88" s="382"/>
      <c r="AB88" s="382"/>
      <c r="AC88" s="78"/>
      <c r="AD88" s="382" t="str">
        <f>AD4</f>
        <v>RQF2 GCSE(A-C) &amp; equivalent</v>
      </c>
      <c r="AE88" s="382"/>
      <c r="AF88" s="382"/>
      <c r="AG88" s="78"/>
      <c r="AH88" s="382" t="str">
        <f>AH4</f>
        <v>RQF1 GCSE(below grade C) &amp; equivalent</v>
      </c>
      <c r="AI88" s="382"/>
      <c r="AJ88" s="382"/>
      <c r="AK88" s="78"/>
      <c r="AL88" s="78"/>
      <c r="AM88" s="79" t="str">
        <f>AL4</f>
        <v>No Qualification</v>
      </c>
      <c r="AN88" s="78"/>
    </row>
    <row r="89" spans="1:40" x14ac:dyDescent="0.2">
      <c r="A89" s="39"/>
      <c r="B89" s="42">
        <f>B5</f>
        <v>2020</v>
      </c>
      <c r="C89" s="42">
        <f>C5</f>
        <v>2025</v>
      </c>
      <c r="D89" s="42">
        <f>D5</f>
        <v>2035</v>
      </c>
      <c r="E89" s="39"/>
      <c r="F89" s="35">
        <f>B89</f>
        <v>2020</v>
      </c>
      <c r="G89" s="35">
        <f>C89</f>
        <v>2025</v>
      </c>
      <c r="H89" s="35">
        <f>D89</f>
        <v>2035</v>
      </c>
      <c r="I89" s="39"/>
      <c r="J89" s="35">
        <f>B89</f>
        <v>2020</v>
      </c>
      <c r="K89" s="35">
        <f>C89</f>
        <v>2025</v>
      </c>
      <c r="L89" s="35">
        <f>D89</f>
        <v>2035</v>
      </c>
      <c r="M89" s="39"/>
      <c r="N89" s="35">
        <f>B89</f>
        <v>2020</v>
      </c>
      <c r="O89" s="35">
        <f>C89</f>
        <v>2025</v>
      </c>
      <c r="P89" s="35">
        <f>D89</f>
        <v>2035</v>
      </c>
      <c r="Q89" s="39"/>
      <c r="R89" s="35">
        <f>F89</f>
        <v>2020</v>
      </c>
      <c r="S89" s="35">
        <f>G89</f>
        <v>2025</v>
      </c>
      <c r="T89" s="35">
        <f>H89</f>
        <v>2035</v>
      </c>
      <c r="U89" s="39"/>
      <c r="V89" s="35">
        <f>J89</f>
        <v>2020</v>
      </c>
      <c r="W89" s="35">
        <f>K89</f>
        <v>2025</v>
      </c>
      <c r="X89" s="35">
        <f>L89</f>
        <v>2035</v>
      </c>
      <c r="Y89" s="39"/>
      <c r="Z89" s="35">
        <f>N89</f>
        <v>2020</v>
      </c>
      <c r="AA89" s="35">
        <f>O89</f>
        <v>2025</v>
      </c>
      <c r="AB89" s="35">
        <f>P89</f>
        <v>2035</v>
      </c>
      <c r="AC89" s="39"/>
      <c r="AD89" s="35">
        <f>R89</f>
        <v>2020</v>
      </c>
      <c r="AE89" s="35">
        <f>S89</f>
        <v>2025</v>
      </c>
      <c r="AF89" s="35">
        <f>T89</f>
        <v>2035</v>
      </c>
      <c r="AG89" s="39"/>
      <c r="AH89" s="35">
        <f>V89</f>
        <v>2020</v>
      </c>
      <c r="AI89" s="35">
        <f>W89</f>
        <v>2025</v>
      </c>
      <c r="AJ89" s="35">
        <f>X89</f>
        <v>2035</v>
      </c>
      <c r="AK89" s="39"/>
      <c r="AL89" s="35">
        <f>Z89</f>
        <v>2020</v>
      </c>
      <c r="AM89" s="35">
        <f>AA89</f>
        <v>2025</v>
      </c>
      <c r="AN89" s="35">
        <f>AB89</f>
        <v>2035</v>
      </c>
    </row>
    <row r="90" spans="1:40" x14ac:dyDescent="0.2">
      <c r="B90" s="32"/>
      <c r="C90" s="32"/>
      <c r="D90" s="32"/>
    </row>
    <row r="91" spans="1:40" x14ac:dyDescent="0.2">
      <c r="A91" s="1" t="str">
        <f>name!C9</f>
        <v>Non-marketed services</v>
      </c>
      <c r="E91" s="77"/>
      <c r="F91" s="77"/>
      <c r="G91" s="77"/>
      <c r="H91" s="77"/>
      <c r="I91" s="77"/>
      <c r="J91" s="77"/>
      <c r="K91" s="77"/>
      <c r="L91" s="77"/>
      <c r="M91" s="77"/>
      <c r="N91" s="77"/>
      <c r="O91" s="77"/>
      <c r="P91" s="77"/>
      <c r="Q91" s="77"/>
      <c r="R91" s="77"/>
      <c r="S91" s="77"/>
      <c r="T91" s="77"/>
      <c r="U91" s="77"/>
      <c r="V91" s="77"/>
      <c r="W91" s="77"/>
      <c r="X91" s="77"/>
      <c r="Y91" s="77"/>
      <c r="Z91" s="77"/>
      <c r="AA91" s="77"/>
      <c r="AB91" s="77"/>
      <c r="AC91" s="77"/>
      <c r="AD91" s="77"/>
      <c r="AE91" s="77"/>
      <c r="AF91" s="77"/>
      <c r="AG91" s="77"/>
      <c r="AH91" s="77"/>
      <c r="AI91" s="77"/>
      <c r="AJ91" s="77"/>
      <c r="AK91" s="77"/>
      <c r="AL91" s="77"/>
      <c r="AM91" s="77"/>
      <c r="AN91" s="77"/>
    </row>
    <row r="92" spans="1:40" x14ac:dyDescent="0.2">
      <c r="A92" s="13" t="str">
        <f t="shared" ref="A92:A101" si="80">A8</f>
        <v>All occupations</v>
      </c>
      <c r="B92" s="305">
        <f>SUM(B93:B101)</f>
        <v>198.11600000000007</v>
      </c>
      <c r="C92" s="305">
        <f>SUM(C93:C101)</f>
        <v>203.05900000000005</v>
      </c>
      <c r="D92" s="305">
        <f>SUM(D93:D101)</f>
        <v>205.959</v>
      </c>
      <c r="E92" s="304"/>
      <c r="F92" s="305">
        <f>SUM(F93:F101)</f>
        <v>6.3835204709428233</v>
      </c>
      <c r="G92" s="305">
        <f>SUM(G93:G101)</f>
        <v>7.3477191909205555</v>
      </c>
      <c r="H92" s="305">
        <f>SUM(H93:H101)</f>
        <v>8.9424387571377064</v>
      </c>
      <c r="I92" s="304"/>
      <c r="J92" s="305">
        <f>SUM(J93:J101)</f>
        <v>38.141523066953582</v>
      </c>
      <c r="K92" s="305">
        <f>SUM(K93:K101)</f>
        <v>43.427966059593821</v>
      </c>
      <c r="L92" s="305">
        <f>SUM(L93:L101)</f>
        <v>51.087004108059425</v>
      </c>
      <c r="M92" s="304"/>
      <c r="N92" s="305">
        <f>SUM(N93:N101)</f>
        <v>49.160333108411535</v>
      </c>
      <c r="O92" s="305">
        <f>SUM(O93:O101)</f>
        <v>52.988876777397714</v>
      </c>
      <c r="P92" s="305">
        <f>SUM(P93:P101)</f>
        <v>58.414074389439918</v>
      </c>
      <c r="Q92" s="304"/>
      <c r="R92" s="305">
        <f>SUM(R93:R101)</f>
        <v>18.762803827566877</v>
      </c>
      <c r="S92" s="305">
        <f>SUM(S93:S101)</f>
        <v>16.986409133812085</v>
      </c>
      <c r="T92" s="305">
        <f>SUM(T93:T101)</f>
        <v>15.499335554372875</v>
      </c>
      <c r="U92" s="304"/>
      <c r="V92" s="305">
        <f>SUM(V93:V101)</f>
        <v>9.7950960544929142</v>
      </c>
      <c r="W92" s="305">
        <f>SUM(W93:W101)</f>
        <v>10.041469061704206</v>
      </c>
      <c r="X92" s="305">
        <f>SUM(X93:X101)</f>
        <v>10.596983142464909</v>
      </c>
      <c r="Y92" s="304"/>
      <c r="Z92" s="305">
        <f>SUM(Z93:Z101)</f>
        <v>38.206534742443978</v>
      </c>
      <c r="AA92" s="305">
        <f>SUM(AA93:AA101)</f>
        <v>38.753267479171406</v>
      </c>
      <c r="AB92" s="305">
        <f>SUM(AB93:AB101)</f>
        <v>38.344748691718102</v>
      </c>
      <c r="AC92" s="304"/>
      <c r="AD92" s="305">
        <f>SUM(AD93:AD101)</f>
        <v>26.140063640198242</v>
      </c>
      <c r="AE92" s="305">
        <f>SUM(AE93:AE101)</f>
        <v>24.559413405565312</v>
      </c>
      <c r="AF92" s="305">
        <f>SUM(AF93:AF101)</f>
        <v>17.324985017985508</v>
      </c>
      <c r="AG92" s="304"/>
      <c r="AH92" s="305">
        <f>SUM(AH93:AH101)</f>
        <v>9.6573762793322615</v>
      </c>
      <c r="AI92" s="305">
        <f>SUM(AI93:AI101)</f>
        <v>7.2656222583696488</v>
      </c>
      <c r="AJ92" s="305">
        <f>SUM(AJ93:AJ101)</f>
        <v>3.658517821507727</v>
      </c>
      <c r="AK92" s="304"/>
      <c r="AL92" s="305">
        <f>SUM(AL93:AL101)</f>
        <v>1.8687488096578682</v>
      </c>
      <c r="AM92" s="305">
        <f>SUM(AM93:AM101)</f>
        <v>1.6882566334653086</v>
      </c>
      <c r="AN92" s="305">
        <f>SUM(AN93:AN101)</f>
        <v>2.0909125173138645</v>
      </c>
    </row>
    <row r="93" spans="1:40" x14ac:dyDescent="0.2">
      <c r="A93" s="13" t="str">
        <f t="shared" si="80"/>
        <v>Managers, directors and senior officials</v>
      </c>
      <c r="B93" s="305">
        <f>SUM(F93,J93,N93,R93,V93,Z93,AD93,AH93,AL93)</f>
        <v>10.228665276696463</v>
      </c>
      <c r="C93" s="305">
        <f t="shared" ref="C93:D93" si="81">SUM(G93,K93,O93,S93,W93,AA93,AE93,AI93,AM93)</f>
        <v>10.288768426604094</v>
      </c>
      <c r="D93" s="305">
        <f t="shared" si="81"/>
        <v>11.104976455091693</v>
      </c>
      <c r="E93" s="304"/>
      <c r="F93" s="304">
        <v>0.22184238526237193</v>
      </c>
      <c r="G93" s="304">
        <v>0.24068032864352745</v>
      </c>
      <c r="H93" s="304">
        <v>0.30234287706246271</v>
      </c>
      <c r="I93" s="304"/>
      <c r="J93" s="304">
        <v>2.1411698424631322</v>
      </c>
      <c r="K93" s="304">
        <v>2.2824901956029131</v>
      </c>
      <c r="L93" s="304">
        <v>2.6779840208530414</v>
      </c>
      <c r="M93" s="304"/>
      <c r="N93" s="304">
        <v>3.0859400690881209</v>
      </c>
      <c r="O93" s="304">
        <v>3.1858271860101164</v>
      </c>
      <c r="P93" s="304">
        <v>3.6644286448821499</v>
      </c>
      <c r="Q93" s="304"/>
      <c r="R93" s="304">
        <v>1.7477976684458381</v>
      </c>
      <c r="S93" s="304">
        <v>1.7410261734666659</v>
      </c>
      <c r="T93" s="304">
        <v>1.8640838228083265</v>
      </c>
      <c r="U93" s="304"/>
      <c r="V93" s="304">
        <v>0.47541600750315149</v>
      </c>
      <c r="W93" s="304">
        <v>0.4330436426605514</v>
      </c>
      <c r="X93" s="304">
        <v>0.42520704352968081</v>
      </c>
      <c r="Y93" s="304"/>
      <c r="Z93" s="304">
        <v>1.502184830847656</v>
      </c>
      <c r="AA93" s="304">
        <v>1.3376112831844897</v>
      </c>
      <c r="AB93" s="304">
        <v>1.2082179737279126</v>
      </c>
      <c r="AC93" s="304"/>
      <c r="AD93" s="304">
        <v>0.64824775278480007</v>
      </c>
      <c r="AE93" s="304">
        <v>0.61985058091682654</v>
      </c>
      <c r="AF93" s="304">
        <v>0.52055288214450324</v>
      </c>
      <c r="AG93" s="304"/>
      <c r="AH93" s="304">
        <v>0.2598432815456766</v>
      </c>
      <c r="AI93" s="304">
        <v>0.24117570262816096</v>
      </c>
      <c r="AJ93" s="304">
        <v>0.17703029326832487</v>
      </c>
      <c r="AK93" s="304"/>
      <c r="AL93" s="304">
        <v>0.14622343875571783</v>
      </c>
      <c r="AM93" s="304">
        <v>0.20706333349084385</v>
      </c>
      <c r="AN93" s="304">
        <v>0.26512889681529017</v>
      </c>
    </row>
    <row r="94" spans="1:40" x14ac:dyDescent="0.2">
      <c r="A94" s="13" t="str">
        <f t="shared" si="80"/>
        <v>Professional occupations</v>
      </c>
      <c r="B94" s="305">
        <f t="shared" ref="B94:B101" si="82">SUM(F94,J94,N94,R94,V94,Z94,AD94,AH94,AL94)</f>
        <v>73.724673312819121</v>
      </c>
      <c r="C94" s="305">
        <f t="shared" ref="C94:C101" si="83">SUM(G94,K94,O94,S94,W94,AA94,AE94,AI94,AM94)</f>
        <v>77.400219040617074</v>
      </c>
      <c r="D94" s="305">
        <f t="shared" ref="D94:D101" si="84">SUM(H94,L94,P94,T94,X94,AB94,AF94,AJ94,AN94)</f>
        <v>82.702216651732812</v>
      </c>
      <c r="E94" s="305"/>
      <c r="F94" s="304">
        <v>5.6184578705267958</v>
      </c>
      <c r="G94" s="304">
        <v>6.4575970218968228</v>
      </c>
      <c r="H94" s="304">
        <v>7.7710697782706948</v>
      </c>
      <c r="I94" s="304"/>
      <c r="J94" s="304">
        <v>27.60681782417549</v>
      </c>
      <c r="K94" s="304">
        <v>31.128526515358452</v>
      </c>
      <c r="L94" s="304">
        <v>36.136130857879195</v>
      </c>
      <c r="M94" s="304"/>
      <c r="N94" s="304">
        <v>25.369006427398752</v>
      </c>
      <c r="O94" s="304">
        <v>26.374532354627096</v>
      </c>
      <c r="P94" s="304">
        <v>27.553546755729791</v>
      </c>
      <c r="Q94" s="304"/>
      <c r="R94" s="304">
        <v>4.9402301098386916</v>
      </c>
      <c r="S94" s="304">
        <v>3.09014194466033</v>
      </c>
      <c r="T94" s="304">
        <v>1.5990444402056823</v>
      </c>
      <c r="U94" s="304"/>
      <c r="V94" s="304">
        <v>1.6589964698614583</v>
      </c>
      <c r="W94" s="304">
        <v>1.6535317726774856</v>
      </c>
      <c r="X94" s="304">
        <v>1.7298264300110566</v>
      </c>
      <c r="Y94" s="304"/>
      <c r="Z94" s="304">
        <v>4.3366236212105722</v>
      </c>
      <c r="AA94" s="304">
        <v>4.3944413459636742</v>
      </c>
      <c r="AB94" s="304">
        <v>4.6043602242730239</v>
      </c>
      <c r="AC94" s="304"/>
      <c r="AD94" s="304">
        <v>2.5019969048095292</v>
      </c>
      <c r="AE94" s="304">
        <v>2.4020228355141184</v>
      </c>
      <c r="AF94" s="304">
        <v>1.7912666982907757</v>
      </c>
      <c r="AG94" s="304"/>
      <c r="AH94" s="304">
        <v>1.4845971647263123</v>
      </c>
      <c r="AI94" s="304">
        <v>1.580577193743216</v>
      </c>
      <c r="AJ94" s="304">
        <v>1.0498356259210371</v>
      </c>
      <c r="AK94" s="304"/>
      <c r="AL94" s="304">
        <v>0.20794692027150893</v>
      </c>
      <c r="AM94" s="304">
        <v>0.31884805617589085</v>
      </c>
      <c r="AN94" s="304">
        <v>0.46713584115156426</v>
      </c>
    </row>
    <row r="95" spans="1:40" x14ac:dyDescent="0.2">
      <c r="A95" s="13" t="str">
        <f t="shared" si="80"/>
        <v>Associate professional occupations</v>
      </c>
      <c r="B95" s="305">
        <f t="shared" si="82"/>
        <v>29.468055462201569</v>
      </c>
      <c r="C95" s="305">
        <f t="shared" si="83"/>
        <v>29.822766121041653</v>
      </c>
      <c r="D95" s="305">
        <f t="shared" si="84"/>
        <v>31.193540782298601</v>
      </c>
      <c r="E95" s="305"/>
      <c r="F95" s="304">
        <v>0.28614827378056545</v>
      </c>
      <c r="G95" s="304">
        <v>0.34274519867296432</v>
      </c>
      <c r="H95" s="304">
        <v>0.46958527790959981</v>
      </c>
      <c r="I95" s="304"/>
      <c r="J95" s="304">
        <v>4.008097897151659</v>
      </c>
      <c r="K95" s="304">
        <v>4.4804526915916867</v>
      </c>
      <c r="L95" s="304">
        <v>5.4742380437237355</v>
      </c>
      <c r="M95" s="304"/>
      <c r="N95" s="304">
        <v>8.8791198468066845</v>
      </c>
      <c r="O95" s="304">
        <v>9.7307800661931516</v>
      </c>
      <c r="P95" s="304">
        <v>11.519405662199969</v>
      </c>
      <c r="Q95" s="304"/>
      <c r="R95" s="304">
        <v>3.6348926568324447</v>
      </c>
      <c r="S95" s="304">
        <v>3.1006105555745234</v>
      </c>
      <c r="T95" s="304">
        <v>2.6746468856452084</v>
      </c>
      <c r="U95" s="304"/>
      <c r="V95" s="304">
        <v>1.7821959255513702</v>
      </c>
      <c r="W95" s="304">
        <v>1.6615754308449544</v>
      </c>
      <c r="X95" s="304">
        <v>1.7648888675041559</v>
      </c>
      <c r="Y95" s="304"/>
      <c r="Z95" s="304">
        <v>5.5357855350337131</v>
      </c>
      <c r="AA95" s="304">
        <v>5.3534616406888302</v>
      </c>
      <c r="AB95" s="304">
        <v>5.4129838809003727</v>
      </c>
      <c r="AC95" s="304"/>
      <c r="AD95" s="304">
        <v>3.503410069821026</v>
      </c>
      <c r="AE95" s="304">
        <v>3.3196283953363652</v>
      </c>
      <c r="AF95" s="304">
        <v>2.4599852512223661</v>
      </c>
      <c r="AG95" s="304"/>
      <c r="AH95" s="304">
        <v>1.597749795420651</v>
      </c>
      <c r="AI95" s="304">
        <v>1.5557490133750025</v>
      </c>
      <c r="AJ95" s="304">
        <v>0.9670297480557738</v>
      </c>
      <c r="AK95" s="304"/>
      <c r="AL95" s="304">
        <v>0.24065546180345671</v>
      </c>
      <c r="AM95" s="304">
        <v>0.27776312876416936</v>
      </c>
      <c r="AN95" s="304">
        <v>0.45077716513742178</v>
      </c>
    </row>
    <row r="96" spans="1:40" x14ac:dyDescent="0.2">
      <c r="A96" s="13" t="str">
        <f t="shared" si="80"/>
        <v>Administrative and secretarial occupations</v>
      </c>
      <c r="B96" s="305">
        <f t="shared" si="82"/>
        <v>21.025439834051834</v>
      </c>
      <c r="C96" s="305">
        <f t="shared" si="83"/>
        <v>18.966952044177372</v>
      </c>
      <c r="D96" s="305">
        <f t="shared" si="84"/>
        <v>13.811909472023592</v>
      </c>
      <c r="E96" s="305"/>
      <c r="F96" s="304">
        <v>0.14886012502040208</v>
      </c>
      <c r="G96" s="304">
        <v>0.16524899176279031</v>
      </c>
      <c r="H96" s="304">
        <v>0.21834531857120856</v>
      </c>
      <c r="I96" s="304"/>
      <c r="J96" s="304">
        <v>1.6665947508790069</v>
      </c>
      <c r="K96" s="304">
        <v>1.9935326028636229</v>
      </c>
      <c r="L96" s="304">
        <v>2.1064124511392261</v>
      </c>
      <c r="M96" s="304"/>
      <c r="N96" s="304">
        <v>4.1246901513585765</v>
      </c>
      <c r="O96" s="304">
        <v>4.4601054907891777</v>
      </c>
      <c r="P96" s="304">
        <v>4.7670498778167403</v>
      </c>
      <c r="Q96" s="304"/>
      <c r="R96" s="304">
        <v>2.5424232590034901</v>
      </c>
      <c r="S96" s="304">
        <v>2.8513932521362704</v>
      </c>
      <c r="T96" s="304">
        <v>3.0886042439325285</v>
      </c>
      <c r="U96" s="304"/>
      <c r="V96" s="304">
        <v>1.5860200521626435</v>
      </c>
      <c r="W96" s="304">
        <v>1.6225538679185747</v>
      </c>
      <c r="X96" s="304">
        <v>1.5968957720502235</v>
      </c>
      <c r="Y96" s="304"/>
      <c r="Z96" s="304">
        <v>4.6443248387048177</v>
      </c>
      <c r="AA96" s="304">
        <v>4.2797227216100699</v>
      </c>
      <c r="AB96" s="304">
        <v>1.5507022600403664</v>
      </c>
      <c r="AC96" s="304"/>
      <c r="AD96" s="304">
        <v>3.9456972758965523</v>
      </c>
      <c r="AE96" s="304">
        <v>2.8064108685602291</v>
      </c>
      <c r="AF96" s="304">
        <v>0.45913959067266646</v>
      </c>
      <c r="AG96" s="304"/>
      <c r="AH96" s="304">
        <v>2.114252842720469</v>
      </c>
      <c r="AI96" s="304">
        <v>0.73331911046485232</v>
      </c>
      <c r="AJ96" s="304">
        <v>4.8697630430120792E-3</v>
      </c>
      <c r="AK96" s="304"/>
      <c r="AL96" s="304">
        <v>0.25257653830587734</v>
      </c>
      <c r="AM96" s="304">
        <v>5.4665138071786523E-2</v>
      </c>
      <c r="AN96" s="304">
        <v>1.989019475761912E-2</v>
      </c>
    </row>
    <row r="97" spans="1:40" x14ac:dyDescent="0.2">
      <c r="A97" s="13" t="str">
        <f t="shared" si="80"/>
        <v>Skilled trades occupations</v>
      </c>
      <c r="B97" s="305">
        <f t="shared" si="82"/>
        <v>2.2045134355374993</v>
      </c>
      <c r="C97" s="305">
        <f t="shared" si="83"/>
        <v>2.0951258258010523</v>
      </c>
      <c r="D97" s="305">
        <f t="shared" si="84"/>
        <v>1.7942353342035751</v>
      </c>
      <c r="E97" s="304"/>
      <c r="F97" s="304">
        <v>2.3235397807620364E-2</v>
      </c>
      <c r="G97" s="304">
        <v>2.7210159800434505E-2</v>
      </c>
      <c r="H97" s="304">
        <v>3.3200545933020083E-2</v>
      </c>
      <c r="I97" s="304"/>
      <c r="J97" s="304">
        <v>6.6070287012650608E-2</v>
      </c>
      <c r="K97" s="304">
        <v>8.5266068766483682E-2</v>
      </c>
      <c r="L97" s="304">
        <v>0.13626323797562445</v>
      </c>
      <c r="M97" s="304"/>
      <c r="N97" s="304">
        <v>0.29576653328732061</v>
      </c>
      <c r="O97" s="304">
        <v>0.35325284673833279</v>
      </c>
      <c r="P97" s="304">
        <v>0.38560284840850023</v>
      </c>
      <c r="Q97" s="304"/>
      <c r="R97" s="304">
        <v>0.11799456074327731</v>
      </c>
      <c r="S97" s="304">
        <v>0.12453517943551973</v>
      </c>
      <c r="T97" s="304">
        <v>0.13851531610699253</v>
      </c>
      <c r="U97" s="304"/>
      <c r="V97" s="304">
        <v>0.11292040093839699</v>
      </c>
      <c r="W97" s="304">
        <v>0.12125186917922423</v>
      </c>
      <c r="X97" s="304">
        <v>0.15680133581626582</v>
      </c>
      <c r="Y97" s="304"/>
      <c r="Z97" s="304">
        <v>0.51480668609831204</v>
      </c>
      <c r="AA97" s="304">
        <v>0.4181592688094547</v>
      </c>
      <c r="AB97" s="304">
        <v>0.2997926567368962</v>
      </c>
      <c r="AC97" s="304"/>
      <c r="AD97" s="304">
        <v>0.67818738437445725</v>
      </c>
      <c r="AE97" s="304">
        <v>0.58845374923048011</v>
      </c>
      <c r="AF97" s="304">
        <v>0.35575396571533435</v>
      </c>
      <c r="AG97" s="304"/>
      <c r="AH97" s="304">
        <v>0.31641843397039382</v>
      </c>
      <c r="AI97" s="304">
        <v>0.29840381208373834</v>
      </c>
      <c r="AJ97" s="304">
        <v>0.24271512419759564</v>
      </c>
      <c r="AK97" s="304"/>
      <c r="AL97" s="304">
        <v>7.9113751305070423E-2</v>
      </c>
      <c r="AM97" s="304">
        <v>7.8592871757384108E-2</v>
      </c>
      <c r="AN97" s="304">
        <v>4.5590303313345772E-2</v>
      </c>
    </row>
    <row r="98" spans="1:40" x14ac:dyDescent="0.2">
      <c r="A98" s="13" t="str">
        <f t="shared" si="80"/>
        <v>Caring, leisure and other service occupations</v>
      </c>
      <c r="B98" s="305">
        <f t="shared" si="82"/>
        <v>49.194064293407315</v>
      </c>
      <c r="C98" s="305">
        <f t="shared" si="83"/>
        <v>52.384461200363567</v>
      </c>
      <c r="D98" s="305">
        <f t="shared" si="84"/>
        <v>55.095302204422744</v>
      </c>
      <c r="E98" s="304"/>
      <c r="F98" s="304">
        <v>4.4013316530237691E-2</v>
      </c>
      <c r="G98" s="304">
        <v>6.1454275717685268E-2</v>
      </c>
      <c r="H98" s="304">
        <v>8.4419043564028781E-2</v>
      </c>
      <c r="I98" s="304"/>
      <c r="J98" s="304">
        <v>2.2145128694480376</v>
      </c>
      <c r="K98" s="304">
        <v>2.9029971939000929</v>
      </c>
      <c r="L98" s="304">
        <v>3.8889476907271541</v>
      </c>
      <c r="M98" s="304"/>
      <c r="N98" s="304">
        <v>6.191262730152741</v>
      </c>
      <c r="O98" s="304">
        <v>7.4416660298970916</v>
      </c>
      <c r="P98" s="304">
        <v>8.8764481199720517</v>
      </c>
      <c r="Q98" s="304"/>
      <c r="R98" s="304">
        <v>5.0166006822649249</v>
      </c>
      <c r="S98" s="304">
        <v>5.2443578189386599</v>
      </c>
      <c r="T98" s="304">
        <v>5.2407654199177021</v>
      </c>
      <c r="U98" s="304"/>
      <c r="V98" s="304">
        <v>3.3987421572604455</v>
      </c>
      <c r="W98" s="304">
        <v>3.6526249714504129</v>
      </c>
      <c r="X98" s="304">
        <v>3.896351293296652</v>
      </c>
      <c r="Y98" s="304"/>
      <c r="Z98" s="304">
        <v>18.806783836503715</v>
      </c>
      <c r="AA98" s="304">
        <v>20.035396233782436</v>
      </c>
      <c r="AB98" s="304">
        <v>22.541776406036465</v>
      </c>
      <c r="AC98" s="304"/>
      <c r="AD98" s="304">
        <v>11.676206662165763</v>
      </c>
      <c r="AE98" s="304">
        <v>11.736308728800884</v>
      </c>
      <c r="AF98" s="304">
        <v>9.6105182690480166</v>
      </c>
      <c r="AG98" s="304"/>
      <c r="AH98" s="304">
        <v>1.5723986709959323</v>
      </c>
      <c r="AI98" s="304">
        <v>1.0294643254113063</v>
      </c>
      <c r="AJ98" s="304">
        <v>0.66963937474384061</v>
      </c>
      <c r="AK98" s="304"/>
      <c r="AL98" s="304">
        <v>0.27354336808552265</v>
      </c>
      <c r="AM98" s="304">
        <v>0.28019162246499912</v>
      </c>
      <c r="AN98" s="304">
        <v>0.28643658711682901</v>
      </c>
    </row>
    <row r="99" spans="1:40" x14ac:dyDescent="0.2">
      <c r="A99" s="13" t="str">
        <f t="shared" si="80"/>
        <v>Sales and customer service occupations</v>
      </c>
      <c r="B99" s="305">
        <f t="shared" si="82"/>
        <v>2.3612885508387453</v>
      </c>
      <c r="C99" s="305">
        <f t="shared" si="83"/>
        <v>2.6134589245243451</v>
      </c>
      <c r="D99" s="305">
        <f>SUM(H99,L99,P99,T99,X99,AB99,AF99,AJ99,AN99)</f>
        <v>2.5550733758050943</v>
      </c>
      <c r="E99" s="304"/>
      <c r="F99" s="304">
        <v>1.4646729187787548E-2</v>
      </c>
      <c r="G99" s="304">
        <v>1.8698919746519514E-2</v>
      </c>
      <c r="H99" s="304">
        <v>2.2657830659310107E-2</v>
      </c>
      <c r="I99" s="304"/>
      <c r="J99" s="304">
        <v>0.26684848587409382</v>
      </c>
      <c r="K99" s="304">
        <v>0.33566079361108841</v>
      </c>
      <c r="L99" s="304">
        <v>0.38556003202244216</v>
      </c>
      <c r="M99" s="304"/>
      <c r="N99" s="304">
        <v>0.59363812290894247</v>
      </c>
      <c r="O99" s="304">
        <v>0.69404985200743863</v>
      </c>
      <c r="P99" s="304">
        <v>0.76058542650686889</v>
      </c>
      <c r="Q99" s="304"/>
      <c r="R99" s="304">
        <v>0.31479953092811175</v>
      </c>
      <c r="S99" s="304">
        <v>0.31961453858932737</v>
      </c>
      <c r="T99" s="304">
        <v>0.3138473138547066</v>
      </c>
      <c r="U99" s="304"/>
      <c r="V99" s="304">
        <v>0.20602687409220802</v>
      </c>
      <c r="W99" s="304">
        <v>0.23299484597446829</v>
      </c>
      <c r="X99" s="304">
        <v>0.25050271170534549</v>
      </c>
      <c r="Y99" s="304"/>
      <c r="Z99" s="304">
        <v>0.4593045975306031</v>
      </c>
      <c r="AA99" s="304">
        <v>0.48583158552613653</v>
      </c>
      <c r="AB99" s="304">
        <v>0.45241133651140442</v>
      </c>
      <c r="AC99" s="304"/>
      <c r="AD99" s="304">
        <v>0.35119637502821321</v>
      </c>
      <c r="AE99" s="304">
        <v>0.35760154255363169</v>
      </c>
      <c r="AF99" s="304">
        <v>0.21415863098887353</v>
      </c>
      <c r="AG99" s="304"/>
      <c r="AH99" s="304">
        <v>0.10952310480759553</v>
      </c>
      <c r="AI99" s="304">
        <v>0.10042092331808215</v>
      </c>
      <c r="AJ99" s="304">
        <v>4.6354524667869837E-2</v>
      </c>
      <c r="AK99" s="304"/>
      <c r="AL99" s="304">
        <v>4.5304730481190013E-2</v>
      </c>
      <c r="AM99" s="304">
        <v>6.8585923197652818E-2</v>
      </c>
      <c r="AN99" s="304">
        <v>0.10899556888827318</v>
      </c>
    </row>
    <row r="100" spans="1:40" x14ac:dyDescent="0.2">
      <c r="A100" s="13" t="str">
        <f t="shared" si="80"/>
        <v>Process, plant and machine operatives</v>
      </c>
      <c r="B100" s="305">
        <f t="shared" si="82"/>
        <v>2.603474181069326</v>
      </c>
      <c r="C100" s="305">
        <f t="shared" si="83"/>
        <v>2.9561535701869746</v>
      </c>
      <c r="D100" s="305">
        <f t="shared" si="84"/>
        <v>2.7798750651248003</v>
      </c>
      <c r="E100" s="304"/>
      <c r="F100" s="304">
        <v>1.969727853674829E-2</v>
      </c>
      <c r="G100" s="304">
        <v>2.6838995325658855E-2</v>
      </c>
      <c r="H100" s="304">
        <v>3.5036348195513795E-2</v>
      </c>
      <c r="I100" s="304"/>
      <c r="J100" s="304">
        <v>5.572075701269949E-2</v>
      </c>
      <c r="K100" s="304">
        <v>7.9351766581902711E-2</v>
      </c>
      <c r="L100" s="304">
        <v>9.4973107463165354E-2</v>
      </c>
      <c r="M100" s="304"/>
      <c r="N100" s="304">
        <v>0.24951891682382604</v>
      </c>
      <c r="O100" s="304">
        <v>0.31250648130744368</v>
      </c>
      <c r="P100" s="304">
        <v>0.35321073246499513</v>
      </c>
      <c r="Q100" s="304"/>
      <c r="R100" s="304">
        <v>0.10971105622771697</v>
      </c>
      <c r="S100" s="304">
        <v>0.14890737395406878</v>
      </c>
      <c r="T100" s="304">
        <v>0.18213352072957595</v>
      </c>
      <c r="U100" s="304"/>
      <c r="V100" s="304">
        <v>0.3028154148594332</v>
      </c>
      <c r="W100" s="304">
        <v>0.35627437758759739</v>
      </c>
      <c r="X100" s="304">
        <v>0.42742576302468266</v>
      </c>
      <c r="Y100" s="304"/>
      <c r="Z100" s="304">
        <v>0.69459391138796256</v>
      </c>
      <c r="AA100" s="304">
        <v>0.7828184885222067</v>
      </c>
      <c r="AB100" s="304">
        <v>0.80427605744304542</v>
      </c>
      <c r="AC100" s="304"/>
      <c r="AD100" s="304">
        <v>0.46540004022664561</v>
      </c>
      <c r="AE100" s="304">
        <v>0.47174743312718109</v>
      </c>
      <c r="AF100" s="304">
        <v>0.2870886001824009</v>
      </c>
      <c r="AG100" s="304"/>
      <c r="AH100" s="304">
        <v>0.57883291598486375</v>
      </c>
      <c r="AI100" s="304">
        <v>0.61578064977570124</v>
      </c>
      <c r="AJ100" s="304">
        <v>0.3318572368105569</v>
      </c>
      <c r="AK100" s="304"/>
      <c r="AL100" s="304">
        <v>0.1271838900094302</v>
      </c>
      <c r="AM100" s="304">
        <v>0.16192800400521379</v>
      </c>
      <c r="AN100" s="304">
        <v>0.26387369881086392</v>
      </c>
    </row>
    <row r="101" spans="1:40" x14ac:dyDescent="0.2">
      <c r="A101" s="39" t="str">
        <f t="shared" si="80"/>
        <v>Elementary occupations</v>
      </c>
      <c r="B101" s="307">
        <f t="shared" si="82"/>
        <v>7.3058256533782142</v>
      </c>
      <c r="C101" s="307">
        <f t="shared" si="83"/>
        <v>6.5310948466839003</v>
      </c>
      <c r="D101" s="307">
        <f t="shared" si="84"/>
        <v>4.9218706592971051</v>
      </c>
      <c r="E101" s="307"/>
      <c r="F101" s="307">
        <v>6.619094290294082E-3</v>
      </c>
      <c r="G101" s="307">
        <v>7.2452993541523535E-3</v>
      </c>
      <c r="H101" s="307">
        <v>5.781736971866837E-3</v>
      </c>
      <c r="I101" s="307"/>
      <c r="J101" s="307">
        <v>0.11569035293681508</v>
      </c>
      <c r="K101" s="307">
        <v>0.13968823131757485</v>
      </c>
      <c r="L101" s="307">
        <v>0.18649466627583611</v>
      </c>
      <c r="M101" s="307"/>
      <c r="N101" s="307">
        <v>0.37139031058656963</v>
      </c>
      <c r="O101" s="307">
        <v>0.43615646982786599</v>
      </c>
      <c r="P101" s="307">
        <v>0.53379632145884848</v>
      </c>
      <c r="Q101" s="307"/>
      <c r="R101" s="307">
        <v>0.33835430328237964</v>
      </c>
      <c r="S101" s="307">
        <v>0.36582229705671948</v>
      </c>
      <c r="T101" s="307">
        <v>0.3976945911721525</v>
      </c>
      <c r="U101" s="307"/>
      <c r="V101" s="307">
        <v>0.27196275226380751</v>
      </c>
      <c r="W101" s="307">
        <v>0.30761828341093445</v>
      </c>
      <c r="X101" s="307">
        <v>0.34908392552684497</v>
      </c>
      <c r="Y101" s="307"/>
      <c r="Z101" s="307">
        <v>1.7121268851266276</v>
      </c>
      <c r="AA101" s="307">
        <v>1.6658249110841008</v>
      </c>
      <c r="AB101" s="307">
        <v>1.4702278960486115</v>
      </c>
      <c r="AC101" s="307"/>
      <c r="AD101" s="307">
        <v>2.3697211750912586</v>
      </c>
      <c r="AE101" s="307">
        <v>2.2573892715255961</v>
      </c>
      <c r="AF101" s="307">
        <v>1.6265211297205708</v>
      </c>
      <c r="AG101" s="307"/>
      <c r="AH101" s="307">
        <v>1.6237600691603673</v>
      </c>
      <c r="AI101" s="307">
        <v>1.1107315275695884</v>
      </c>
      <c r="AJ101" s="307">
        <v>0.16918613079971581</v>
      </c>
      <c r="AK101" s="307"/>
      <c r="AL101" s="307">
        <v>0.49620071064009402</v>
      </c>
      <c r="AM101" s="307">
        <v>0.24061855553736822</v>
      </c>
      <c r="AN101" s="307">
        <v>0.18308426132265737</v>
      </c>
    </row>
  </sheetData>
  <mergeCells count="23">
    <mergeCell ref="AD88:AF88"/>
    <mergeCell ref="Z88:AB88"/>
    <mergeCell ref="AH88:AJ88"/>
    <mergeCell ref="AD4:AF4"/>
    <mergeCell ref="AH4:AJ4"/>
    <mergeCell ref="AL4:AN4"/>
    <mergeCell ref="AD46:AF46"/>
    <mergeCell ref="AH46:AJ46"/>
    <mergeCell ref="AL46:AN46"/>
    <mergeCell ref="Z4:AB4"/>
    <mergeCell ref="N46:P46"/>
    <mergeCell ref="R46:T46"/>
    <mergeCell ref="V46:X46"/>
    <mergeCell ref="Z46:AB46"/>
    <mergeCell ref="N88:P88"/>
    <mergeCell ref="R88:T88"/>
    <mergeCell ref="V88:X88"/>
    <mergeCell ref="B4:D4"/>
    <mergeCell ref="V4:X4"/>
    <mergeCell ref="R4:T4"/>
    <mergeCell ref="N4:P4"/>
    <mergeCell ref="J4:L4"/>
    <mergeCell ref="F4:H4"/>
  </mergeCells>
  <phoneticPr fontId="4" type="noConversion"/>
  <pageMargins left="0.74803149606299213" right="0.74803149606299213" top="0.59055118110236227" bottom="0.59055118110236227" header="0.51181102362204722" footer="0.51181102362204722"/>
  <pageSetup paperSize="9" scale="39" orientation="landscape" r:id="rId1"/>
  <headerFooter alignWithMargins="0"/>
  <rowBreaks count="1" manualBreakCount="1">
    <brk id="42" max="39" man="1"/>
  </row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48"/>
  <dimension ref="A1:CT146"/>
  <sheetViews>
    <sheetView showGridLines="0" zoomScale="85" zoomScaleNormal="85" workbookViewId="0">
      <selection sqref="A1:J1"/>
    </sheetView>
  </sheetViews>
  <sheetFormatPr defaultColWidth="9.140625" defaultRowHeight="12.75" x14ac:dyDescent="0.2"/>
  <cols>
    <col min="1" max="1" width="54.7109375" customWidth="1"/>
    <col min="2" max="6" width="8" customWidth="1"/>
    <col min="7" max="7" width="6.7109375" customWidth="1"/>
    <col min="8" max="10" width="10.7109375" customWidth="1"/>
    <col min="11" max="11" width="9.140625" customWidth="1"/>
    <col min="12" max="12" width="17.5703125" customWidth="1"/>
    <col min="13" max="17" width="8" customWidth="1"/>
    <col min="18" max="18" width="6.7109375" customWidth="1"/>
    <col min="19" max="21" width="10.7109375" customWidth="1"/>
    <col min="23" max="23" width="17.7109375" customWidth="1"/>
    <col min="24" max="28" width="8" customWidth="1"/>
    <col min="29" max="29" width="6.7109375" customWidth="1"/>
    <col min="30" max="32" width="10.7109375" customWidth="1"/>
    <col min="34" max="34" width="17.7109375" customWidth="1"/>
    <col min="35" max="39" width="7" customWidth="1"/>
    <col min="40" max="40" width="6.7109375" customWidth="1"/>
    <col min="41" max="43" width="10.7109375" customWidth="1"/>
    <col min="44" max="44" width="9.140625" customWidth="1"/>
    <col min="45" max="45" width="17.7109375" customWidth="1"/>
    <col min="46" max="50" width="8" customWidth="1"/>
    <col min="51" max="51" width="6.7109375" customWidth="1"/>
    <col min="52" max="54" width="10.7109375" customWidth="1"/>
    <col min="56" max="56" width="17.7109375" customWidth="1"/>
    <col min="57" max="61" width="8" customWidth="1"/>
    <col min="62" max="62" width="6.7109375" customWidth="1"/>
    <col min="63" max="65" width="10.7109375" customWidth="1"/>
    <col min="67" max="67" width="17.7109375" customWidth="1"/>
    <col min="68" max="72" width="8" customWidth="1"/>
    <col min="73" max="73" width="6.7109375" customWidth="1"/>
    <col min="74" max="76" width="10.7109375" customWidth="1"/>
    <col min="78" max="78" width="17.5703125" customWidth="1"/>
    <col min="79" max="83" width="8" customWidth="1"/>
    <col min="84" max="84" width="5.85546875" customWidth="1"/>
    <col min="85" max="87" width="10.7109375" customWidth="1"/>
    <col min="88" max="88" width="5.85546875" customWidth="1"/>
    <col min="89" max="89" width="17.7109375" customWidth="1"/>
    <col min="90" max="94" width="8" customWidth="1"/>
    <col min="95" max="95" width="6.85546875" customWidth="1"/>
    <col min="96" max="98" width="10.7109375" customWidth="1"/>
  </cols>
  <sheetData>
    <row r="1" spans="1:98" ht="49.5" customHeight="1" x14ac:dyDescent="0.2">
      <c r="A1" s="381" t="str">
        <f>CONCATENATE("Basic Table 2  Employment Change by Occupation and Replacement Demand, ",name!F4,", ",B$6,"-",F$6,", ",Info!B5)</f>
        <v>Basic Table 2  Employment Change by Occupation and Replacement Demand, RQF8 Doctorate, 2015-2035, Enterprise M3</v>
      </c>
      <c r="B1" s="381"/>
      <c r="C1" s="381"/>
      <c r="D1" s="381"/>
      <c r="E1" s="381"/>
      <c r="F1" s="381"/>
      <c r="G1" s="381"/>
      <c r="H1" s="381"/>
      <c r="I1" s="381"/>
      <c r="J1" s="381"/>
      <c r="L1" s="381" t="str">
        <f>CONCATENATE("Basic Table 2.1  Employment Change by Occupation and Replacement Demand, ",name!F5,", ",M$6,"-",Q$6,", ",Info!B5)</f>
        <v>Basic Table 2.1  Employment Change by Occupation and Replacement Demand, RQF7 Other higher degree, 2015-2035, Enterprise M3</v>
      </c>
      <c r="M1" s="381"/>
      <c r="N1" s="381"/>
      <c r="O1" s="381"/>
      <c r="P1" s="381"/>
      <c r="Q1" s="381"/>
      <c r="R1" s="381"/>
      <c r="S1" s="381"/>
      <c r="T1" s="381"/>
      <c r="U1" s="381"/>
      <c r="W1" s="381" t="str">
        <f>CONCATENATE("Basic Table 2.2  Employment Change by Occupation and Replacement Demand, ",name!F6,", ",X$6,"-",AB$6,", ",Info!B5)</f>
        <v>Basic Table 2.2  Employment Change by Occupation and Replacement Demand, RQF6 First degree, 2015-2035, Enterprise M3</v>
      </c>
      <c r="X1" s="381"/>
      <c r="Y1" s="381"/>
      <c r="Z1" s="381"/>
      <c r="AA1" s="381"/>
      <c r="AB1" s="381"/>
      <c r="AC1" s="381"/>
      <c r="AD1" s="381"/>
      <c r="AE1" s="381"/>
      <c r="AF1" s="381"/>
      <c r="AH1" s="381" t="str">
        <f>CONCATENATE("Basic Table 2.3  Employment Change by Occupation and Replacement Demand, ",name!F7,", ",AI$6,"-",AM$6,", ",Info!B5)</f>
        <v>Basic Table 2.3  Employment Change by Occupation and Replacement Demand, RQF5 Foundation degree;Nursing;Teaching, 2015-2035, Enterprise M3</v>
      </c>
      <c r="AI1" s="381"/>
      <c r="AJ1" s="381"/>
      <c r="AK1" s="381"/>
      <c r="AL1" s="381"/>
      <c r="AM1" s="381"/>
      <c r="AN1" s="381"/>
      <c r="AO1" s="381"/>
      <c r="AP1" s="381"/>
      <c r="AQ1" s="381"/>
      <c r="AS1" s="381" t="str">
        <f>CONCATENATE("Basic Table 2.4  Employment Change by Occupation and Replacement Demand, ",name!F8,", ",AT$6,"-",AX$6,", ",Info!B5)</f>
        <v>Basic Table 2.4  Employment Change by Occupation and Replacement Demand, RQF4 HE below degree level, 2015-2035, Enterprise M3</v>
      </c>
      <c r="AT1" s="381"/>
      <c r="AU1" s="381"/>
      <c r="AV1" s="381"/>
      <c r="AW1" s="381"/>
      <c r="AX1" s="381"/>
      <c r="AY1" s="381"/>
      <c r="AZ1" s="381"/>
      <c r="BA1" s="381"/>
      <c r="BB1" s="381"/>
      <c r="BD1" s="381" t="str">
        <f>CONCATENATE("Basic Table 2.5  Employment Change by Occupation and Replacement Demand, ",name!F9,", ",BE$6,"-",BI$6,", ",Info!B5)</f>
        <v>Basic Table 2.5  Employment Change by Occupation and Replacement Demand, RQF3 A level &amp; equivalent, 2015-2035, Enterprise M3</v>
      </c>
      <c r="BE1" s="381"/>
      <c r="BF1" s="381"/>
      <c r="BG1" s="381"/>
      <c r="BH1" s="381"/>
      <c r="BI1" s="381"/>
      <c r="BJ1" s="381"/>
      <c r="BK1" s="381"/>
      <c r="BL1" s="381"/>
      <c r="BM1" s="381"/>
      <c r="BO1" s="381" t="str">
        <f>CONCATENATE("Basic Table 2.6  Employment Change by Occupation and Replacement Demand, ",name!F10,", ",BP$6,"-",BT$6,", ",Info!B5)</f>
        <v>Basic Table 2.6  Employment Change by Occupation and Replacement Demand, RQF2 GCSE(A-C) &amp; equivalent, 2015-2035, Enterprise M3</v>
      </c>
      <c r="BP1" s="381"/>
      <c r="BQ1" s="381"/>
      <c r="BR1" s="381"/>
      <c r="BS1" s="381"/>
      <c r="BT1" s="381"/>
      <c r="BU1" s="381"/>
      <c r="BV1" s="381"/>
      <c r="BW1" s="381"/>
      <c r="BX1" s="381"/>
      <c r="BZ1" s="381" t="str">
        <f>CONCATENATE("Basic Table 2.7  Employment Change by Occupation and Replacement Demand, ",name!F11,", ",CA$6,"-",CE$6,", ",Info!B5)</f>
        <v>Basic Table 2.7  Employment Change by Occupation and Replacement Demand, RQF1 GCSE(below grade C) &amp; equivalent, 2015-2035, Enterprise M3</v>
      </c>
      <c r="CA1" s="381"/>
      <c r="CB1" s="381"/>
      <c r="CC1" s="381"/>
      <c r="CD1" s="381"/>
      <c r="CE1" s="381"/>
      <c r="CF1" s="381"/>
      <c r="CG1" s="381"/>
      <c r="CH1" s="381"/>
      <c r="CI1" s="381"/>
      <c r="CK1" s="381" t="str">
        <f>CONCATENATE("Basic Table 2.8  Employment Change by Occupation and Replacement Demand, ",name!F12,", ",CL$6,"-",CP$6,", ",Info!B5)</f>
        <v>Basic Table 2.8  Employment Change by Occupation and Replacement Demand, No Qualification, 2015-2035, Enterprise M3</v>
      </c>
      <c r="CL1" s="381"/>
      <c r="CM1" s="381"/>
      <c r="CN1" s="381"/>
      <c r="CO1" s="381"/>
      <c r="CP1" s="381"/>
      <c r="CQ1" s="381"/>
      <c r="CR1" s="381"/>
      <c r="CS1" s="381"/>
      <c r="CT1" s="381"/>
    </row>
    <row r="2" spans="1:98" ht="12.75" customHeight="1" x14ac:dyDescent="0.25">
      <c r="A2" s="365" t="s">
        <v>523</v>
      </c>
      <c r="L2" s="86"/>
      <c r="W2" s="86"/>
      <c r="AH2" s="86"/>
      <c r="AS2" s="86"/>
      <c r="BD2" s="86"/>
      <c r="BO2" s="86"/>
      <c r="BZ2" s="86"/>
      <c r="CK2" s="86"/>
    </row>
    <row r="3" spans="1:98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  <c r="AM3" s="16" t="s">
        <v>36</v>
      </c>
      <c r="AQ3" s="16" t="s">
        <v>36</v>
      </c>
      <c r="AX3" s="16" t="s">
        <v>36</v>
      </c>
      <c r="BB3" s="16" t="s">
        <v>36</v>
      </c>
      <c r="BI3" s="16" t="s">
        <v>36</v>
      </c>
      <c r="BM3" s="16" t="s">
        <v>36</v>
      </c>
      <c r="BT3" s="16" t="s">
        <v>36</v>
      </c>
      <c r="BX3" s="16" t="s">
        <v>36</v>
      </c>
      <c r="CE3" s="16" t="s">
        <v>36</v>
      </c>
      <c r="CI3" s="16" t="s">
        <v>36</v>
      </c>
      <c r="CP3" s="16" t="s">
        <v>36</v>
      </c>
      <c r="CT3" s="16" t="s">
        <v>36</v>
      </c>
    </row>
    <row r="4" spans="1:98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36"/>
      <c r="M4" s="36"/>
      <c r="N4" s="36"/>
      <c r="O4" s="36"/>
      <c r="P4" s="36"/>
      <c r="Q4" s="36"/>
      <c r="S4" s="28" t="str">
        <f>H4</f>
        <v>2020-2035</v>
      </c>
      <c r="T4" s="36"/>
      <c r="U4" s="36"/>
      <c r="W4" s="36"/>
      <c r="X4" s="36"/>
      <c r="Y4" s="36"/>
      <c r="Z4" s="36"/>
      <c r="AA4" s="36"/>
      <c r="AB4" s="36"/>
      <c r="AD4" s="28" t="str">
        <f>S4</f>
        <v>2020-2035</v>
      </c>
      <c r="AE4" s="36"/>
      <c r="AF4" s="36"/>
      <c r="AH4" s="36"/>
      <c r="AI4" s="36"/>
      <c r="AJ4" s="36"/>
      <c r="AK4" s="36"/>
      <c r="AL4" s="36"/>
      <c r="AM4" s="36"/>
      <c r="AO4" s="28" t="str">
        <f>AD4</f>
        <v>2020-2035</v>
      </c>
      <c r="AP4" s="36"/>
      <c r="AQ4" s="36"/>
      <c r="AS4" s="36"/>
      <c r="AT4" s="36"/>
      <c r="AU4" s="36"/>
      <c r="AV4" s="36"/>
      <c r="AW4" s="36"/>
      <c r="AX4" s="36"/>
      <c r="AZ4" s="28" t="str">
        <f>AO4</f>
        <v>2020-2035</v>
      </c>
      <c r="BA4" s="36"/>
      <c r="BB4" s="36"/>
      <c r="BD4" s="36"/>
      <c r="BE4" s="36"/>
      <c r="BF4" s="36"/>
      <c r="BG4" s="36"/>
      <c r="BH4" s="36"/>
      <c r="BI4" s="36"/>
      <c r="BK4" s="28" t="str">
        <f>AZ4</f>
        <v>2020-2035</v>
      </c>
      <c r="BL4" s="36"/>
      <c r="BM4" s="36"/>
      <c r="BO4" s="36"/>
      <c r="BP4" s="36"/>
      <c r="BQ4" s="36"/>
      <c r="BR4" s="36"/>
      <c r="BS4" s="36"/>
      <c r="BT4" s="36"/>
      <c r="BV4" s="28" t="str">
        <f>BK4</f>
        <v>2020-2035</v>
      </c>
      <c r="BW4" s="36"/>
      <c r="BX4" s="36"/>
      <c r="BZ4" s="36"/>
      <c r="CA4" s="36"/>
      <c r="CB4" s="36"/>
      <c r="CC4" s="36"/>
      <c r="CD4" s="36"/>
      <c r="CE4" s="36"/>
      <c r="CG4" s="28" t="str">
        <f>BV4</f>
        <v>2020-2035</v>
      </c>
      <c r="CH4" s="36"/>
      <c r="CI4" s="36"/>
      <c r="CK4" s="36"/>
      <c r="CL4" s="36"/>
      <c r="CM4" s="36"/>
      <c r="CN4" s="36"/>
      <c r="CO4" s="36"/>
      <c r="CP4" s="36"/>
      <c r="CR4" s="28" t="str">
        <f>CG4</f>
        <v>2020-2035</v>
      </c>
      <c r="CS4" s="36"/>
      <c r="CT4" s="36"/>
    </row>
    <row r="5" spans="1:98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  <c r="AO5" s="16" t="s">
        <v>30</v>
      </c>
      <c r="AP5" s="16" t="s">
        <v>31</v>
      </c>
      <c r="AQ5" s="16" t="s">
        <v>33</v>
      </c>
      <c r="AZ5" s="16" t="s">
        <v>30</v>
      </c>
      <c r="BA5" s="16" t="s">
        <v>31</v>
      </c>
      <c r="BB5" s="16" t="s">
        <v>33</v>
      </c>
      <c r="BK5" s="16" t="s">
        <v>30</v>
      </c>
      <c r="BL5" s="16" t="s">
        <v>31</v>
      </c>
      <c r="BM5" s="16" t="s">
        <v>33</v>
      </c>
      <c r="BV5" s="16" t="s">
        <v>30</v>
      </c>
      <c r="BW5" s="16" t="s">
        <v>31</v>
      </c>
      <c r="BX5" s="16" t="s">
        <v>33</v>
      </c>
      <c r="CG5" s="16" t="s">
        <v>30</v>
      </c>
      <c r="CH5" s="16" t="s">
        <v>31</v>
      </c>
      <c r="CI5" s="16" t="s">
        <v>33</v>
      </c>
      <c r="CR5" s="16" t="s">
        <v>30</v>
      </c>
      <c r="CS5" s="16" t="s">
        <v>31</v>
      </c>
      <c r="CT5" s="16" t="s">
        <v>33</v>
      </c>
    </row>
    <row r="6" spans="1:98" x14ac:dyDescent="0.2">
      <c r="A6" s="41" t="s">
        <v>18</v>
      </c>
      <c r="B6" s="35">
        <v>2015</v>
      </c>
      <c r="C6" s="35">
        <v>2019</v>
      </c>
      <c r="D6" s="35">
        <v>2020</v>
      </c>
      <c r="E6" s="35">
        <v>2025</v>
      </c>
      <c r="F6" s="35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35">
        <f>B6</f>
        <v>2015</v>
      </c>
      <c r="N6" s="35">
        <f t="shared" ref="N6:Q6" si="0">C6</f>
        <v>2019</v>
      </c>
      <c r="O6" s="35">
        <f t="shared" si="0"/>
        <v>2020</v>
      </c>
      <c r="P6" s="35">
        <f t="shared" si="0"/>
        <v>2025</v>
      </c>
      <c r="Q6" s="35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35">
        <f>M6</f>
        <v>2015</v>
      </c>
      <c r="Y6" s="35">
        <f t="shared" ref="Y6:AB6" si="1">N6</f>
        <v>2019</v>
      </c>
      <c r="Z6" s="35">
        <f t="shared" si="1"/>
        <v>2020</v>
      </c>
      <c r="AA6" s="35">
        <f t="shared" si="1"/>
        <v>2025</v>
      </c>
      <c r="AB6" s="35">
        <f t="shared" si="1"/>
        <v>2035</v>
      </c>
      <c r="AD6" s="63" t="s">
        <v>19</v>
      </c>
      <c r="AE6" s="63" t="s">
        <v>32</v>
      </c>
      <c r="AF6" s="63" t="s">
        <v>34</v>
      </c>
      <c r="AH6" s="41" t="s">
        <v>18</v>
      </c>
      <c r="AI6" s="35">
        <f>X6</f>
        <v>2015</v>
      </c>
      <c r="AJ6" s="35">
        <f t="shared" ref="AJ6" si="2">Y6</f>
        <v>2019</v>
      </c>
      <c r="AK6" s="35">
        <f t="shared" ref="AK6" si="3">Z6</f>
        <v>2020</v>
      </c>
      <c r="AL6" s="35">
        <f t="shared" ref="AL6" si="4">AA6</f>
        <v>2025</v>
      </c>
      <c r="AM6" s="35">
        <f t="shared" ref="AM6" si="5">AB6</f>
        <v>2035</v>
      </c>
      <c r="AO6" s="63" t="s">
        <v>19</v>
      </c>
      <c r="AP6" s="63" t="s">
        <v>32</v>
      </c>
      <c r="AQ6" s="63" t="s">
        <v>34</v>
      </c>
      <c r="AS6" s="41" t="s">
        <v>18</v>
      </c>
      <c r="AT6" s="35">
        <f>AI6</f>
        <v>2015</v>
      </c>
      <c r="AU6" s="35">
        <f t="shared" ref="AU6" si="6">AJ6</f>
        <v>2019</v>
      </c>
      <c r="AV6" s="35">
        <f t="shared" ref="AV6" si="7">AK6</f>
        <v>2020</v>
      </c>
      <c r="AW6" s="35">
        <f t="shared" ref="AW6" si="8">AL6</f>
        <v>2025</v>
      </c>
      <c r="AX6" s="35">
        <f t="shared" ref="AX6" si="9">AM6</f>
        <v>2035</v>
      </c>
      <c r="AZ6" s="63" t="s">
        <v>19</v>
      </c>
      <c r="BA6" s="63" t="s">
        <v>32</v>
      </c>
      <c r="BB6" s="63" t="s">
        <v>34</v>
      </c>
      <c r="BD6" s="41" t="s">
        <v>18</v>
      </c>
      <c r="BE6" s="35">
        <f>AT6</f>
        <v>2015</v>
      </c>
      <c r="BF6" s="35">
        <f t="shared" ref="BF6" si="10">AU6</f>
        <v>2019</v>
      </c>
      <c r="BG6" s="35">
        <f t="shared" ref="BG6" si="11">AV6</f>
        <v>2020</v>
      </c>
      <c r="BH6" s="35">
        <f t="shared" ref="BH6" si="12">AW6</f>
        <v>2025</v>
      </c>
      <c r="BI6" s="35">
        <f t="shared" ref="BI6" si="13">AX6</f>
        <v>2035</v>
      </c>
      <c r="BK6" s="63" t="s">
        <v>19</v>
      </c>
      <c r="BL6" s="63" t="s">
        <v>32</v>
      </c>
      <c r="BM6" s="63" t="s">
        <v>34</v>
      </c>
      <c r="BO6" s="41" t="s">
        <v>18</v>
      </c>
      <c r="BP6" s="35">
        <f>BE6</f>
        <v>2015</v>
      </c>
      <c r="BQ6" s="35">
        <f t="shared" ref="BQ6" si="14">BF6</f>
        <v>2019</v>
      </c>
      <c r="BR6" s="35">
        <f t="shared" ref="BR6" si="15">BG6</f>
        <v>2020</v>
      </c>
      <c r="BS6" s="35">
        <f t="shared" ref="BS6" si="16">BH6</f>
        <v>2025</v>
      </c>
      <c r="BT6" s="35">
        <f t="shared" ref="BT6" si="17">BI6</f>
        <v>2035</v>
      </c>
      <c r="BV6" s="63" t="s">
        <v>19</v>
      </c>
      <c r="BW6" s="63" t="s">
        <v>32</v>
      </c>
      <c r="BX6" s="63" t="s">
        <v>34</v>
      </c>
      <c r="BZ6" s="41" t="s">
        <v>18</v>
      </c>
      <c r="CA6" s="35">
        <f>BP6</f>
        <v>2015</v>
      </c>
      <c r="CB6" s="35">
        <f t="shared" ref="CB6" si="18">BQ6</f>
        <v>2019</v>
      </c>
      <c r="CC6" s="35">
        <f t="shared" ref="CC6" si="19">BR6</f>
        <v>2020</v>
      </c>
      <c r="CD6" s="35">
        <f t="shared" ref="CD6" si="20">BS6</f>
        <v>2025</v>
      </c>
      <c r="CE6" s="35">
        <f t="shared" ref="CE6" si="21">BT6</f>
        <v>2035</v>
      </c>
      <c r="CG6" s="63" t="s">
        <v>19</v>
      </c>
      <c r="CH6" s="63" t="s">
        <v>32</v>
      </c>
      <c r="CI6" s="63" t="s">
        <v>34</v>
      </c>
      <c r="CK6" s="41" t="s">
        <v>18</v>
      </c>
      <c r="CL6" s="35">
        <f>CA6</f>
        <v>2015</v>
      </c>
      <c r="CM6" s="35">
        <f t="shared" ref="CM6" si="22">CB6</f>
        <v>2019</v>
      </c>
      <c r="CN6" s="35">
        <f t="shared" ref="CN6" si="23">CC6</f>
        <v>2020</v>
      </c>
      <c r="CO6" s="35">
        <f t="shared" ref="CO6" si="24">CD6</f>
        <v>2025</v>
      </c>
      <c r="CP6" s="35">
        <f t="shared" ref="CP6" si="25">CE6</f>
        <v>2035</v>
      </c>
      <c r="CR6" s="63" t="s">
        <v>19</v>
      </c>
      <c r="CS6" s="63" t="s">
        <v>32</v>
      </c>
      <c r="CT6" s="63" t="s">
        <v>34</v>
      </c>
    </row>
    <row r="8" spans="1:98" x14ac:dyDescent="0.2">
      <c r="A8" s="10" t="str">
        <f>name!D4</f>
        <v>11 Corporate managers and directors</v>
      </c>
      <c r="B8" s="69">
        <v>1.0099624453304621</v>
      </c>
      <c r="C8" s="69">
        <v>1.231577777253098</v>
      </c>
      <c r="D8" s="69">
        <v>1.406513338367287</v>
      </c>
      <c r="E8" s="69">
        <v>1.4742292270887254</v>
      </c>
      <c r="F8" s="69">
        <v>1.9372051165924591</v>
      </c>
      <c r="G8" s="10"/>
      <c r="H8" s="69">
        <f>F8-D8</f>
        <v>0.53069177822517211</v>
      </c>
      <c r="I8" s="69">
        <f>'RD T1'!E36</f>
        <v>0.87062934774964096</v>
      </c>
      <c r="J8" s="69">
        <f>SUM(H8:I8)</f>
        <v>1.4013211259748131</v>
      </c>
      <c r="L8" t="str">
        <f>A8</f>
        <v>11 Corporate managers and directors</v>
      </c>
      <c r="M8" s="69">
        <v>8.0084512642914554</v>
      </c>
      <c r="N8" s="69">
        <v>10.338758570047565</v>
      </c>
      <c r="O8" s="69">
        <v>11.290721240204533</v>
      </c>
      <c r="P8" s="69">
        <v>11.683812969616554</v>
      </c>
      <c r="Q8" s="69">
        <v>15.213161309320711</v>
      </c>
      <c r="R8" s="10"/>
      <c r="S8" s="69">
        <f>Q8-O8</f>
        <v>3.9224400691161776</v>
      </c>
      <c r="T8" s="69">
        <f>'RD T1'!E65</f>
        <v>6.8903332256872716</v>
      </c>
      <c r="U8" s="69">
        <f>SUM(S8:T8)</f>
        <v>10.812773294803449</v>
      </c>
      <c r="W8" t="str">
        <f>A8</f>
        <v>11 Corporate managers and directors</v>
      </c>
      <c r="X8" s="69">
        <v>20.531268987596818</v>
      </c>
      <c r="Y8" s="69">
        <v>24.448461555694298</v>
      </c>
      <c r="Z8" s="69">
        <v>23.685473083806109</v>
      </c>
      <c r="AA8" s="69">
        <v>22.812860243980563</v>
      </c>
      <c r="AB8" s="69">
        <v>26.191775369493467</v>
      </c>
      <c r="AC8" s="69"/>
      <c r="AD8" s="69">
        <f>AB8-Z8</f>
        <v>2.506302285687358</v>
      </c>
      <c r="AE8" s="69">
        <f>'RD T1'!E94</f>
        <v>13.711126898060591</v>
      </c>
      <c r="AF8" s="69">
        <f>SUM(AD8:AE8)</f>
        <v>16.217429183747949</v>
      </c>
      <c r="AH8" t="str">
        <f>L8</f>
        <v>11 Corporate managers and directors</v>
      </c>
      <c r="AI8" s="69">
        <v>3.6981721629232251</v>
      </c>
      <c r="AJ8" s="69">
        <v>4.4268532761750645</v>
      </c>
      <c r="AK8" s="69">
        <v>4.522208236436037</v>
      </c>
      <c r="AL8" s="69">
        <v>4.1725150637106347</v>
      </c>
      <c r="AM8" s="69">
        <v>4.640195967995254</v>
      </c>
      <c r="AN8" s="69"/>
      <c r="AO8" s="69">
        <f>AM8-AK8</f>
        <v>0.11798773155921705</v>
      </c>
      <c r="AP8" s="69">
        <f>'RD T1'!E123</f>
        <v>2.3106740757093442</v>
      </c>
      <c r="AQ8" s="69">
        <f>SUM(AO8:AP8)</f>
        <v>2.4286618072685613</v>
      </c>
      <c r="AS8" t="str">
        <f>W8</f>
        <v>11 Corporate managers and directors</v>
      </c>
      <c r="AT8" s="69">
        <v>5.7735286229779019</v>
      </c>
      <c r="AU8" s="69">
        <v>6.6904470757834593</v>
      </c>
      <c r="AV8" s="69">
        <v>6.6864499911184634</v>
      </c>
      <c r="AW8" s="69">
        <v>6.0385604535770305</v>
      </c>
      <c r="AX8" s="69">
        <v>6.7116773619660615</v>
      </c>
      <c r="AY8" s="69"/>
      <c r="AZ8" s="69">
        <f>AX8-AV8</f>
        <v>2.5227370847598074E-2</v>
      </c>
      <c r="BA8" s="69">
        <f>'RD T1'!E152</f>
        <v>3.3663756313875224</v>
      </c>
      <c r="BB8" s="69">
        <f>SUM(AZ8:BA8)</f>
        <v>3.3916030022351205</v>
      </c>
      <c r="BD8" t="str">
        <f>AH8</f>
        <v>11 Corporate managers and directors</v>
      </c>
      <c r="BE8" s="69">
        <v>12.19543270826045</v>
      </c>
      <c r="BF8" s="69">
        <v>12.651717556170764</v>
      </c>
      <c r="BG8" s="69">
        <v>13.68650674887734</v>
      </c>
      <c r="BH8" s="69">
        <v>11.879181046631684</v>
      </c>
      <c r="BI8" s="69">
        <v>12.672953541267196</v>
      </c>
      <c r="BJ8" s="69"/>
      <c r="BK8" s="69">
        <f>BI8-BG8</f>
        <v>-1.0135532076101441</v>
      </c>
      <c r="BL8" s="69">
        <f>'RD T1'!E181</f>
        <v>5.5017997475402964</v>
      </c>
      <c r="BM8" s="69">
        <f>SUM(BK8:BL8)</f>
        <v>4.4882465399301523</v>
      </c>
      <c r="BO8" t="str">
        <f>AS8</f>
        <v>11 Corporate managers and directors</v>
      </c>
      <c r="BP8" s="69">
        <v>9.818543533264986</v>
      </c>
      <c r="BQ8" s="69">
        <v>10.702370754676981</v>
      </c>
      <c r="BR8" s="69">
        <v>10.021583655569753</v>
      </c>
      <c r="BS8" s="69">
        <v>8.8624373800017118</v>
      </c>
      <c r="BT8" s="69">
        <v>7.4226427775782655</v>
      </c>
      <c r="BU8" s="69"/>
      <c r="BV8" s="69">
        <f>BT8-BR8</f>
        <v>-2.5989408779914873</v>
      </c>
      <c r="BW8" s="69">
        <f>'RD T1'!E210</f>
        <v>3.8129425212482726</v>
      </c>
      <c r="BX8" s="69">
        <f>SUM(BV8:BW8)</f>
        <v>1.2140016432567853</v>
      </c>
      <c r="BZ8" t="str">
        <f>BD8</f>
        <v>11 Corporate managers and directors</v>
      </c>
      <c r="CA8" s="69">
        <v>6.643959456298532</v>
      </c>
      <c r="CB8" s="69">
        <v>6.674077461060218</v>
      </c>
      <c r="CC8" s="69">
        <v>6.4815661633182131</v>
      </c>
      <c r="CD8" s="69">
        <v>6.3408547908267376</v>
      </c>
      <c r="CE8" s="69">
        <v>4.9474827482910912</v>
      </c>
      <c r="CF8" s="69"/>
      <c r="CG8" s="69">
        <f>CE8-CC8</f>
        <v>-1.5340834150271219</v>
      </c>
      <c r="CH8" s="69">
        <f>'RD T1'!E239</f>
        <v>2.5342350575237722</v>
      </c>
      <c r="CI8" s="69">
        <f>SUM(CG8:CH8)</f>
        <v>1.0001516424966503</v>
      </c>
      <c r="CK8" t="str">
        <f>BO8</f>
        <v>11 Corporate managers and directors</v>
      </c>
      <c r="CL8" s="69">
        <v>0.99407602537724715</v>
      </c>
      <c r="CM8" s="69">
        <v>1.1898941490307913</v>
      </c>
      <c r="CN8" s="69">
        <v>1.0988188403346375</v>
      </c>
      <c r="CO8" s="69">
        <v>1.1516311722694246</v>
      </c>
      <c r="CP8" s="69">
        <v>1.4688461720392125</v>
      </c>
      <c r="CQ8" s="69"/>
      <c r="CR8" s="69">
        <f>CP8-CN8</f>
        <v>0.37002733170457502</v>
      </c>
      <c r="CS8" s="69">
        <f>'RD T1'!E268</f>
        <v>0.37543952635399508</v>
      </c>
      <c r="CT8" s="69">
        <f>SUM(CR8:CS8)</f>
        <v>0.74546685805857016</v>
      </c>
    </row>
    <row r="9" spans="1:98" x14ac:dyDescent="0.2">
      <c r="A9" s="10" t="str">
        <f>name!D5</f>
        <v>12 Other managers and proprietors</v>
      </c>
      <c r="B9" s="69">
        <v>0.3582569805187808</v>
      </c>
      <c r="C9" s="69">
        <v>0.45324967643066932</v>
      </c>
      <c r="D9" s="69">
        <v>0.46241307045477237</v>
      </c>
      <c r="E9" s="69">
        <v>0.65970509502537511</v>
      </c>
      <c r="F9" s="69">
        <v>0.91584846248250806</v>
      </c>
      <c r="H9" s="69">
        <f t="shared" ref="H9:H32" si="26">F9-D9</f>
        <v>0.4534353920277357</v>
      </c>
      <c r="I9" s="69">
        <f>'RD T1'!E37</f>
        <v>0.45171750538310484</v>
      </c>
      <c r="J9" s="69">
        <f t="shared" ref="J9:J32" si="27">SUM(H9:I9)</f>
        <v>0.90515289741084048</v>
      </c>
      <c r="L9" t="str">
        <f t="shared" ref="L9:L32" si="28">A9</f>
        <v>12 Other managers and proprietors</v>
      </c>
      <c r="M9" s="69">
        <v>3.0779761970814365</v>
      </c>
      <c r="N9" s="69">
        <v>3.7090241819239216</v>
      </c>
      <c r="O9" s="69">
        <v>4.0246337718354237</v>
      </c>
      <c r="P9" s="69">
        <v>5.6687841397882384</v>
      </c>
      <c r="Q9" s="69">
        <v>7.9897103148752224</v>
      </c>
      <c r="S9" s="69">
        <f t="shared" ref="S9:S35" si="29">Q9-O9</f>
        <v>3.9650765430397987</v>
      </c>
      <c r="T9" s="69">
        <f>'RD T1'!E66</f>
        <v>3.8421305479832215</v>
      </c>
      <c r="U9" s="69">
        <f t="shared" ref="U9:U32" si="30">SUM(S9:T9)</f>
        <v>7.8072070910230202</v>
      </c>
      <c r="W9" t="str">
        <f t="shared" ref="W9:W32" si="31">A9</f>
        <v>12 Other managers and proprietors</v>
      </c>
      <c r="X9" s="69">
        <v>7.3327792516080637</v>
      </c>
      <c r="Y9" s="69">
        <v>7.9801889444184759</v>
      </c>
      <c r="Z9" s="69">
        <v>7.6546378168647315</v>
      </c>
      <c r="AA9" s="69">
        <v>9.9407721370394473</v>
      </c>
      <c r="AB9" s="69">
        <v>12.343306163848801</v>
      </c>
      <c r="AC9" s="69"/>
      <c r="AD9" s="69">
        <f t="shared" ref="AD9:AD32" si="32">AB9-Z9</f>
        <v>4.6886683469840698</v>
      </c>
      <c r="AE9" s="69">
        <f>'RD T1'!E95</f>
        <v>6.7259353940827218</v>
      </c>
      <c r="AF9" s="69">
        <f t="shared" ref="AF9:AF32" si="33">SUM(AD9:AE9)</f>
        <v>11.414603741066792</v>
      </c>
      <c r="AH9" t="str">
        <f t="shared" ref="AH9:AH32" si="34">L9</f>
        <v>12 Other managers and proprietors</v>
      </c>
      <c r="AI9" s="69">
        <v>1.9913822210581542</v>
      </c>
      <c r="AJ9" s="69">
        <v>2.2524102350082087</v>
      </c>
      <c r="AK9" s="69">
        <v>2.3237620529198519</v>
      </c>
      <c r="AL9" s="69">
        <v>2.8742014056287717</v>
      </c>
      <c r="AM9" s="69">
        <v>3.5740913079145833</v>
      </c>
      <c r="AN9" s="69"/>
      <c r="AO9" s="69">
        <f t="shared" ref="AO9:AO32" si="35">AM9-AK9</f>
        <v>1.2503292549947314</v>
      </c>
      <c r="AP9" s="69">
        <f>'RD T1'!E124</f>
        <v>1.987980609634042</v>
      </c>
      <c r="AQ9" s="69">
        <f t="shared" ref="AQ9:AQ32" si="36">SUM(AO9:AP9)</f>
        <v>3.2383098646287731</v>
      </c>
      <c r="AS9" t="str">
        <f t="shared" ref="AS9:AS32" si="37">W9</f>
        <v>12 Other managers and proprietors</v>
      </c>
      <c r="AT9" s="69">
        <v>2.3480514623854432</v>
      </c>
      <c r="AU9" s="69">
        <v>2.5085031005296283</v>
      </c>
      <c r="AV9" s="69">
        <v>2.4733797540272837</v>
      </c>
      <c r="AW9" s="69">
        <v>3.1513237595326191</v>
      </c>
      <c r="AX9" s="69">
        <v>3.8026844262184234</v>
      </c>
      <c r="AY9" s="69"/>
      <c r="AZ9" s="69">
        <f t="shared" ref="AZ9:AZ32" si="38">AX9-AV9</f>
        <v>1.3293046721911397</v>
      </c>
      <c r="BA9" s="69">
        <f>'RD T1'!E153</f>
        <v>1.99843870344833</v>
      </c>
      <c r="BB9" s="69">
        <f t="shared" ref="BB9:BB32" si="39">SUM(AZ9:BA9)</f>
        <v>3.3277433756394696</v>
      </c>
      <c r="BD9" t="str">
        <f t="shared" ref="BD9:BD32" si="40">AH9</f>
        <v>12 Other managers and proprietors</v>
      </c>
      <c r="BE9" s="69">
        <v>5.7906939063119847</v>
      </c>
      <c r="BF9" s="69">
        <v>5.0608589630527243</v>
      </c>
      <c r="BG9" s="69">
        <v>5.3577953823806004</v>
      </c>
      <c r="BH9" s="69">
        <v>6.1298373702258564</v>
      </c>
      <c r="BI9" s="69">
        <v>6.5574194213196026</v>
      </c>
      <c r="BJ9" s="69"/>
      <c r="BK9" s="69">
        <f t="shared" ref="BK9:BK32" si="41">BI9-BG9</f>
        <v>1.1996240389390023</v>
      </c>
      <c r="BL9" s="69">
        <f>'RD T1'!E182</f>
        <v>3.0537552445806297</v>
      </c>
      <c r="BM9" s="69">
        <f t="shared" ref="BM9:BM32" si="42">SUM(BK9:BL9)</f>
        <v>4.2533792835196316</v>
      </c>
      <c r="BO9" t="str">
        <f t="shared" ref="BO9:BO32" si="43">AS9</f>
        <v>12 Other managers and proprietors</v>
      </c>
      <c r="BP9" s="69">
        <v>5.6836803344100728</v>
      </c>
      <c r="BQ9" s="69">
        <v>5.4725286562476017</v>
      </c>
      <c r="BR9" s="69">
        <v>5.1881009091121868</v>
      </c>
      <c r="BS9" s="69">
        <v>6.409421236013559</v>
      </c>
      <c r="BT9" s="69">
        <v>6.3587788484248771</v>
      </c>
      <c r="BU9" s="69"/>
      <c r="BV9" s="69">
        <f t="shared" ref="BV9:BV32" si="44">BT9-BR9</f>
        <v>1.1706779393126903</v>
      </c>
      <c r="BW9" s="69">
        <f>'RD T1'!E211</f>
        <v>3.3722057153631062</v>
      </c>
      <c r="BX9" s="69">
        <f t="shared" ref="BX9:BX32" si="45">SUM(BV9:BW9)</f>
        <v>4.542883654675796</v>
      </c>
      <c r="BZ9" t="str">
        <f t="shared" ref="BZ9:BZ32" si="46">BD9</f>
        <v>12 Other managers and proprietors</v>
      </c>
      <c r="CA9" s="69">
        <v>3.569256061338534</v>
      </c>
      <c r="CB9" s="69">
        <v>3.1251608425747404</v>
      </c>
      <c r="CC9" s="69">
        <v>2.6897655363870516</v>
      </c>
      <c r="CD9" s="69">
        <v>3.1599222266706533</v>
      </c>
      <c r="CE9" s="69">
        <v>2.4987371775744909</v>
      </c>
      <c r="CF9" s="69"/>
      <c r="CG9" s="69">
        <f t="shared" ref="CG9:CG32" si="47">CE9-CC9</f>
        <v>-0.19102835881256075</v>
      </c>
      <c r="CH9" s="69">
        <f>'RD T1'!E240</f>
        <v>1.296466650076755</v>
      </c>
      <c r="CI9" s="69">
        <f t="shared" ref="CI9:CI32" si="48">SUM(CG9:CH9)</f>
        <v>1.1054382912641942</v>
      </c>
      <c r="CK9" t="str">
        <f t="shared" ref="CK9:CK32" si="49">BO9</f>
        <v>12 Other managers and proprietors</v>
      </c>
      <c r="CL9" s="69">
        <v>0.99793404624649096</v>
      </c>
      <c r="CM9" s="69">
        <v>0.99848613028682964</v>
      </c>
      <c r="CN9" s="69">
        <v>0.87561619033777216</v>
      </c>
      <c r="CO9" s="69">
        <v>1.2823031125890569</v>
      </c>
      <c r="CP9" s="69">
        <v>1.702932724888901</v>
      </c>
      <c r="CQ9" s="69"/>
      <c r="CR9" s="69">
        <f t="shared" ref="CR9:CR32" si="50">CP9-CN9</f>
        <v>0.82731653455112886</v>
      </c>
      <c r="CS9" s="69">
        <f>'RD T1'!E269</f>
        <v>0.46492695410540069</v>
      </c>
      <c r="CT9" s="69">
        <f t="shared" ref="CT9:CT32" si="51">SUM(CR9:CS9)</f>
        <v>1.2922434886565295</v>
      </c>
    </row>
    <row r="10" spans="1:98" x14ac:dyDescent="0.2">
      <c r="A10" s="10" t="str">
        <f>name!D6</f>
        <v>21 Science, research, engineering and technology professionals</v>
      </c>
      <c r="B10" s="69">
        <v>2.9038689663097266</v>
      </c>
      <c r="C10" s="69">
        <v>3.507300729928295</v>
      </c>
      <c r="D10" s="69">
        <v>3.7264783870920986</v>
      </c>
      <c r="E10" s="69">
        <v>4.2022806229552057</v>
      </c>
      <c r="F10" s="69">
        <v>5.1929103759135149</v>
      </c>
      <c r="G10" s="11"/>
      <c r="H10" s="69">
        <f t="shared" si="26"/>
        <v>1.4664319888214163</v>
      </c>
      <c r="I10" s="69">
        <f>'RD T1'!E38</f>
        <v>1.7119151379812625</v>
      </c>
      <c r="J10" s="69">
        <f t="shared" si="27"/>
        <v>3.1783471268026791</v>
      </c>
      <c r="L10" t="str">
        <f t="shared" si="28"/>
        <v>21 Science, research, engineering and technology professionals</v>
      </c>
      <c r="M10" s="69">
        <v>11.921215770097826</v>
      </c>
      <c r="N10" s="69">
        <v>14.733008198180674</v>
      </c>
      <c r="O10" s="69">
        <v>16.730086728247379</v>
      </c>
      <c r="P10" s="69">
        <v>19.877181201633448</v>
      </c>
      <c r="Q10" s="69">
        <v>26.045451115130287</v>
      </c>
      <c r="R10" s="11"/>
      <c r="S10" s="69">
        <f t="shared" si="29"/>
        <v>9.3153643868829086</v>
      </c>
      <c r="T10" s="69">
        <f>'RD T1'!E67</f>
        <v>8.608092744441322</v>
      </c>
      <c r="U10" s="69">
        <f t="shared" si="30"/>
        <v>17.923457131324231</v>
      </c>
      <c r="W10" t="str">
        <f t="shared" si="31"/>
        <v>21 Science, research, engineering and technology professionals</v>
      </c>
      <c r="X10" s="69">
        <v>23.332205494238533</v>
      </c>
      <c r="Y10" s="69">
        <v>24.942369246256852</v>
      </c>
      <c r="Z10" s="69">
        <v>24.627521670016844</v>
      </c>
      <c r="AA10" s="69">
        <v>25.861707154275347</v>
      </c>
      <c r="AB10" s="69">
        <v>27.164272798180747</v>
      </c>
      <c r="AC10" s="69"/>
      <c r="AD10" s="69">
        <f t="shared" si="32"/>
        <v>2.5367511281639032</v>
      </c>
      <c r="AE10" s="69">
        <f>'RD T1'!E96</f>
        <v>10.429349377211039</v>
      </c>
      <c r="AF10" s="69">
        <f t="shared" si="33"/>
        <v>12.966100505374943</v>
      </c>
      <c r="AH10" t="str">
        <f t="shared" si="34"/>
        <v>21 Science, research, engineering and technology professionals</v>
      </c>
      <c r="AI10" s="69">
        <v>2.3445035165543349</v>
      </c>
      <c r="AJ10" s="69">
        <v>2.595874481098237</v>
      </c>
      <c r="AK10" s="69">
        <v>2.6741529901377774</v>
      </c>
      <c r="AL10" s="69">
        <v>2.8976538843068478</v>
      </c>
      <c r="AM10" s="69">
        <v>3.32096117617112</v>
      </c>
      <c r="AN10" s="69"/>
      <c r="AO10" s="69">
        <f t="shared" si="35"/>
        <v>0.64680818603334256</v>
      </c>
      <c r="AP10" s="69">
        <f>'RD T1'!E125</f>
        <v>1.1602394982674358</v>
      </c>
      <c r="AQ10" s="69">
        <f t="shared" si="36"/>
        <v>1.8070476843007783</v>
      </c>
      <c r="AS10" t="str">
        <f t="shared" si="37"/>
        <v>21 Science, research, engineering and technology professionals</v>
      </c>
      <c r="AT10" s="69">
        <v>5.7468971836204057</v>
      </c>
      <c r="AU10" s="69">
        <v>5.9507290647952296</v>
      </c>
      <c r="AV10" s="69">
        <v>5.8461716850112548</v>
      </c>
      <c r="AW10" s="69">
        <v>5.564564905687817</v>
      </c>
      <c r="AX10" s="69">
        <v>5.5287717799172436</v>
      </c>
      <c r="AY10" s="69"/>
      <c r="AZ10" s="69">
        <f t="shared" si="38"/>
        <v>-0.31739990509401128</v>
      </c>
      <c r="BA10" s="69">
        <f>'RD T1'!E154</f>
        <v>2.0857685673800228</v>
      </c>
      <c r="BB10" s="69">
        <f t="shared" si="39"/>
        <v>1.7683686622860115</v>
      </c>
      <c r="BD10" t="str">
        <f t="shared" si="40"/>
        <v>21 Science, research, engineering and technology professionals</v>
      </c>
      <c r="BE10" s="69">
        <v>7.2958708014217049</v>
      </c>
      <c r="BF10" s="69">
        <v>6.6355484817882786</v>
      </c>
      <c r="BG10" s="69">
        <v>7.1748412357760358</v>
      </c>
      <c r="BH10" s="69">
        <v>6.2693677794766458</v>
      </c>
      <c r="BI10" s="69">
        <v>5.8739568173756114</v>
      </c>
      <c r="BJ10" s="69"/>
      <c r="BK10" s="69">
        <f t="shared" si="41"/>
        <v>-1.3008844184004245</v>
      </c>
      <c r="BL10" s="69">
        <f>'RD T1'!E183</f>
        <v>1.7955805129514042</v>
      </c>
      <c r="BM10" s="69">
        <f t="shared" si="42"/>
        <v>0.49469609455097974</v>
      </c>
      <c r="BO10" t="str">
        <f t="shared" si="43"/>
        <v>21 Science, research, engineering and technology professionals</v>
      </c>
      <c r="BP10" s="69">
        <v>5.3703618611921158</v>
      </c>
      <c r="BQ10" s="69">
        <v>5.40418555404659</v>
      </c>
      <c r="BR10" s="69">
        <v>5.1534284316517081</v>
      </c>
      <c r="BS10" s="69">
        <v>5.0709184142847388</v>
      </c>
      <c r="BT10" s="69">
        <v>4.5061470663772569</v>
      </c>
      <c r="BU10" s="69"/>
      <c r="BV10" s="69">
        <f t="shared" si="44"/>
        <v>-0.64728136527445113</v>
      </c>
      <c r="BW10" s="69">
        <f>'RD T1'!E212</f>
        <v>1.6227103017501521</v>
      </c>
      <c r="BX10" s="69">
        <f t="shared" si="45"/>
        <v>0.97542893647570095</v>
      </c>
      <c r="BZ10" t="str">
        <f t="shared" si="46"/>
        <v>21 Science, research, engineering and technology professionals</v>
      </c>
      <c r="CA10" s="69">
        <v>3.6756430964054245</v>
      </c>
      <c r="CB10" s="69">
        <v>3.4163849433709128</v>
      </c>
      <c r="CC10" s="69">
        <v>3.2310050733791669</v>
      </c>
      <c r="CD10" s="69">
        <v>3.5381817602142611</v>
      </c>
      <c r="CE10" s="69">
        <v>2.5351425995883048</v>
      </c>
      <c r="CF10" s="69"/>
      <c r="CG10" s="69">
        <f t="shared" si="47"/>
        <v>-0.69586247379086208</v>
      </c>
      <c r="CH10" s="69">
        <f>'RD T1'!E241</f>
        <v>0.92309139088288727</v>
      </c>
      <c r="CI10" s="69">
        <f t="shared" si="48"/>
        <v>0.2272289170920252</v>
      </c>
      <c r="CK10" t="str">
        <f t="shared" si="49"/>
        <v>21 Science, research, engineering and technology professionals</v>
      </c>
      <c r="CL10" s="69">
        <v>0.58599735155392818</v>
      </c>
      <c r="CM10" s="69">
        <v>0.77700874142291532</v>
      </c>
      <c r="CN10" s="69">
        <v>0.76949449030013362</v>
      </c>
      <c r="CO10" s="69">
        <v>1.1720808885701752</v>
      </c>
      <c r="CP10" s="69">
        <v>1.8101794396619433</v>
      </c>
      <c r="CQ10" s="69"/>
      <c r="CR10" s="69">
        <f t="shared" si="50"/>
        <v>1.0406849493618098</v>
      </c>
      <c r="CS10" s="69">
        <f>'RD T1'!E270</f>
        <v>0.37819186089940304</v>
      </c>
      <c r="CT10" s="69">
        <f t="shared" si="51"/>
        <v>1.4188768102612128</v>
      </c>
    </row>
    <row r="11" spans="1:98" x14ac:dyDescent="0.2">
      <c r="A11" s="10" t="str">
        <f>name!D7</f>
        <v>22 Health professionals</v>
      </c>
      <c r="B11" s="69">
        <v>1.4417231362014571</v>
      </c>
      <c r="C11" s="69">
        <v>1.9850922168010754</v>
      </c>
      <c r="D11" s="69">
        <v>2.0659005850098118</v>
      </c>
      <c r="E11" s="69">
        <v>2.4802720172347139</v>
      </c>
      <c r="F11" s="69">
        <v>3.0260617335404927</v>
      </c>
      <c r="G11" s="11"/>
      <c r="H11" s="69">
        <f t="shared" si="26"/>
        <v>0.96016114853068091</v>
      </c>
      <c r="I11" s="69">
        <f>'RD T1'!E39</f>
        <v>1.3315326856454495</v>
      </c>
      <c r="J11" s="69">
        <f t="shared" si="27"/>
        <v>2.2916938341761304</v>
      </c>
      <c r="L11" t="str">
        <f t="shared" si="28"/>
        <v>22 Health professionals</v>
      </c>
      <c r="M11" s="69">
        <v>4.6246850438647513</v>
      </c>
      <c r="N11" s="69">
        <v>6.4482646541962598</v>
      </c>
      <c r="O11" s="69">
        <v>6.7615792567128787</v>
      </c>
      <c r="P11" s="69">
        <v>7.994022525752567</v>
      </c>
      <c r="Q11" s="69">
        <v>9.506849184127045</v>
      </c>
      <c r="R11" s="11"/>
      <c r="S11" s="69">
        <f t="shared" si="29"/>
        <v>2.7452699274141663</v>
      </c>
      <c r="T11" s="69">
        <f>'RD T1'!E68</f>
        <v>4.5290588404093004</v>
      </c>
      <c r="U11" s="69">
        <f t="shared" si="30"/>
        <v>7.2743287678234667</v>
      </c>
      <c r="W11" t="str">
        <f t="shared" si="31"/>
        <v>22 Health professionals</v>
      </c>
      <c r="X11" s="69">
        <v>10.157317143921725</v>
      </c>
      <c r="Y11" s="69">
        <v>12.745976128950897</v>
      </c>
      <c r="Z11" s="69">
        <v>12.47714033470529</v>
      </c>
      <c r="AA11" s="69">
        <v>13.789152110966189</v>
      </c>
      <c r="AB11" s="69">
        <v>15.076619923972487</v>
      </c>
      <c r="AC11" s="69"/>
      <c r="AD11" s="69">
        <f t="shared" si="32"/>
        <v>2.5994795892671974</v>
      </c>
      <c r="AE11" s="69">
        <f>'RD T1'!E97</f>
        <v>8.0284042056137945</v>
      </c>
      <c r="AF11" s="69">
        <f t="shared" si="33"/>
        <v>10.627883794880992</v>
      </c>
      <c r="AH11" t="str">
        <f t="shared" si="34"/>
        <v>22 Health professionals</v>
      </c>
      <c r="AI11" s="69">
        <v>5.1595642346112749</v>
      </c>
      <c r="AJ11" s="69">
        <v>4.4503792277029044</v>
      </c>
      <c r="AK11" s="69">
        <v>3.9179069896910232</v>
      </c>
      <c r="AL11" s="69">
        <v>2.3789198672301386</v>
      </c>
      <c r="AM11" s="69">
        <v>0.9135566304257895</v>
      </c>
      <c r="AN11" s="69"/>
      <c r="AO11" s="69">
        <f t="shared" si="35"/>
        <v>-3.0043503592652336</v>
      </c>
      <c r="AP11" s="69">
        <f>'RD T1'!E126</f>
        <v>0.79309516268270819</v>
      </c>
      <c r="AQ11" s="69">
        <f t="shared" si="36"/>
        <v>-2.2112551965825253</v>
      </c>
      <c r="AS11" t="str">
        <f t="shared" si="37"/>
        <v>22 Health professionals</v>
      </c>
      <c r="AT11" s="69">
        <v>0.76460629820996329</v>
      </c>
      <c r="AU11" s="69">
        <v>0.9257535107161976</v>
      </c>
      <c r="AV11" s="69">
        <v>1.0313755125471249</v>
      </c>
      <c r="AW11" s="69">
        <v>1.0683063318272108</v>
      </c>
      <c r="AX11" s="69">
        <v>1.1468467359189374</v>
      </c>
      <c r="AY11" s="69"/>
      <c r="AZ11" s="69">
        <f t="shared" si="38"/>
        <v>0.11547122337181248</v>
      </c>
      <c r="BA11" s="69">
        <f>'RD T1'!E155</f>
        <v>0.56016860761210374</v>
      </c>
      <c r="BB11" s="69">
        <f t="shared" si="39"/>
        <v>0.67563983098391622</v>
      </c>
      <c r="BD11" t="str">
        <f t="shared" si="40"/>
        <v>22 Health professionals</v>
      </c>
      <c r="BE11" s="69">
        <v>2.7623427790832311</v>
      </c>
      <c r="BF11" s="69">
        <v>3.302032006836868</v>
      </c>
      <c r="BG11" s="69">
        <v>3.5794798657346716</v>
      </c>
      <c r="BH11" s="69">
        <v>3.7898076952882103</v>
      </c>
      <c r="BI11" s="69">
        <v>4.1067543583015231</v>
      </c>
      <c r="BJ11" s="69"/>
      <c r="BK11" s="69">
        <f t="shared" si="41"/>
        <v>0.52727449256685155</v>
      </c>
      <c r="BL11" s="69">
        <f>'RD T1'!E184</f>
        <v>2.2152718243168299</v>
      </c>
      <c r="BM11" s="69">
        <f t="shared" si="42"/>
        <v>2.7425463168836814</v>
      </c>
      <c r="BO11" t="str">
        <f t="shared" si="43"/>
        <v>22 Health professionals</v>
      </c>
      <c r="BP11" s="69">
        <v>2.0345758520485808</v>
      </c>
      <c r="BQ11" s="69">
        <v>2.2974258013823761</v>
      </c>
      <c r="BR11" s="69">
        <v>2.2841972976465201</v>
      </c>
      <c r="BS11" s="69">
        <v>2.31742313023596</v>
      </c>
      <c r="BT11" s="69">
        <v>1.8467111115550408</v>
      </c>
      <c r="BU11" s="69"/>
      <c r="BV11" s="69">
        <f t="shared" si="44"/>
        <v>-0.43748618609147938</v>
      </c>
      <c r="BW11" s="69">
        <f>'RD T1'!E213</f>
        <v>1.0241319994891316</v>
      </c>
      <c r="BX11" s="69">
        <f t="shared" si="45"/>
        <v>0.5866458133976522</v>
      </c>
      <c r="BZ11" t="str">
        <f t="shared" si="46"/>
        <v>22 Health professionals</v>
      </c>
      <c r="CA11" s="69">
        <v>1.2058204645751682</v>
      </c>
      <c r="CB11" s="69">
        <v>1.4605765931571217</v>
      </c>
      <c r="CC11" s="69">
        <v>1.1973621329212667</v>
      </c>
      <c r="CD11" s="69">
        <v>1.2804693733266184</v>
      </c>
      <c r="CE11" s="69">
        <v>0.81246587068041287</v>
      </c>
      <c r="CF11" s="69"/>
      <c r="CG11" s="69">
        <f t="shared" si="47"/>
        <v>-0.38489626224085383</v>
      </c>
      <c r="CH11" s="69">
        <f>'RD T1'!E242</f>
        <v>0.48088013550542591</v>
      </c>
      <c r="CI11" s="69">
        <f t="shared" si="48"/>
        <v>9.5983873264572084E-2</v>
      </c>
      <c r="CK11" t="str">
        <f t="shared" si="49"/>
        <v>22 Health professionals</v>
      </c>
      <c r="CL11" s="69">
        <v>0.11655943219526488</v>
      </c>
      <c r="CM11" s="69">
        <v>0.1887617529894568</v>
      </c>
      <c r="CN11" s="69">
        <v>0.19214638860708494</v>
      </c>
      <c r="CO11" s="69">
        <v>0.34795572010101922</v>
      </c>
      <c r="CP11" s="69">
        <v>0.7098708918616693</v>
      </c>
      <c r="CQ11" s="69"/>
      <c r="CR11" s="69">
        <f t="shared" si="50"/>
        <v>0.5177245032545843</v>
      </c>
      <c r="CS11" s="69">
        <f>'RD T1'!E271</f>
        <v>0.16592178999092191</v>
      </c>
      <c r="CT11" s="69">
        <f t="shared" si="51"/>
        <v>0.68364629324550619</v>
      </c>
    </row>
    <row r="12" spans="1:98" x14ac:dyDescent="0.2">
      <c r="A12" s="10" t="str">
        <f>name!D8</f>
        <v>23 Teaching and other educational professionals</v>
      </c>
      <c r="B12" s="69">
        <v>2.9769114027527332</v>
      </c>
      <c r="C12" s="69">
        <v>3.3359078257889596</v>
      </c>
      <c r="D12" s="69">
        <v>3.4962322060996316</v>
      </c>
      <c r="E12" s="69">
        <v>3.8927602119006544</v>
      </c>
      <c r="F12" s="69">
        <v>4.5844584015381082</v>
      </c>
      <c r="G12" s="11"/>
      <c r="H12" s="69">
        <f t="shared" si="26"/>
        <v>1.0882261954384767</v>
      </c>
      <c r="I12" s="69">
        <f>'RD T1'!E40</f>
        <v>2.0790853071645432</v>
      </c>
      <c r="J12" s="69">
        <f t="shared" si="27"/>
        <v>3.1673115026030199</v>
      </c>
      <c r="L12" t="str">
        <f t="shared" si="28"/>
        <v>23 Teaching and other educational professionals</v>
      </c>
      <c r="M12" s="69">
        <v>16.989788582825334</v>
      </c>
      <c r="N12" s="69">
        <v>19.43726785134006</v>
      </c>
      <c r="O12" s="69">
        <v>19.859119201450408</v>
      </c>
      <c r="P12" s="69">
        <v>22.010675023513102</v>
      </c>
      <c r="Q12" s="69">
        <v>25.419618140693014</v>
      </c>
      <c r="R12" s="11"/>
      <c r="S12" s="69">
        <f t="shared" si="29"/>
        <v>5.5604989392426063</v>
      </c>
      <c r="T12" s="69">
        <f>'RD T1'!E69</f>
        <v>12.254899009839171</v>
      </c>
      <c r="U12" s="69">
        <f t="shared" si="30"/>
        <v>17.815397949081778</v>
      </c>
      <c r="W12" t="str">
        <f t="shared" si="31"/>
        <v>23 Teaching and other educational professionals</v>
      </c>
      <c r="X12" s="69">
        <v>12.433172850580721</v>
      </c>
      <c r="Y12" s="69">
        <v>11.399736292222643</v>
      </c>
      <c r="Z12" s="69">
        <v>11.073205505832906</v>
      </c>
      <c r="AA12" s="69">
        <v>9.9388154461157665</v>
      </c>
      <c r="AB12" s="69">
        <v>8.7817535666512416</v>
      </c>
      <c r="AC12" s="69"/>
      <c r="AD12" s="69">
        <f t="shared" si="32"/>
        <v>-2.2914519391816643</v>
      </c>
      <c r="AE12" s="69">
        <f>'RD T1'!E98</f>
        <v>5.0276502271047203</v>
      </c>
      <c r="AF12" s="69">
        <f t="shared" si="33"/>
        <v>2.736198287923056</v>
      </c>
      <c r="AH12" t="str">
        <f t="shared" si="34"/>
        <v>23 Teaching and other educational professionals</v>
      </c>
      <c r="AI12" s="69">
        <v>1.6431270938377613</v>
      </c>
      <c r="AJ12" s="69">
        <v>1.0016649796443036</v>
      </c>
      <c r="AK12" s="69">
        <v>0.87612366951649634</v>
      </c>
      <c r="AL12" s="69">
        <v>0.61812326487521596</v>
      </c>
      <c r="AM12" s="69">
        <v>0.62843602493875106</v>
      </c>
      <c r="AN12" s="69"/>
      <c r="AO12" s="69">
        <f t="shared" si="35"/>
        <v>-0.24768764457774528</v>
      </c>
      <c r="AP12" s="69">
        <f>'RD T1'!E127</f>
        <v>0.19783979526998685</v>
      </c>
      <c r="AQ12" s="69">
        <f t="shared" si="36"/>
        <v>-4.9847849307758429E-2</v>
      </c>
      <c r="AS12" t="str">
        <f t="shared" si="37"/>
        <v>23 Teaching and other educational professionals</v>
      </c>
      <c r="AT12" s="69">
        <v>0.44174076326325284</v>
      </c>
      <c r="AU12" s="69">
        <v>0.43877238421339532</v>
      </c>
      <c r="AV12" s="69">
        <v>0.43870075672595843</v>
      </c>
      <c r="AW12" s="69">
        <v>0.37407713222091421</v>
      </c>
      <c r="AX12" s="69">
        <v>0.34442819408160974</v>
      </c>
      <c r="AY12" s="69"/>
      <c r="AZ12" s="69">
        <f t="shared" si="38"/>
        <v>-9.427256264434869E-2</v>
      </c>
      <c r="BA12" s="69">
        <f>'RD T1'!E156</f>
        <v>0.18076048452799573</v>
      </c>
      <c r="BB12" s="69">
        <f t="shared" si="39"/>
        <v>8.648792188364704E-2</v>
      </c>
      <c r="BD12" t="str">
        <f t="shared" si="40"/>
        <v>23 Teaching and other educational professionals</v>
      </c>
      <c r="BE12" s="69">
        <v>1.5323862049691126</v>
      </c>
      <c r="BF12" s="69">
        <v>1.414148790888579</v>
      </c>
      <c r="BG12" s="69">
        <v>1.5986898197202666</v>
      </c>
      <c r="BH12" s="69">
        <v>1.6768498617731593</v>
      </c>
      <c r="BI12" s="69">
        <v>2.0067216102367471</v>
      </c>
      <c r="BJ12" s="69"/>
      <c r="BK12" s="69">
        <f t="shared" si="41"/>
        <v>0.40803179051648053</v>
      </c>
      <c r="BL12" s="69">
        <f>'RD T1'!E185</f>
        <v>0.74233831193243127</v>
      </c>
      <c r="BM12" s="69">
        <f t="shared" si="42"/>
        <v>1.1503701024489117</v>
      </c>
      <c r="BO12" t="str">
        <f t="shared" si="43"/>
        <v>23 Teaching and other educational professionals</v>
      </c>
      <c r="BP12" s="69">
        <v>1.2477929163077304</v>
      </c>
      <c r="BQ12" s="69">
        <v>1.1668341647102967</v>
      </c>
      <c r="BR12" s="69">
        <v>1.1719333829537681</v>
      </c>
      <c r="BS12" s="69">
        <v>1.1522801365563129</v>
      </c>
      <c r="BT12" s="69">
        <v>1.0696650145330604</v>
      </c>
      <c r="BU12" s="69"/>
      <c r="BV12" s="69">
        <f t="shared" si="44"/>
        <v>-0.10226836842070774</v>
      </c>
      <c r="BW12" s="69">
        <f>'RD T1'!E214</f>
        <v>0.50883845840112119</v>
      </c>
      <c r="BX12" s="69">
        <f t="shared" si="45"/>
        <v>0.40657008998041344</v>
      </c>
      <c r="BZ12" t="str">
        <f t="shared" si="46"/>
        <v>23 Teaching and other educational professionals</v>
      </c>
      <c r="CA12" s="69">
        <v>0.84572924565460306</v>
      </c>
      <c r="CB12" s="69">
        <v>0.78536890490339784</v>
      </c>
      <c r="CC12" s="69">
        <v>0.74268631404652563</v>
      </c>
      <c r="CD12" s="69">
        <v>0.84840275016283362</v>
      </c>
      <c r="CE12" s="69">
        <v>0.79019978293254989</v>
      </c>
      <c r="CF12" s="69"/>
      <c r="CG12" s="69">
        <f t="shared" si="47"/>
        <v>4.7513468886024257E-2</v>
      </c>
      <c r="CH12" s="69">
        <f>'RD T1'!E243</f>
        <v>0.34999852525877878</v>
      </c>
      <c r="CI12" s="69">
        <f t="shared" si="48"/>
        <v>0.39751199414480304</v>
      </c>
      <c r="CK12" t="str">
        <f t="shared" si="49"/>
        <v>23 Teaching and other educational professionals</v>
      </c>
      <c r="CL12" s="69">
        <v>0.11234931351304234</v>
      </c>
      <c r="CM12" s="69">
        <v>0.14672443541864241</v>
      </c>
      <c r="CN12" s="69">
        <v>0.16180616199018644</v>
      </c>
      <c r="CO12" s="69">
        <v>0.23049687357229973</v>
      </c>
      <c r="CP12" s="69">
        <v>0.27859118193737137</v>
      </c>
      <c r="CQ12" s="69"/>
      <c r="CR12" s="69">
        <f t="shared" si="50"/>
        <v>0.11678501994718493</v>
      </c>
      <c r="CS12" s="69">
        <f>'RD T1'!E272</f>
        <v>8.1947855543050757E-2</v>
      </c>
      <c r="CT12" s="69">
        <f t="shared" si="51"/>
        <v>0.19873287549023569</v>
      </c>
    </row>
    <row r="13" spans="1:98" x14ac:dyDescent="0.2">
      <c r="A13" s="10" t="str">
        <f>name!D9</f>
        <v>24 Business, media and public service professionals</v>
      </c>
      <c r="B13" s="69">
        <v>0.97157231017919832</v>
      </c>
      <c r="C13" s="69">
        <v>1.1983286612183268</v>
      </c>
      <c r="D13" s="69">
        <v>1.3749778355672453</v>
      </c>
      <c r="E13" s="69">
        <v>1.7248856507107664</v>
      </c>
      <c r="F13" s="69">
        <v>2.3242454772037688</v>
      </c>
      <c r="G13" s="11"/>
      <c r="H13" s="69">
        <f t="shared" si="26"/>
        <v>0.94926764163652355</v>
      </c>
      <c r="I13" s="69">
        <f>'RD T1'!E41</f>
        <v>0.93118808001360609</v>
      </c>
      <c r="J13" s="69">
        <f t="shared" si="27"/>
        <v>1.8804557216501296</v>
      </c>
      <c r="L13" t="str">
        <f t="shared" si="28"/>
        <v>24 Business, media and public service professionals</v>
      </c>
      <c r="M13" s="69">
        <v>12.246843132541079</v>
      </c>
      <c r="N13" s="69">
        <v>15.47152810993925</v>
      </c>
      <c r="O13" s="69">
        <v>16.750517280132414</v>
      </c>
      <c r="P13" s="69">
        <v>19.990610084284839</v>
      </c>
      <c r="Q13" s="69">
        <v>25.055144820287417</v>
      </c>
      <c r="R13" s="11"/>
      <c r="S13" s="69">
        <f t="shared" si="29"/>
        <v>8.3046275401550034</v>
      </c>
      <c r="T13" s="69">
        <f>'RD T1'!E70</f>
        <v>10.624778925803801</v>
      </c>
      <c r="U13" s="69">
        <f t="shared" si="30"/>
        <v>18.929406465958806</v>
      </c>
      <c r="W13" t="str">
        <f t="shared" si="31"/>
        <v>24 Business, media and public service professionals</v>
      </c>
      <c r="X13" s="69">
        <v>22.754289000942261</v>
      </c>
      <c r="Y13" s="69">
        <v>25.003728107191996</v>
      </c>
      <c r="Z13" s="69">
        <v>25.677091687829506</v>
      </c>
      <c r="AA13" s="69">
        <v>28.345690839259923</v>
      </c>
      <c r="AB13" s="69">
        <v>30.869680787544326</v>
      </c>
      <c r="AC13" s="69"/>
      <c r="AD13" s="69">
        <f t="shared" si="32"/>
        <v>5.1925890997148194</v>
      </c>
      <c r="AE13" s="69">
        <f>'RD T1'!E99</f>
        <v>14.802005667940602</v>
      </c>
      <c r="AF13" s="69">
        <f t="shared" si="33"/>
        <v>19.994594767655421</v>
      </c>
      <c r="AH13" t="str">
        <f t="shared" si="34"/>
        <v>24 Business, media and public service professionals</v>
      </c>
      <c r="AI13" s="69">
        <v>2.3172393196756969</v>
      </c>
      <c r="AJ13" s="69">
        <v>2.3349178236876149</v>
      </c>
      <c r="AK13" s="69">
        <v>2.4873851666236639</v>
      </c>
      <c r="AL13" s="69">
        <v>2.4474034662113548</v>
      </c>
      <c r="AM13" s="69">
        <v>2.6296067477627987</v>
      </c>
      <c r="AN13" s="69"/>
      <c r="AO13" s="69">
        <f t="shared" si="35"/>
        <v>0.14222158113913475</v>
      </c>
      <c r="AP13" s="69">
        <f>'RD T1'!E128</f>
        <v>0.9615886222061274</v>
      </c>
      <c r="AQ13" s="69">
        <f t="shared" si="36"/>
        <v>1.1038102033452621</v>
      </c>
      <c r="AS13" t="str">
        <f t="shared" si="37"/>
        <v>24 Business, media and public service professionals</v>
      </c>
      <c r="AT13" s="69">
        <v>3.5308085106870646</v>
      </c>
      <c r="AU13" s="69">
        <v>3.7790375798993878</v>
      </c>
      <c r="AV13" s="69">
        <v>3.9397440332053861</v>
      </c>
      <c r="AW13" s="69">
        <v>4.3276026426563199</v>
      </c>
      <c r="AX13" s="69">
        <v>4.8966842308892158</v>
      </c>
      <c r="AY13" s="69"/>
      <c r="AZ13" s="69">
        <f t="shared" si="38"/>
        <v>0.95694019768382965</v>
      </c>
      <c r="BA13" s="69">
        <f>'RD T1'!E157</f>
        <v>2.1890089161474018</v>
      </c>
      <c r="BB13" s="69">
        <f t="shared" si="39"/>
        <v>3.1459491138312314</v>
      </c>
      <c r="BD13" t="str">
        <f t="shared" si="40"/>
        <v>24 Business, media and public service professionals</v>
      </c>
      <c r="BE13" s="69">
        <v>7.1253861224064101</v>
      </c>
      <c r="BF13" s="69">
        <v>7.1506415356452102</v>
      </c>
      <c r="BG13" s="69">
        <v>8.1469008593004997</v>
      </c>
      <c r="BH13" s="69">
        <v>8.8676453416357912</v>
      </c>
      <c r="BI13" s="69">
        <v>9.4952387327046939</v>
      </c>
      <c r="BJ13" s="69"/>
      <c r="BK13" s="69">
        <f t="shared" si="41"/>
        <v>1.3483378734041942</v>
      </c>
      <c r="BL13" s="69">
        <f>'RD T1'!E186</f>
        <v>3.7176095702421881</v>
      </c>
      <c r="BM13" s="69">
        <f t="shared" si="42"/>
        <v>5.0659474436463823</v>
      </c>
      <c r="BO13" t="str">
        <f t="shared" si="43"/>
        <v>24 Business, media and public service professionals</v>
      </c>
      <c r="BP13" s="69">
        <v>5.1216479531476686</v>
      </c>
      <c r="BQ13" s="69">
        <v>5.3520264872225329</v>
      </c>
      <c r="BR13" s="69">
        <v>5.2371468704852235</v>
      </c>
      <c r="BS13" s="69">
        <v>5.4757051451921379</v>
      </c>
      <c r="BT13" s="69">
        <v>4.7040405838588244</v>
      </c>
      <c r="BU13" s="69"/>
      <c r="BV13" s="69">
        <f t="shared" si="44"/>
        <v>-0.53310628662639914</v>
      </c>
      <c r="BW13" s="69">
        <f>'RD T1'!E215</f>
        <v>2.0621610939251305</v>
      </c>
      <c r="BX13" s="69">
        <f t="shared" si="45"/>
        <v>1.5290548072987313</v>
      </c>
      <c r="BZ13" t="str">
        <f t="shared" si="46"/>
        <v>24 Business, media and public service professionals</v>
      </c>
      <c r="CA13" s="69">
        <v>3.1284208898999535</v>
      </c>
      <c r="CB13" s="69">
        <v>3.1228015379367524</v>
      </c>
      <c r="CC13" s="69">
        <v>3.0197054132096408</v>
      </c>
      <c r="CD13" s="69">
        <v>3.1952385681771389</v>
      </c>
      <c r="CE13" s="69">
        <v>2.1332393902418607</v>
      </c>
      <c r="CF13" s="69"/>
      <c r="CG13" s="69">
        <f t="shared" si="47"/>
        <v>-0.8864660229677801</v>
      </c>
      <c r="CH13" s="69">
        <f>'RD T1'!E244</f>
        <v>1.0559114238362546</v>
      </c>
      <c r="CI13" s="69">
        <f t="shared" si="48"/>
        <v>0.16944540086847448</v>
      </c>
      <c r="CK13" t="str">
        <f t="shared" si="49"/>
        <v>24 Business, media and public service professionals</v>
      </c>
      <c r="CL13" s="69">
        <v>0.54175702217639199</v>
      </c>
      <c r="CM13" s="69">
        <v>0.6790405383806819</v>
      </c>
      <c r="CN13" s="69">
        <v>0.68872444512603148</v>
      </c>
      <c r="CO13" s="69">
        <v>0.94242915164531027</v>
      </c>
      <c r="CP13" s="69">
        <v>1.3947132627303596</v>
      </c>
      <c r="CQ13" s="69"/>
      <c r="CR13" s="69">
        <f t="shared" si="50"/>
        <v>0.70598881760432808</v>
      </c>
      <c r="CS13" s="69">
        <f>'RD T1'!E273</f>
        <v>0.33607751280321785</v>
      </c>
      <c r="CT13" s="69">
        <f t="shared" si="51"/>
        <v>1.0420663304075459</v>
      </c>
    </row>
    <row r="14" spans="1:98" x14ac:dyDescent="0.2">
      <c r="A14" s="10" t="str">
        <f>name!D10</f>
        <v>31 Science, engineering and technology associate professionals</v>
      </c>
      <c r="B14" s="69">
        <v>0.31126819199538353</v>
      </c>
      <c r="C14" s="69">
        <v>0.42249100594006989</v>
      </c>
      <c r="D14" s="69">
        <v>0.47747700262376663</v>
      </c>
      <c r="E14" s="69">
        <v>0.50949118110813263</v>
      </c>
      <c r="F14" s="69">
        <v>0.72515232299040633</v>
      </c>
      <c r="G14" s="11"/>
      <c r="H14" s="69">
        <f t="shared" si="26"/>
        <v>0.2476753203666397</v>
      </c>
      <c r="I14" s="69">
        <f>'RD T1'!E42</f>
        <v>0.27435252520729858</v>
      </c>
      <c r="J14" s="69">
        <f t="shared" si="27"/>
        <v>0.52202784557393822</v>
      </c>
      <c r="L14" t="str">
        <f t="shared" si="28"/>
        <v>31 Science, engineering and technology associate professionals</v>
      </c>
      <c r="M14" s="69">
        <v>1.7180953658722169</v>
      </c>
      <c r="N14" s="69">
        <v>2.2234663145466453</v>
      </c>
      <c r="O14" s="69">
        <v>2.6305783390071968</v>
      </c>
      <c r="P14" s="69">
        <v>2.5035545233215011</v>
      </c>
      <c r="Q14" s="69">
        <v>3.1806449882456631</v>
      </c>
      <c r="R14" s="11"/>
      <c r="S14" s="69">
        <f t="shared" si="29"/>
        <v>0.55006664923846627</v>
      </c>
      <c r="T14" s="69">
        <f>'RD T1'!E71</f>
        <v>1.2106283768478807</v>
      </c>
      <c r="U14" s="69">
        <f t="shared" si="30"/>
        <v>1.760695026086347</v>
      </c>
      <c r="W14" t="str">
        <f t="shared" si="31"/>
        <v>31 Science, engineering and technology associate professionals</v>
      </c>
      <c r="X14" s="69">
        <v>4.6257355335220582</v>
      </c>
      <c r="Y14" s="69">
        <v>5.4700227744439571</v>
      </c>
      <c r="Z14" s="69">
        <v>5.6354421084714037</v>
      </c>
      <c r="AA14" s="69">
        <v>5.1974658686847448</v>
      </c>
      <c r="AB14" s="69">
        <v>5.8240581646687435</v>
      </c>
      <c r="AC14" s="69"/>
      <c r="AD14" s="69">
        <f t="shared" si="32"/>
        <v>0.18861605619733979</v>
      </c>
      <c r="AE14" s="69">
        <f>'RD T1'!E100</f>
        <v>2.4676666433450816</v>
      </c>
      <c r="AF14" s="69">
        <f t="shared" si="33"/>
        <v>2.6562826995424214</v>
      </c>
      <c r="AH14" t="str">
        <f t="shared" si="34"/>
        <v>31 Science, engineering and technology associate professionals</v>
      </c>
      <c r="AI14" s="69">
        <v>0.6764620488485561</v>
      </c>
      <c r="AJ14" s="69">
        <v>0.80673577413740061</v>
      </c>
      <c r="AK14" s="69">
        <v>0.89475458089102256</v>
      </c>
      <c r="AL14" s="69">
        <v>0.91455986399747746</v>
      </c>
      <c r="AM14" s="69">
        <v>1.202376498814387</v>
      </c>
      <c r="AN14" s="69"/>
      <c r="AO14" s="69">
        <f t="shared" si="35"/>
        <v>0.30762191792336446</v>
      </c>
      <c r="AP14" s="69">
        <f>'RD T1'!E129</f>
        <v>0.48681067663908972</v>
      </c>
      <c r="AQ14" s="69">
        <f t="shared" si="36"/>
        <v>0.79443259456245419</v>
      </c>
      <c r="AS14" t="str">
        <f t="shared" si="37"/>
        <v>31 Science, engineering and technology associate professionals</v>
      </c>
      <c r="AT14" s="69">
        <v>1.7427991467997883</v>
      </c>
      <c r="AU14" s="69">
        <v>1.8591374431327394</v>
      </c>
      <c r="AV14" s="69">
        <v>1.9070905388462562</v>
      </c>
      <c r="AW14" s="69">
        <v>1.5710966720123427</v>
      </c>
      <c r="AX14" s="69">
        <v>1.5424532655774714</v>
      </c>
      <c r="AY14" s="69"/>
      <c r="AZ14" s="69">
        <f t="shared" si="38"/>
        <v>-0.36463727326878481</v>
      </c>
      <c r="BA14" s="69">
        <f>'RD T1'!E158</f>
        <v>0.61914384873033257</v>
      </c>
      <c r="BB14" s="69">
        <f t="shared" si="39"/>
        <v>0.25450657546154776</v>
      </c>
      <c r="BD14" t="str">
        <f t="shared" si="40"/>
        <v>31 Science, engineering and technology associate professionals</v>
      </c>
      <c r="BE14" s="69">
        <v>2.6271463714872048</v>
      </c>
      <c r="BF14" s="69">
        <v>2.2930663971488618</v>
      </c>
      <c r="BG14" s="69">
        <v>2.6982930209545475</v>
      </c>
      <c r="BH14" s="69">
        <v>1.9475534500201739</v>
      </c>
      <c r="BI14" s="69">
        <v>1.4655935278937813</v>
      </c>
      <c r="BJ14" s="69"/>
      <c r="BK14" s="69">
        <f t="shared" si="41"/>
        <v>-1.2326994930607662</v>
      </c>
      <c r="BL14" s="69">
        <f>'RD T1'!E187</f>
        <v>0.66128469897529607</v>
      </c>
      <c r="BM14" s="69">
        <f t="shared" si="42"/>
        <v>-0.57141479408547013</v>
      </c>
      <c r="BO14" t="str">
        <f t="shared" si="43"/>
        <v>31 Science, engineering and technology associate professionals</v>
      </c>
      <c r="BP14" s="69">
        <v>1.9098783033556528</v>
      </c>
      <c r="BQ14" s="69">
        <v>2.0454004853479182</v>
      </c>
      <c r="BR14" s="69">
        <v>2.0795334969442578</v>
      </c>
      <c r="BS14" s="69">
        <v>1.7560692506154949</v>
      </c>
      <c r="BT14" s="69">
        <v>1.6165744946727501</v>
      </c>
      <c r="BU14" s="69"/>
      <c r="BV14" s="69">
        <f t="shared" si="44"/>
        <v>-0.46295900227150777</v>
      </c>
      <c r="BW14" s="69">
        <f>'RD T1'!E216</f>
        <v>0.66358886097817771</v>
      </c>
      <c r="BX14" s="69">
        <f t="shared" si="45"/>
        <v>0.20062985870666994</v>
      </c>
      <c r="BZ14" t="str">
        <f t="shared" si="46"/>
        <v>31 Science, engineering and technology associate professionals</v>
      </c>
      <c r="CA14" s="69">
        <v>1.6277266702383497</v>
      </c>
      <c r="CB14" s="69">
        <v>1.6067746467625639</v>
      </c>
      <c r="CC14" s="69">
        <v>1.6497735561440834</v>
      </c>
      <c r="CD14" s="69">
        <v>1.4693864091249649</v>
      </c>
      <c r="CE14" s="69">
        <v>1.1618259245244846</v>
      </c>
      <c r="CF14" s="69"/>
      <c r="CG14" s="69">
        <f t="shared" si="47"/>
        <v>-0.48794763161959875</v>
      </c>
      <c r="CH14" s="69">
        <f>'RD T1'!E245</f>
        <v>0.46937487470479022</v>
      </c>
      <c r="CI14" s="69">
        <f t="shared" si="48"/>
        <v>-1.857275691480853E-2</v>
      </c>
      <c r="CK14" t="str">
        <f t="shared" si="49"/>
        <v>31 Science, engineering and technology associate professionals</v>
      </c>
      <c r="CL14" s="69">
        <v>0.25605685693799957</v>
      </c>
      <c r="CM14" s="69">
        <v>0.34246570818768796</v>
      </c>
      <c r="CN14" s="69">
        <v>0.39939066445056048</v>
      </c>
      <c r="CO14" s="69">
        <v>0.52166819765795402</v>
      </c>
      <c r="CP14" s="69">
        <v>0.89801587606410338</v>
      </c>
      <c r="CQ14" s="69"/>
      <c r="CR14" s="69">
        <f t="shared" si="50"/>
        <v>0.4986252116135429</v>
      </c>
      <c r="CS14" s="69">
        <f>'RD T1'!E274</f>
        <v>0.21713124178490906</v>
      </c>
      <c r="CT14" s="69">
        <f t="shared" si="51"/>
        <v>0.71575645339845195</v>
      </c>
    </row>
    <row r="15" spans="1:98" x14ac:dyDescent="0.2">
      <c r="A15" s="10" t="str">
        <f>name!D11</f>
        <v>32 Health and social care associate professionals</v>
      </c>
      <c r="B15" s="69">
        <v>6.1215346532249915E-2</v>
      </c>
      <c r="C15" s="69">
        <v>7.82050607349868E-2</v>
      </c>
      <c r="D15" s="69">
        <v>7.6670201142416156E-2</v>
      </c>
      <c r="E15" s="69">
        <v>9.7088334678751567E-2</v>
      </c>
      <c r="F15" s="69">
        <v>0.12990267272750064</v>
      </c>
      <c r="G15" s="11"/>
      <c r="H15" s="69">
        <f t="shared" si="26"/>
        <v>5.3232471585084484E-2</v>
      </c>
      <c r="I15" s="69">
        <f>'RD T1'!E43</f>
        <v>6.4486950008569272E-2</v>
      </c>
      <c r="J15" s="69">
        <f t="shared" si="27"/>
        <v>0.11771942159365376</v>
      </c>
      <c r="L15" t="str">
        <f t="shared" si="28"/>
        <v>32 Health and social care associate professionals</v>
      </c>
      <c r="M15" s="69">
        <v>1.2349678687187562</v>
      </c>
      <c r="N15" s="69">
        <v>1.6968180872440657</v>
      </c>
      <c r="O15" s="69">
        <v>1.7816683093487169</v>
      </c>
      <c r="P15" s="69">
        <v>2.0934658688867978</v>
      </c>
      <c r="Q15" s="69">
        <v>2.6680770816606629</v>
      </c>
      <c r="R15" s="11"/>
      <c r="S15" s="69">
        <f t="shared" si="29"/>
        <v>0.88640877231194604</v>
      </c>
      <c r="T15" s="69">
        <f>'RD T1'!E72</f>
        <v>1.3258476365763725</v>
      </c>
      <c r="U15" s="69">
        <f t="shared" si="30"/>
        <v>2.2122564088883188</v>
      </c>
      <c r="W15" t="str">
        <f t="shared" si="31"/>
        <v>32 Health and social care associate professionals</v>
      </c>
      <c r="X15" s="69">
        <v>3.7004266599138309</v>
      </c>
      <c r="Y15" s="69">
        <v>4.5819348515335721</v>
      </c>
      <c r="Z15" s="69">
        <v>4.6044746491907338</v>
      </c>
      <c r="AA15" s="69">
        <v>5.0261788231521152</v>
      </c>
      <c r="AB15" s="69">
        <v>5.8318120477483362</v>
      </c>
      <c r="AC15" s="69"/>
      <c r="AD15" s="69">
        <f t="shared" si="32"/>
        <v>1.2273373985576024</v>
      </c>
      <c r="AE15" s="69">
        <f>'RD T1'!E101</f>
        <v>3.2895792644173585</v>
      </c>
      <c r="AF15" s="69">
        <f t="shared" si="33"/>
        <v>4.5169166629749604</v>
      </c>
      <c r="AH15" t="str">
        <f t="shared" si="34"/>
        <v>32 Health and social care associate professionals</v>
      </c>
      <c r="AI15" s="69">
        <v>2.4674289806652916</v>
      </c>
      <c r="AJ15" s="69">
        <v>2.2882286979568982</v>
      </c>
      <c r="AK15" s="69">
        <v>2.1770092605125551</v>
      </c>
      <c r="AL15" s="69">
        <v>1.5808490664824699</v>
      </c>
      <c r="AM15" s="69">
        <v>0.96722485817099857</v>
      </c>
      <c r="AN15" s="69"/>
      <c r="AO15" s="69">
        <f t="shared" si="35"/>
        <v>-1.2097844023415565</v>
      </c>
      <c r="AP15" s="69">
        <f>'RD T1'!E130</f>
        <v>0.62051316195844219</v>
      </c>
      <c r="AQ15" s="69">
        <f t="shared" si="36"/>
        <v>-0.58927124038311429</v>
      </c>
      <c r="AS15" t="str">
        <f t="shared" si="37"/>
        <v>32 Health and social care associate professionals</v>
      </c>
      <c r="AT15" s="69">
        <v>0.60264092142091974</v>
      </c>
      <c r="AU15" s="69">
        <v>0.69890218624926803</v>
      </c>
      <c r="AV15" s="69">
        <v>0.78359897304665649</v>
      </c>
      <c r="AW15" s="69">
        <v>0.74584221428182362</v>
      </c>
      <c r="AX15" s="69">
        <v>0.80558670606850957</v>
      </c>
      <c r="AY15" s="69"/>
      <c r="AZ15" s="69">
        <f t="shared" si="38"/>
        <v>2.1987733021853084E-2</v>
      </c>
      <c r="BA15" s="69">
        <f>'RD T1'!E159</f>
        <v>0.43814031492143357</v>
      </c>
      <c r="BB15" s="69">
        <f t="shared" si="39"/>
        <v>0.46012804794328666</v>
      </c>
      <c r="BD15" t="str">
        <f t="shared" si="40"/>
        <v>32 Health and social care associate professionals</v>
      </c>
      <c r="BE15" s="69">
        <v>2.164522570506632</v>
      </c>
      <c r="BF15" s="69">
        <v>2.5212633601918126</v>
      </c>
      <c r="BG15" s="69">
        <v>2.7827275636781299</v>
      </c>
      <c r="BH15" s="69">
        <v>2.7319946255527769</v>
      </c>
      <c r="BI15" s="69">
        <v>3.1121822524073641</v>
      </c>
      <c r="BJ15" s="69"/>
      <c r="BK15" s="69">
        <f t="shared" si="41"/>
        <v>0.32945468872923422</v>
      </c>
      <c r="BL15" s="69">
        <f>'RD T1'!E188</f>
        <v>1.701441232633331</v>
      </c>
      <c r="BM15" s="69">
        <f t="shared" si="42"/>
        <v>2.030895921362565</v>
      </c>
      <c r="BO15" t="str">
        <f t="shared" si="43"/>
        <v>32 Health and social care associate professionals</v>
      </c>
      <c r="BP15" s="69">
        <v>1.6887797965571008</v>
      </c>
      <c r="BQ15" s="69">
        <v>1.8117180869968803</v>
      </c>
      <c r="BR15" s="69">
        <v>1.8235377427753068</v>
      </c>
      <c r="BS15" s="69">
        <v>1.7119817905846346</v>
      </c>
      <c r="BT15" s="69">
        <v>1.400868383819214</v>
      </c>
      <c r="BU15" s="69"/>
      <c r="BV15" s="69">
        <f t="shared" si="44"/>
        <v>-0.42266935895609281</v>
      </c>
      <c r="BW15" s="69">
        <f>'RD T1'!E217</f>
        <v>0.82333780632205267</v>
      </c>
      <c r="BX15" s="69">
        <f t="shared" si="45"/>
        <v>0.40066844736595986</v>
      </c>
      <c r="BZ15" t="str">
        <f t="shared" si="46"/>
        <v>32 Health and social care associate professionals</v>
      </c>
      <c r="CA15" s="69">
        <v>0.70350895466058061</v>
      </c>
      <c r="CB15" s="69">
        <v>0.660060347298011</v>
      </c>
      <c r="CC15" s="69">
        <v>0.5594460838410823</v>
      </c>
      <c r="CD15" s="69">
        <v>0.51165798807204599</v>
      </c>
      <c r="CE15" s="69">
        <v>0.32468552713716464</v>
      </c>
      <c r="CF15" s="69"/>
      <c r="CG15" s="69">
        <f t="shared" si="47"/>
        <v>-0.23476055670391766</v>
      </c>
      <c r="CH15" s="69">
        <f>'RD T1'!E246</f>
        <v>0.19628280387539948</v>
      </c>
      <c r="CI15" s="69">
        <f t="shared" si="48"/>
        <v>-3.8477752828518175E-2</v>
      </c>
      <c r="CK15" t="str">
        <f t="shared" si="49"/>
        <v>32 Health and social care associate professionals</v>
      </c>
      <c r="CL15" s="69">
        <v>8.3993320464940097E-2</v>
      </c>
      <c r="CM15" s="69">
        <v>0.1088496659806576</v>
      </c>
      <c r="CN15" s="69">
        <v>0.11369457466395679</v>
      </c>
      <c r="CO15" s="69">
        <v>0.16994781852720561</v>
      </c>
      <c r="CP15" s="69">
        <v>0.3269311561291357</v>
      </c>
      <c r="CQ15" s="69"/>
      <c r="CR15" s="69">
        <f t="shared" si="50"/>
        <v>0.21323658146517893</v>
      </c>
      <c r="CS15" s="69">
        <f>'RD T1'!E275</f>
        <v>8.2962211649450668E-2</v>
      </c>
      <c r="CT15" s="69">
        <f t="shared" si="51"/>
        <v>0.2961987931146296</v>
      </c>
    </row>
    <row r="16" spans="1:98" x14ac:dyDescent="0.2">
      <c r="A16" s="10" t="str">
        <f>name!D12</f>
        <v>33 Protective service occupations</v>
      </c>
      <c r="B16" s="69">
        <v>3.3502591891019722E-2</v>
      </c>
      <c r="C16" s="69">
        <v>3.2632899703651887E-2</v>
      </c>
      <c r="D16" s="69">
        <v>3.8073033031675349E-2</v>
      </c>
      <c r="E16" s="69">
        <v>5.4387917188541073E-2</v>
      </c>
      <c r="F16" s="69">
        <v>8.2199816817137838E-2</v>
      </c>
      <c r="G16" s="11"/>
      <c r="H16" s="69">
        <f t="shared" si="26"/>
        <v>4.4126783785462489E-2</v>
      </c>
      <c r="I16" s="69">
        <f>'RD T1'!E44</f>
        <v>2.1231944255671202E-2</v>
      </c>
      <c r="J16" s="69">
        <f t="shared" si="27"/>
        <v>6.5358728041133685E-2</v>
      </c>
      <c r="L16" t="str">
        <f t="shared" si="28"/>
        <v>33 Protective service occupations</v>
      </c>
      <c r="M16" s="69">
        <v>0.58084532474051664</v>
      </c>
      <c r="N16" s="69">
        <v>0.63895378617402721</v>
      </c>
      <c r="O16" s="69">
        <v>0.77948156383253531</v>
      </c>
      <c r="P16" s="69">
        <v>1.0531938231434528</v>
      </c>
      <c r="Q16" s="69">
        <v>1.5875528292137036</v>
      </c>
      <c r="R16" s="11"/>
      <c r="S16" s="69">
        <f t="shared" si="29"/>
        <v>0.80807126538116825</v>
      </c>
      <c r="T16" s="69">
        <f>'RD T1'!E73</f>
        <v>0.40064820632835663</v>
      </c>
      <c r="U16" s="69">
        <f t="shared" si="30"/>
        <v>1.2087194717095249</v>
      </c>
      <c r="W16" t="str">
        <f t="shared" si="31"/>
        <v>33 Protective service occupations</v>
      </c>
      <c r="X16" s="69">
        <v>2.5065866101611243</v>
      </c>
      <c r="Y16" s="69">
        <v>2.7198651624800414</v>
      </c>
      <c r="Z16" s="69">
        <v>2.9226084770079659</v>
      </c>
      <c r="AA16" s="69">
        <v>3.7917738598593025</v>
      </c>
      <c r="AB16" s="69">
        <v>5.1475270599238945</v>
      </c>
      <c r="AC16" s="69"/>
      <c r="AD16" s="69">
        <f t="shared" si="32"/>
        <v>2.2249185829159286</v>
      </c>
      <c r="AE16" s="69">
        <f>'RD T1'!E102</f>
        <v>1.7409111789683289</v>
      </c>
      <c r="AF16" s="69">
        <f t="shared" si="33"/>
        <v>3.9658297618842573</v>
      </c>
      <c r="AH16" t="str">
        <f t="shared" si="34"/>
        <v>33 Protective service occupations</v>
      </c>
      <c r="AI16" s="69">
        <v>0.6508306555399932</v>
      </c>
      <c r="AJ16" s="69">
        <v>0.67781508802442014</v>
      </c>
      <c r="AK16" s="69">
        <v>0.73291473949666075</v>
      </c>
      <c r="AL16" s="69">
        <v>0.90817268276050611</v>
      </c>
      <c r="AM16" s="69">
        <v>1.1709210502767282</v>
      </c>
      <c r="AN16" s="69"/>
      <c r="AO16" s="69">
        <f t="shared" si="35"/>
        <v>0.43800631078006746</v>
      </c>
      <c r="AP16" s="69">
        <f>'RD T1'!E131</f>
        <v>0.36781865642100664</v>
      </c>
      <c r="AQ16" s="69">
        <f t="shared" si="36"/>
        <v>0.8058249672010741</v>
      </c>
      <c r="AS16" t="str">
        <f t="shared" si="37"/>
        <v>33 Protective service occupations</v>
      </c>
      <c r="AT16" s="69">
        <v>0.63326875830118134</v>
      </c>
      <c r="AU16" s="69">
        <v>0.56660042781458231</v>
      </c>
      <c r="AV16" s="69">
        <v>0.59996999762046299</v>
      </c>
      <c r="AW16" s="69">
        <v>0.66285931857136182</v>
      </c>
      <c r="AX16" s="69">
        <v>0.73661477894733807</v>
      </c>
      <c r="AY16" s="69"/>
      <c r="AZ16" s="69">
        <f t="shared" si="38"/>
        <v>0.13664478132687508</v>
      </c>
      <c r="BA16" s="69">
        <f>'RD T1'!E160</f>
        <v>0.24558473639477449</v>
      </c>
      <c r="BB16" s="69">
        <f t="shared" si="39"/>
        <v>0.38222951772164959</v>
      </c>
      <c r="BD16" t="str">
        <f t="shared" si="40"/>
        <v>33 Protective service occupations</v>
      </c>
      <c r="BE16" s="69">
        <v>2.1188247128836242</v>
      </c>
      <c r="BF16" s="69">
        <v>1.6923490793242753</v>
      </c>
      <c r="BG16" s="69">
        <v>1.8788004719334033</v>
      </c>
      <c r="BH16" s="69">
        <v>2.1136827206895554</v>
      </c>
      <c r="BI16" s="69">
        <v>2.1253007362319991</v>
      </c>
      <c r="BJ16" s="69"/>
      <c r="BK16" s="69">
        <f t="shared" si="41"/>
        <v>0.24650026429859584</v>
      </c>
      <c r="BL16" s="69">
        <f>'RD T1'!E189</f>
        <v>0.53715178836860655</v>
      </c>
      <c r="BM16" s="69">
        <f t="shared" si="42"/>
        <v>0.78365205266720239</v>
      </c>
      <c r="BO16" t="str">
        <f t="shared" si="43"/>
        <v>33 Protective service occupations</v>
      </c>
      <c r="BP16" s="69">
        <v>2.2633320676501998</v>
      </c>
      <c r="BQ16" s="69">
        <v>2.1492668022341941</v>
      </c>
      <c r="BR16" s="69">
        <v>2.0402488040054179</v>
      </c>
      <c r="BS16" s="69">
        <v>2.3379643912967736</v>
      </c>
      <c r="BT16" s="69">
        <v>2.0415269473844515</v>
      </c>
      <c r="BU16" s="69"/>
      <c r="BV16" s="69">
        <f t="shared" si="44"/>
        <v>1.2781433790336472E-3</v>
      </c>
      <c r="BW16" s="69">
        <f>'RD T1'!E218</f>
        <v>0.64062348910480271</v>
      </c>
      <c r="BX16" s="69">
        <f t="shared" si="45"/>
        <v>0.64190163248383636</v>
      </c>
      <c r="BZ16" t="str">
        <f t="shared" si="46"/>
        <v>33 Protective service occupations</v>
      </c>
      <c r="CA16" s="69">
        <v>1.2873440689311557</v>
      </c>
      <c r="CB16" s="69">
        <v>1.0799694705361189</v>
      </c>
      <c r="CC16" s="69">
        <v>1.0584596537968971</v>
      </c>
      <c r="CD16" s="69">
        <v>1.2222354525492678</v>
      </c>
      <c r="CE16" s="69">
        <v>0.96776968835826382</v>
      </c>
      <c r="CF16" s="69"/>
      <c r="CG16" s="69">
        <f t="shared" si="47"/>
        <v>-9.068996543863328E-2</v>
      </c>
      <c r="CH16" s="69">
        <f>'RD T1'!E247</f>
        <v>0.40000771215802888</v>
      </c>
      <c r="CI16" s="69">
        <f t="shared" si="48"/>
        <v>0.3093177467193956</v>
      </c>
      <c r="CK16" t="str">
        <f t="shared" si="49"/>
        <v>33 Protective service occupations</v>
      </c>
      <c r="CL16" s="69">
        <v>0.17069276929192465</v>
      </c>
      <c r="CM16" s="69">
        <v>0.14480448200112223</v>
      </c>
      <c r="CN16" s="69">
        <v>0.13983447517385492</v>
      </c>
      <c r="CO16" s="69">
        <v>0.10308286152119035</v>
      </c>
      <c r="CP16" s="69">
        <v>0.10714774643383733</v>
      </c>
      <c r="CQ16" s="69"/>
      <c r="CR16" s="69">
        <f t="shared" si="50"/>
        <v>-3.2686728740017587E-2</v>
      </c>
      <c r="CS16" s="69">
        <f>'RD T1'!E276</f>
        <v>2.1601346902443006E-2</v>
      </c>
      <c r="CT16" s="69">
        <f t="shared" si="51"/>
        <v>-1.1085381837574581E-2</v>
      </c>
    </row>
    <row r="17" spans="1:98" x14ac:dyDescent="0.2">
      <c r="A17" s="10" t="str">
        <f>name!D13</f>
        <v>34 Culture, media and sports occupations</v>
      </c>
      <c r="B17" s="69">
        <v>0.21183547343741185</v>
      </c>
      <c r="C17" s="69">
        <v>0.25933174801655773</v>
      </c>
      <c r="D17" s="69">
        <v>0.28356367440810276</v>
      </c>
      <c r="E17" s="69">
        <v>0.309313036502671</v>
      </c>
      <c r="F17" s="69">
        <v>0.38413782420245229</v>
      </c>
      <c r="G17" s="11"/>
      <c r="H17" s="69">
        <f t="shared" si="26"/>
        <v>0.10057414979434953</v>
      </c>
      <c r="I17" s="69">
        <f>'RD T1'!E45</f>
        <v>0.17925194833301053</v>
      </c>
      <c r="J17" s="69">
        <f t="shared" si="27"/>
        <v>0.27982609812736003</v>
      </c>
      <c r="L17" t="str">
        <f t="shared" si="28"/>
        <v>34 Culture, media and sports occupations</v>
      </c>
      <c r="M17" s="69">
        <v>3.7797237473267797</v>
      </c>
      <c r="N17" s="69">
        <v>3.8350758175604689</v>
      </c>
      <c r="O17" s="69">
        <v>4.5764868373611334</v>
      </c>
      <c r="P17" s="69">
        <v>5.1187560760515698</v>
      </c>
      <c r="Q17" s="69">
        <v>6.6437755773543312</v>
      </c>
      <c r="R17" s="11"/>
      <c r="S17" s="69">
        <f t="shared" si="29"/>
        <v>2.0672887399931978</v>
      </c>
      <c r="T17" s="69">
        <f>'RD T1'!E74</f>
        <v>2.9088683783060838</v>
      </c>
      <c r="U17" s="69">
        <f t="shared" si="30"/>
        <v>4.9761571182992821</v>
      </c>
      <c r="W17" t="str">
        <f t="shared" si="31"/>
        <v>34 Culture, media and sports occupations</v>
      </c>
      <c r="X17" s="69">
        <v>8.8861740364257802</v>
      </c>
      <c r="Y17" s="69">
        <v>8.1073057683873273</v>
      </c>
      <c r="Z17" s="69">
        <v>8.1365515608266925</v>
      </c>
      <c r="AA17" s="69">
        <v>8.1952656483050106</v>
      </c>
      <c r="AB17" s="69">
        <v>9.0273349375427667</v>
      </c>
      <c r="AC17" s="69"/>
      <c r="AD17" s="69">
        <f t="shared" si="32"/>
        <v>0.89078337671607422</v>
      </c>
      <c r="AE17" s="69">
        <f>'RD T1'!E103</f>
        <v>4.1074478653125288</v>
      </c>
      <c r="AF17" s="69">
        <f t="shared" si="33"/>
        <v>4.998231242028603</v>
      </c>
      <c r="AH17" t="str">
        <f t="shared" si="34"/>
        <v>34 Culture, media and sports occupations</v>
      </c>
      <c r="AI17" s="69">
        <v>0.94886543812774904</v>
      </c>
      <c r="AJ17" s="69">
        <v>0.91931532403792493</v>
      </c>
      <c r="AK17" s="69">
        <v>1.0262526860418524</v>
      </c>
      <c r="AL17" s="69">
        <v>0.97029078741173957</v>
      </c>
      <c r="AM17" s="69">
        <v>1.19287559553151</v>
      </c>
      <c r="AN17" s="69"/>
      <c r="AO17" s="69">
        <f t="shared" si="35"/>
        <v>0.16662290948965763</v>
      </c>
      <c r="AP17" s="69">
        <f>'RD T1'!E132</f>
        <v>0.47610886342525494</v>
      </c>
      <c r="AQ17" s="69">
        <f t="shared" si="36"/>
        <v>0.64273177291491257</v>
      </c>
      <c r="AS17" t="str">
        <f t="shared" si="37"/>
        <v>34 Culture, media and sports occupations</v>
      </c>
      <c r="AT17" s="69">
        <v>1.407489796083004</v>
      </c>
      <c r="AU17" s="69">
        <v>1.2278718576183718</v>
      </c>
      <c r="AV17" s="69">
        <v>1.1905920599143167</v>
      </c>
      <c r="AW17" s="69">
        <v>1.0922625592357273</v>
      </c>
      <c r="AX17" s="69">
        <v>1.0886214963046956</v>
      </c>
      <c r="AY17" s="69"/>
      <c r="AZ17" s="69">
        <f t="shared" si="38"/>
        <v>-0.10197056360962109</v>
      </c>
      <c r="BA17" s="69">
        <f>'RD T1'!E161</f>
        <v>0.50488877845551838</v>
      </c>
      <c r="BB17" s="69">
        <f t="shared" si="39"/>
        <v>0.40291821484589729</v>
      </c>
      <c r="BD17" t="str">
        <f t="shared" si="40"/>
        <v>34 Culture, media and sports occupations</v>
      </c>
      <c r="BE17" s="69">
        <v>3.3554667034385242</v>
      </c>
      <c r="BF17" s="69">
        <v>2.4786619201108344</v>
      </c>
      <c r="BG17" s="69">
        <v>2.7536338791896813</v>
      </c>
      <c r="BH17" s="69">
        <v>2.4987570148339699</v>
      </c>
      <c r="BI17" s="69">
        <v>2.483809414997916</v>
      </c>
      <c r="BJ17" s="69"/>
      <c r="BK17" s="69">
        <f t="shared" si="41"/>
        <v>-0.26982446419176531</v>
      </c>
      <c r="BL17" s="69">
        <f>'RD T1'!E190</f>
        <v>0.91871679802348938</v>
      </c>
      <c r="BM17" s="69">
        <f t="shared" si="42"/>
        <v>0.64889233383172407</v>
      </c>
      <c r="BO17" t="str">
        <f t="shared" si="43"/>
        <v>34 Culture, media and sports occupations</v>
      </c>
      <c r="BP17" s="69">
        <v>2.027146327745446</v>
      </c>
      <c r="BQ17" s="69">
        <v>1.5017895106645152</v>
      </c>
      <c r="BR17" s="69">
        <v>1.3497316693188206</v>
      </c>
      <c r="BS17" s="69">
        <v>1.1055452327599293</v>
      </c>
      <c r="BT17" s="69">
        <v>0.68213664258960016</v>
      </c>
      <c r="BU17" s="69"/>
      <c r="BV17" s="69">
        <f t="shared" si="44"/>
        <v>-0.66759502672922044</v>
      </c>
      <c r="BW17" s="69">
        <f>'RD T1'!E219</f>
        <v>0.36845976466205888</v>
      </c>
      <c r="BX17" s="69">
        <f t="shared" si="45"/>
        <v>-0.29913526206716157</v>
      </c>
      <c r="BZ17" t="str">
        <f t="shared" si="46"/>
        <v>34 Culture, media and sports occupations</v>
      </c>
      <c r="CA17" s="69">
        <v>1.4756006535536128</v>
      </c>
      <c r="CB17" s="69">
        <v>1.158552089815398</v>
      </c>
      <c r="CC17" s="69">
        <v>1.0493725850298301</v>
      </c>
      <c r="CD17" s="69">
        <v>0.95063789600505377</v>
      </c>
      <c r="CE17" s="69">
        <v>0.64477751876751821</v>
      </c>
      <c r="CF17" s="69"/>
      <c r="CG17" s="69">
        <f t="shared" si="47"/>
        <v>-0.4045950662623119</v>
      </c>
      <c r="CH17" s="69">
        <f>'RD T1'!E248</f>
        <v>0.30535977621496324</v>
      </c>
      <c r="CI17" s="69">
        <f t="shared" si="48"/>
        <v>-9.9235290047348657E-2</v>
      </c>
      <c r="CK17" t="str">
        <f t="shared" si="49"/>
        <v>34 Culture, media and sports occupations</v>
      </c>
      <c r="CL17" s="69">
        <v>0.35614681359258016</v>
      </c>
      <c r="CM17" s="69">
        <v>0.3706082640105155</v>
      </c>
      <c r="CN17" s="69">
        <v>0.35686619777448841</v>
      </c>
      <c r="CO17" s="69">
        <v>0.43187648956045477</v>
      </c>
      <c r="CP17" s="69">
        <v>0.59135396958167163</v>
      </c>
      <c r="CQ17" s="69"/>
      <c r="CR17" s="69">
        <f t="shared" si="50"/>
        <v>0.23448777180718322</v>
      </c>
      <c r="CS17" s="69">
        <f>'RD T1'!E277</f>
        <v>0.13942518616864175</v>
      </c>
      <c r="CT17" s="69">
        <f t="shared" si="51"/>
        <v>0.37391295797582497</v>
      </c>
    </row>
    <row r="18" spans="1:98" x14ac:dyDescent="0.2">
      <c r="A18" s="10" t="str">
        <f>name!D14</f>
        <v>35 Business and public service associate professionals</v>
      </c>
      <c r="B18" s="69">
        <v>0.71233058687991324</v>
      </c>
      <c r="C18" s="69">
        <v>0.83799009754954423</v>
      </c>
      <c r="D18" s="69">
        <v>0.96039370392537959</v>
      </c>
      <c r="E18" s="69">
        <v>1.0878318409101448</v>
      </c>
      <c r="F18" s="69">
        <v>1.4389848254038973</v>
      </c>
      <c r="G18" s="11"/>
      <c r="H18" s="69">
        <f t="shared" si="26"/>
        <v>0.47859112147851768</v>
      </c>
      <c r="I18" s="69">
        <f>'RD T1'!E46</f>
        <v>0.58098430807834922</v>
      </c>
      <c r="J18" s="69">
        <f t="shared" si="27"/>
        <v>1.0595754295568669</v>
      </c>
      <c r="L18" t="str">
        <f t="shared" si="28"/>
        <v>35 Business and public service associate professionals</v>
      </c>
      <c r="M18" s="69">
        <v>7.1173914806145975</v>
      </c>
      <c r="N18" s="69">
        <v>8.5195633858082367</v>
      </c>
      <c r="O18" s="69">
        <v>9.0840069192327313</v>
      </c>
      <c r="P18" s="69">
        <v>9.9864813673468333</v>
      </c>
      <c r="Q18" s="69">
        <v>12.384506028844941</v>
      </c>
      <c r="R18" s="11"/>
      <c r="S18" s="69">
        <f t="shared" si="29"/>
        <v>3.3004991096122094</v>
      </c>
      <c r="T18" s="69">
        <f>'RD T1'!E75</f>
        <v>5.2774853130576611</v>
      </c>
      <c r="U18" s="69">
        <f t="shared" si="30"/>
        <v>8.5779844226698714</v>
      </c>
      <c r="W18" t="str">
        <f t="shared" si="31"/>
        <v>35 Business and public service associate professionals</v>
      </c>
      <c r="X18" s="69">
        <v>16.349220550741713</v>
      </c>
      <c r="Y18" s="69">
        <v>17.488602469014801</v>
      </c>
      <c r="Z18" s="69">
        <v>17.304573291052765</v>
      </c>
      <c r="AA18" s="69">
        <v>17.060331609076584</v>
      </c>
      <c r="AB18" s="69">
        <v>18.25174679039068</v>
      </c>
      <c r="AC18" s="69"/>
      <c r="AD18" s="69">
        <f t="shared" si="32"/>
        <v>0.94717349933791439</v>
      </c>
      <c r="AE18" s="69">
        <f>'RD T1'!E104</f>
        <v>8.7830620695328445</v>
      </c>
      <c r="AF18" s="69">
        <f t="shared" si="33"/>
        <v>9.7302355688707589</v>
      </c>
      <c r="AH18" t="str">
        <f t="shared" si="34"/>
        <v>35 Business and public service associate professionals</v>
      </c>
      <c r="AI18" s="69">
        <v>4.0563279267476569</v>
      </c>
      <c r="AJ18" s="69">
        <v>4.3450236741740191</v>
      </c>
      <c r="AK18" s="69">
        <v>4.5049382408837779</v>
      </c>
      <c r="AL18" s="69">
        <v>4.4148319299438237</v>
      </c>
      <c r="AM18" s="69">
        <v>4.9068758862877235</v>
      </c>
      <c r="AN18" s="69"/>
      <c r="AO18" s="69">
        <f t="shared" si="35"/>
        <v>0.40193764540394561</v>
      </c>
      <c r="AP18" s="69">
        <f>'RD T1'!E133</f>
        <v>2.2266671218918126</v>
      </c>
      <c r="AQ18" s="69">
        <f t="shared" si="36"/>
        <v>2.6286047672957582</v>
      </c>
      <c r="AS18" t="str">
        <f t="shared" si="37"/>
        <v>35 Business and public service associate professionals</v>
      </c>
      <c r="AT18" s="69">
        <v>3.8416829683922451</v>
      </c>
      <c r="AU18" s="69">
        <v>4.0647746684898678</v>
      </c>
      <c r="AV18" s="69">
        <v>4.1463964726669458</v>
      </c>
      <c r="AW18" s="69">
        <v>4.0041207252863247</v>
      </c>
      <c r="AX18" s="69">
        <v>4.3825570134014624</v>
      </c>
      <c r="AY18" s="69"/>
      <c r="AZ18" s="69">
        <f t="shared" si="38"/>
        <v>0.23616054073451664</v>
      </c>
      <c r="BA18" s="69">
        <f>'RD T1'!E162</f>
        <v>1.9872110484792915</v>
      </c>
      <c r="BB18" s="69">
        <f t="shared" si="39"/>
        <v>2.2233715892138082</v>
      </c>
      <c r="BD18" t="str">
        <f t="shared" si="40"/>
        <v>35 Business and public service associate professionals</v>
      </c>
      <c r="BE18" s="69">
        <v>10.529887942946477</v>
      </c>
      <c r="BF18" s="69">
        <v>9.904124791555228</v>
      </c>
      <c r="BG18" s="69">
        <v>10.950714140614782</v>
      </c>
      <c r="BH18" s="69">
        <v>9.8238410755679322</v>
      </c>
      <c r="BI18" s="69">
        <v>9.6039023118288895</v>
      </c>
      <c r="BJ18" s="69"/>
      <c r="BK18" s="69">
        <f t="shared" si="41"/>
        <v>-1.3468118287858921</v>
      </c>
      <c r="BL18" s="69">
        <f>'RD T1'!E191</f>
        <v>4.2948767347093728</v>
      </c>
      <c r="BM18" s="69">
        <f t="shared" si="42"/>
        <v>2.9480649059234807</v>
      </c>
      <c r="BO18" t="str">
        <f t="shared" si="43"/>
        <v>35 Business and public service associate professionals</v>
      </c>
      <c r="BP18" s="69">
        <v>8.5034665957479163</v>
      </c>
      <c r="BQ18" s="69">
        <v>8.2058451726047732</v>
      </c>
      <c r="BR18" s="69">
        <v>7.9072679113726085</v>
      </c>
      <c r="BS18" s="69">
        <v>7.09058718501716</v>
      </c>
      <c r="BT18" s="69">
        <v>5.8444180277149869</v>
      </c>
      <c r="BU18" s="69"/>
      <c r="BV18" s="69">
        <f t="shared" si="44"/>
        <v>-2.0628498836576217</v>
      </c>
      <c r="BW18" s="69">
        <f>'RD T1'!E220</f>
        <v>2.603078433248089</v>
      </c>
      <c r="BX18" s="69">
        <f t="shared" si="45"/>
        <v>0.54022854959046729</v>
      </c>
      <c r="BZ18" t="str">
        <f t="shared" si="46"/>
        <v>35 Business and public service associate professionals</v>
      </c>
      <c r="CA18" s="69">
        <v>5.2097166798607555</v>
      </c>
      <c r="CB18" s="69">
        <v>4.675243944290794</v>
      </c>
      <c r="CC18" s="69">
        <v>4.2971240525523138</v>
      </c>
      <c r="CD18" s="69">
        <v>3.7856575998975726</v>
      </c>
      <c r="CE18" s="69">
        <v>2.3558473837362275</v>
      </c>
      <c r="CF18" s="69"/>
      <c r="CG18" s="69">
        <f t="shared" si="47"/>
        <v>-1.9412766688160863</v>
      </c>
      <c r="CH18" s="69">
        <f>'RD T1'!E249</f>
        <v>1.1666350622649884</v>
      </c>
      <c r="CI18" s="69">
        <f t="shared" si="48"/>
        <v>-0.77464160655109793</v>
      </c>
      <c r="CK18" t="str">
        <f t="shared" si="49"/>
        <v>35 Business and public service associate professionals</v>
      </c>
      <c r="CL18" s="69">
        <v>0.84599848083618823</v>
      </c>
      <c r="CM18" s="69">
        <v>0.93792674404530973</v>
      </c>
      <c r="CN18" s="69">
        <v>0.94165195136601121</v>
      </c>
      <c r="CO18" s="69">
        <v>1.0388069726971181</v>
      </c>
      <c r="CP18" s="69">
        <v>1.4684794556897545</v>
      </c>
      <c r="CQ18" s="69"/>
      <c r="CR18" s="69">
        <f t="shared" si="50"/>
        <v>0.52682750432374326</v>
      </c>
      <c r="CS18" s="69">
        <f>'RD T1'!E278</f>
        <v>0.33904984809927785</v>
      </c>
      <c r="CT18" s="69">
        <f t="shared" si="51"/>
        <v>0.86587735242302111</v>
      </c>
    </row>
    <row r="19" spans="1:98" x14ac:dyDescent="0.2">
      <c r="A19" s="10" t="str">
        <f>name!D15</f>
        <v>41 Administrative occupations</v>
      </c>
      <c r="B19" s="69">
        <v>0.36255275799030706</v>
      </c>
      <c r="C19" s="69">
        <v>0.40413968246853937</v>
      </c>
      <c r="D19" s="69">
        <v>0.48807802580942095</v>
      </c>
      <c r="E19" s="69">
        <v>0.55825828878801176</v>
      </c>
      <c r="F19" s="69">
        <v>0.76286430892473933</v>
      </c>
      <c r="G19" s="11"/>
      <c r="H19" s="69">
        <f t="shared" si="26"/>
        <v>0.27478628311531839</v>
      </c>
      <c r="I19" s="69">
        <f>'RD T1'!E47</f>
        <v>0.33214369578184461</v>
      </c>
      <c r="J19" s="69">
        <f t="shared" si="27"/>
        <v>0.60692997889716294</v>
      </c>
      <c r="L19" t="str">
        <f t="shared" si="28"/>
        <v>41 Administrative occupations</v>
      </c>
      <c r="M19" s="69">
        <v>4.219406098445539</v>
      </c>
      <c r="N19" s="69">
        <v>4.9298433965688897</v>
      </c>
      <c r="O19" s="69">
        <v>5.3416793014230972</v>
      </c>
      <c r="P19" s="69">
        <v>5.9843491418600916</v>
      </c>
      <c r="Q19" s="69">
        <v>7.7432228688783367</v>
      </c>
      <c r="R19" s="11"/>
      <c r="S19" s="69">
        <f t="shared" si="29"/>
        <v>2.4015435674552394</v>
      </c>
      <c r="T19" s="69">
        <f>'RD T1'!E76</f>
        <v>3.4960216947008504</v>
      </c>
      <c r="U19" s="69">
        <f t="shared" si="30"/>
        <v>5.8975652621560899</v>
      </c>
      <c r="W19" t="str">
        <f t="shared" si="31"/>
        <v>41 Administrative occupations</v>
      </c>
      <c r="X19" s="69">
        <v>14.026683926414133</v>
      </c>
      <c r="Y19" s="69">
        <v>14.639841815758471</v>
      </c>
      <c r="Z19" s="69">
        <v>15.141661837542566</v>
      </c>
      <c r="AA19" s="69">
        <v>15.500734442501395</v>
      </c>
      <c r="AB19" s="69">
        <v>17.746552255358385</v>
      </c>
      <c r="AC19" s="69"/>
      <c r="AD19" s="69">
        <f t="shared" si="32"/>
        <v>2.6048904178158185</v>
      </c>
      <c r="AE19" s="69">
        <f>'RD T1'!E105</f>
        <v>8.9481208206036982</v>
      </c>
      <c r="AF19" s="69">
        <f t="shared" si="33"/>
        <v>11.553011238419517</v>
      </c>
      <c r="AH19" t="str">
        <f t="shared" si="34"/>
        <v>41 Administrative occupations</v>
      </c>
      <c r="AI19" s="69">
        <v>5.1195924316515269</v>
      </c>
      <c r="AJ19" s="69">
        <v>5.4122764335383389</v>
      </c>
      <c r="AK19" s="69">
        <v>5.7377225635600091</v>
      </c>
      <c r="AL19" s="69">
        <v>5.7588794726334518</v>
      </c>
      <c r="AM19" s="69">
        <v>6.4328884779275555</v>
      </c>
      <c r="AN19" s="69"/>
      <c r="AO19" s="69">
        <f t="shared" si="35"/>
        <v>0.69516591436754638</v>
      </c>
      <c r="AP19" s="69">
        <f>'RD T1'!E134</f>
        <v>3.4704860231822856</v>
      </c>
      <c r="AQ19" s="69">
        <f t="shared" si="36"/>
        <v>4.165651937549832</v>
      </c>
      <c r="AS19" t="str">
        <f t="shared" si="37"/>
        <v>41 Administrative occupations</v>
      </c>
      <c r="AT19" s="69">
        <v>4.826827649557222</v>
      </c>
      <c r="AU19" s="69">
        <v>5.0182594375987915</v>
      </c>
      <c r="AV19" s="69">
        <v>5.2749617967298237</v>
      </c>
      <c r="AW19" s="69">
        <v>5.1006286714958833</v>
      </c>
      <c r="AX19" s="69">
        <v>5.7772319070003908</v>
      </c>
      <c r="AY19" s="69"/>
      <c r="AZ19" s="69">
        <f t="shared" si="38"/>
        <v>0.50227011027056712</v>
      </c>
      <c r="BA19" s="69">
        <f>'RD T1'!E163</f>
        <v>2.9213677271351037</v>
      </c>
      <c r="BB19" s="69">
        <f t="shared" si="39"/>
        <v>3.4236378374056708</v>
      </c>
      <c r="BD19" t="str">
        <f t="shared" si="40"/>
        <v>41 Administrative occupations</v>
      </c>
      <c r="BE19" s="69">
        <v>15.271944477576643</v>
      </c>
      <c r="BF19" s="69">
        <v>13.52463526899982</v>
      </c>
      <c r="BG19" s="69">
        <v>14.711841849793457</v>
      </c>
      <c r="BH19" s="69">
        <v>12.432956602673041</v>
      </c>
      <c r="BI19" s="69">
        <v>9.3672808661428597</v>
      </c>
      <c r="BJ19" s="69"/>
      <c r="BK19" s="69">
        <f t="shared" si="41"/>
        <v>-5.344560983650597</v>
      </c>
      <c r="BL19" s="69">
        <f>'RD T1'!E192</f>
        <v>5.7679455099980075</v>
      </c>
      <c r="BM19" s="69">
        <f t="shared" si="42"/>
        <v>0.42338452634741053</v>
      </c>
      <c r="BO19" t="str">
        <f t="shared" si="43"/>
        <v>41 Administrative occupations</v>
      </c>
      <c r="BP19" s="69">
        <v>17.086364663251072</v>
      </c>
      <c r="BQ19" s="69">
        <v>14.519822087878778</v>
      </c>
      <c r="BR19" s="69">
        <v>14.499418401737573</v>
      </c>
      <c r="BS19" s="69">
        <v>12.054523295553278</v>
      </c>
      <c r="BT19" s="69">
        <v>7.848767670388745</v>
      </c>
      <c r="BU19" s="69"/>
      <c r="BV19" s="69">
        <f t="shared" si="44"/>
        <v>-6.6506507313488283</v>
      </c>
      <c r="BW19" s="69">
        <f>'RD T1'!E221</f>
        <v>4.5404125214732343</v>
      </c>
      <c r="BX19" s="69">
        <f t="shared" si="45"/>
        <v>-2.1102382098755941</v>
      </c>
      <c r="BZ19" t="str">
        <f t="shared" si="46"/>
        <v>41 Administrative occupations</v>
      </c>
      <c r="CA19" s="69">
        <v>9.573870867656364</v>
      </c>
      <c r="CB19" s="69">
        <v>8.2769921934446167</v>
      </c>
      <c r="CC19" s="69">
        <v>7.1021216712239887</v>
      </c>
      <c r="CD19" s="69">
        <v>5.005197075544964</v>
      </c>
      <c r="CE19" s="69">
        <v>1.6425071156505973</v>
      </c>
      <c r="CF19" s="69"/>
      <c r="CG19" s="69">
        <f t="shared" si="47"/>
        <v>-5.4596145555733919</v>
      </c>
      <c r="CH19" s="69">
        <f>'RD T1'!E250</f>
        <v>1.4932978566207737</v>
      </c>
      <c r="CI19" s="69">
        <f t="shared" si="48"/>
        <v>-3.9663166989526184</v>
      </c>
      <c r="CK19" t="str">
        <f t="shared" si="49"/>
        <v>41 Administrative occupations</v>
      </c>
      <c r="CL19" s="69">
        <v>1.6788956971378906</v>
      </c>
      <c r="CM19" s="69">
        <v>1.7391448876352567</v>
      </c>
      <c r="CN19" s="69">
        <v>1.6433546866727677</v>
      </c>
      <c r="CO19" s="69">
        <v>1.2312959856707064</v>
      </c>
      <c r="CP19" s="69">
        <v>1.1249862252133744</v>
      </c>
      <c r="CQ19" s="69"/>
      <c r="CR19" s="69">
        <f t="shared" si="50"/>
        <v>-0.5183684614593933</v>
      </c>
      <c r="CS19" s="69">
        <f>'RD T1'!E279</f>
        <v>0.33953569094906577</v>
      </c>
      <c r="CT19" s="69">
        <f t="shared" si="51"/>
        <v>-0.17883277051032753</v>
      </c>
    </row>
    <row r="20" spans="1:98" x14ac:dyDescent="0.2">
      <c r="A20" s="10" t="str">
        <f>name!D16</f>
        <v>42 Secretarial and related occupations</v>
      </c>
      <c r="B20" s="69">
        <v>3.6610771104404458E-2</v>
      </c>
      <c r="C20" s="69">
        <v>4.5839324562002057E-2</v>
      </c>
      <c r="D20" s="69">
        <v>4.6432218813153278E-2</v>
      </c>
      <c r="E20" s="69">
        <v>7.4030001577666787E-2</v>
      </c>
      <c r="F20" s="69">
        <v>0.14200295374757077</v>
      </c>
      <c r="G20" s="11"/>
      <c r="H20" s="69">
        <f t="shared" si="26"/>
        <v>9.5570734934417492E-2</v>
      </c>
      <c r="I20" s="69">
        <f>'RD T1'!E48</f>
        <v>6.0215609893749564E-2</v>
      </c>
      <c r="J20" s="69">
        <f t="shared" si="27"/>
        <v>0.15578634482816706</v>
      </c>
      <c r="L20" t="str">
        <f t="shared" si="28"/>
        <v>42 Secretarial and related occupations</v>
      </c>
      <c r="M20" s="69">
        <v>0.85221045648343663</v>
      </c>
      <c r="N20" s="69">
        <v>0.95136113323810401</v>
      </c>
      <c r="O20" s="69">
        <v>0.99994224353325756</v>
      </c>
      <c r="P20" s="69">
        <v>1.5053640839915017</v>
      </c>
      <c r="Q20" s="69">
        <v>1.84910907007181</v>
      </c>
      <c r="R20" s="11"/>
      <c r="S20" s="69">
        <f t="shared" si="29"/>
        <v>0.84916682653855247</v>
      </c>
      <c r="T20" s="69">
        <f>'RD T1'!E77</f>
        <v>0.91730863236934135</v>
      </c>
      <c r="U20" s="69">
        <f t="shared" si="30"/>
        <v>1.7664754589078937</v>
      </c>
      <c r="W20" t="str">
        <f t="shared" si="31"/>
        <v>42 Secretarial and related occupations</v>
      </c>
      <c r="X20" s="69">
        <v>3.0585969480236654</v>
      </c>
      <c r="Y20" s="69">
        <v>3.0261706872456284</v>
      </c>
      <c r="Z20" s="69">
        <v>3.0616577668112304</v>
      </c>
      <c r="AA20" s="69">
        <v>4.3718777872973327</v>
      </c>
      <c r="AB20" s="69">
        <v>6.6594656393109952</v>
      </c>
      <c r="AC20" s="69"/>
      <c r="AD20" s="69">
        <f t="shared" si="32"/>
        <v>3.5978078724997649</v>
      </c>
      <c r="AE20" s="69">
        <f>'RD T1'!E106</f>
        <v>2.9899615847554948</v>
      </c>
      <c r="AF20" s="69">
        <f t="shared" si="33"/>
        <v>6.5877694572552592</v>
      </c>
      <c r="AH20" t="str">
        <f t="shared" si="34"/>
        <v>42 Secretarial and related occupations</v>
      </c>
      <c r="AI20" s="69">
        <v>1.4827552945094917</v>
      </c>
      <c r="AJ20" s="69">
        <v>1.4833663963550352</v>
      </c>
      <c r="AK20" s="69">
        <v>1.5245411689960731</v>
      </c>
      <c r="AL20" s="69">
        <v>2.0498694153942583</v>
      </c>
      <c r="AM20" s="69">
        <v>2.5252760293695458</v>
      </c>
      <c r="AN20" s="69"/>
      <c r="AO20" s="69">
        <f t="shared" si="35"/>
        <v>1.0007348603734727</v>
      </c>
      <c r="AP20" s="69">
        <f>'RD T1'!E135</f>
        <v>1.2670887915077969</v>
      </c>
      <c r="AQ20" s="69">
        <f t="shared" si="36"/>
        <v>2.2678236518812698</v>
      </c>
      <c r="AS20" t="str">
        <f t="shared" si="37"/>
        <v>42 Secretarial and related occupations</v>
      </c>
      <c r="AT20" s="69">
        <v>1.1999002817393547</v>
      </c>
      <c r="AU20" s="69">
        <v>1.1480583122095636</v>
      </c>
      <c r="AV20" s="69">
        <v>1.1774009738196276</v>
      </c>
      <c r="AW20" s="69">
        <v>1.4958452853548969</v>
      </c>
      <c r="AX20" s="69">
        <v>1.5634073654683764</v>
      </c>
      <c r="AY20" s="69"/>
      <c r="AZ20" s="69">
        <f t="shared" si="38"/>
        <v>0.38600639164874884</v>
      </c>
      <c r="BA20" s="69">
        <f>'RD T1'!E164</f>
        <v>0.84110502611257132</v>
      </c>
      <c r="BB20" s="69">
        <f t="shared" si="39"/>
        <v>1.22711141776132</v>
      </c>
      <c r="BD20" t="str">
        <f t="shared" si="40"/>
        <v>42 Secretarial and related occupations</v>
      </c>
      <c r="BE20" s="69">
        <v>4.1817128387357547</v>
      </c>
      <c r="BF20" s="69">
        <v>3.5420999920441081</v>
      </c>
      <c r="BG20" s="69">
        <v>3.6872595566590971</v>
      </c>
      <c r="BH20" s="69">
        <v>3.7914232295376546</v>
      </c>
      <c r="BI20" s="69">
        <v>0.8102190193645421</v>
      </c>
      <c r="BJ20" s="69"/>
      <c r="BK20" s="69">
        <f t="shared" si="41"/>
        <v>-2.8770405372945551</v>
      </c>
      <c r="BL20" s="69">
        <f>'RD T1'!E193</f>
        <v>1.3461466430717504</v>
      </c>
      <c r="BM20" s="69">
        <f t="shared" si="42"/>
        <v>-1.5308938942228048</v>
      </c>
      <c r="BO20" t="str">
        <f t="shared" si="43"/>
        <v>42 Secretarial and related occupations</v>
      </c>
      <c r="BP20" s="69">
        <v>5.7026145078831822</v>
      </c>
      <c r="BQ20" s="69">
        <v>4.1404168099333534</v>
      </c>
      <c r="BR20" s="69">
        <v>4.006351455056385</v>
      </c>
      <c r="BS20" s="69">
        <v>3.2790024942264226</v>
      </c>
      <c r="BT20" s="69">
        <v>0.68321132876241408</v>
      </c>
      <c r="BU20" s="69"/>
      <c r="BV20" s="69">
        <f t="shared" si="44"/>
        <v>-3.3231401262939708</v>
      </c>
      <c r="BW20" s="69">
        <f>'RD T1'!E222</f>
        <v>1.076974420460604</v>
      </c>
      <c r="BX20" s="69">
        <f t="shared" si="45"/>
        <v>-2.2461657058333668</v>
      </c>
      <c r="BZ20" t="str">
        <f t="shared" si="46"/>
        <v>42 Secretarial and related occupations</v>
      </c>
      <c r="CA20" s="69">
        <v>4.4636423427982503</v>
      </c>
      <c r="CB20" s="69">
        <v>3.8367770032006665</v>
      </c>
      <c r="CC20" s="69">
        <v>3.1249205234370421</v>
      </c>
      <c r="CD20" s="69">
        <v>1.3698465826155755</v>
      </c>
      <c r="CE20" s="69">
        <v>0.15828091307714356</v>
      </c>
      <c r="CF20" s="69"/>
      <c r="CG20" s="69">
        <f t="shared" si="47"/>
        <v>-2.9666396103598984</v>
      </c>
      <c r="CH20" s="69">
        <f>'RD T1'!E251</f>
        <v>0.50980203166774352</v>
      </c>
      <c r="CI20" s="69">
        <f t="shared" si="48"/>
        <v>-2.4568375786921548</v>
      </c>
      <c r="CK20" t="str">
        <f t="shared" si="49"/>
        <v>42 Secretarial and related occupations</v>
      </c>
      <c r="CL20" s="69">
        <v>0.82406345594436692</v>
      </c>
      <c r="CM20" s="69">
        <v>0.86108094748572583</v>
      </c>
      <c r="CN20" s="69">
        <v>0.80998398089753298</v>
      </c>
      <c r="CO20" s="69">
        <v>0.75423550238548387</v>
      </c>
      <c r="CP20" s="69">
        <v>0.48728255354390798</v>
      </c>
      <c r="CQ20" s="69"/>
      <c r="CR20" s="69">
        <f t="shared" si="50"/>
        <v>-0.322701427353625</v>
      </c>
      <c r="CS20" s="69">
        <f>'RD T1'!E280</f>
        <v>0.22974605935817774</v>
      </c>
      <c r="CT20" s="69">
        <f t="shared" si="51"/>
        <v>-9.2955367995447263E-2</v>
      </c>
    </row>
    <row r="21" spans="1:98" x14ac:dyDescent="0.2">
      <c r="A21" s="10" t="str">
        <f>name!D17</f>
        <v>51 Skilled agricultural and related trades</v>
      </c>
      <c r="B21" s="69">
        <v>2.3819015917317672E-2</v>
      </c>
      <c r="C21" s="69">
        <v>2.9471137745930052E-2</v>
      </c>
      <c r="D21" s="69">
        <v>2.7151023211192886E-2</v>
      </c>
      <c r="E21" s="69">
        <v>3.2680113942522793E-2</v>
      </c>
      <c r="F21" s="69">
        <v>4.2635357498595788E-2</v>
      </c>
      <c r="G21" s="11"/>
      <c r="H21" s="69">
        <f t="shared" si="26"/>
        <v>1.5484334287402902E-2</v>
      </c>
      <c r="I21" s="69">
        <f>'RD T1'!E49</f>
        <v>2.4998242922263297E-2</v>
      </c>
      <c r="J21" s="69">
        <f t="shared" si="27"/>
        <v>4.04825772096662E-2</v>
      </c>
      <c r="L21" t="str">
        <f t="shared" si="28"/>
        <v>51 Skilled agricultural and related trades</v>
      </c>
      <c r="M21" s="69">
        <v>0.15615581129800538</v>
      </c>
      <c r="N21" s="69">
        <v>0.19026723073989676</v>
      </c>
      <c r="O21" s="69">
        <v>0.15417272912254762</v>
      </c>
      <c r="P21" s="69">
        <v>0.17449562749107458</v>
      </c>
      <c r="Q21" s="69">
        <v>0.2320796421534643</v>
      </c>
      <c r="R21" s="11"/>
      <c r="S21" s="69">
        <f t="shared" si="29"/>
        <v>7.790691303091668E-2</v>
      </c>
      <c r="T21" s="69">
        <f>'RD T1'!E78</f>
        <v>0.11170037915611725</v>
      </c>
      <c r="U21" s="69">
        <f t="shared" si="30"/>
        <v>0.18960729218703393</v>
      </c>
      <c r="W21" t="str">
        <f t="shared" si="31"/>
        <v>51 Skilled agricultural and related trades</v>
      </c>
      <c r="X21" s="69">
        <v>1.2008430482181471</v>
      </c>
      <c r="Y21" s="69">
        <v>1.2869853257994477</v>
      </c>
      <c r="Z21" s="69">
        <v>1.2379870987143518</v>
      </c>
      <c r="AA21" s="69">
        <v>1.4609983884196482</v>
      </c>
      <c r="AB21" s="69">
        <v>2.1150087908364101</v>
      </c>
      <c r="AC21" s="69"/>
      <c r="AD21" s="69">
        <f t="shared" si="32"/>
        <v>0.87702169212205838</v>
      </c>
      <c r="AE21" s="69">
        <f>'RD T1'!E107</f>
        <v>1.1255440473332783</v>
      </c>
      <c r="AF21" s="69">
        <f t="shared" si="33"/>
        <v>2.0025657394553367</v>
      </c>
      <c r="AH21" t="str">
        <f t="shared" si="34"/>
        <v>51 Skilled agricultural and related trades</v>
      </c>
      <c r="AI21" s="69">
        <v>0.54917943075035436</v>
      </c>
      <c r="AJ21" s="69">
        <v>0.62677124207173096</v>
      </c>
      <c r="AK21" s="69">
        <v>0.50168331414527356</v>
      </c>
      <c r="AL21" s="69">
        <v>0.58304752660042347</v>
      </c>
      <c r="AM21" s="69">
        <v>0.7876323179581558</v>
      </c>
      <c r="AN21" s="69"/>
      <c r="AO21" s="69">
        <f t="shared" si="35"/>
        <v>0.28594900381288224</v>
      </c>
      <c r="AP21" s="69">
        <f>'RD T1'!E136</f>
        <v>0.46188922959731549</v>
      </c>
      <c r="AQ21" s="69">
        <f t="shared" si="36"/>
        <v>0.74783823341019773</v>
      </c>
      <c r="AS21" t="str">
        <f t="shared" si="37"/>
        <v>51 Skilled agricultural and related trades</v>
      </c>
      <c r="AT21" s="69">
        <v>0.7157654330630383</v>
      </c>
      <c r="AU21" s="69">
        <v>0.93170988313849579</v>
      </c>
      <c r="AV21" s="69">
        <v>0.72997406129829667</v>
      </c>
      <c r="AW21" s="69">
        <v>0.78005659605179212</v>
      </c>
      <c r="AX21" s="69">
        <v>1.0643092325420989</v>
      </c>
      <c r="AY21" s="69"/>
      <c r="AZ21" s="69">
        <f t="shared" si="38"/>
        <v>0.33433517124380219</v>
      </c>
      <c r="BA21" s="69">
        <f>'RD T1'!E165</f>
        <v>0.56346835757164604</v>
      </c>
      <c r="BB21" s="69">
        <f t="shared" si="39"/>
        <v>0.89780352881544823</v>
      </c>
      <c r="BD21" t="str">
        <f t="shared" si="40"/>
        <v>51 Skilled agricultural and related trades</v>
      </c>
      <c r="BE21" s="69">
        <v>1.328713140604747</v>
      </c>
      <c r="BF21" s="69">
        <v>1.2789029737261333</v>
      </c>
      <c r="BG21" s="69">
        <v>1.0380705085740152</v>
      </c>
      <c r="BH21" s="69">
        <v>1.0029008506681532</v>
      </c>
      <c r="BI21" s="69">
        <v>1.0234385999474507</v>
      </c>
      <c r="BJ21" s="69"/>
      <c r="BK21" s="69">
        <f t="shared" si="41"/>
        <v>-1.4631908626564494E-2</v>
      </c>
      <c r="BL21" s="69">
        <f>'RD T1'!E194</f>
        <v>0.54094741018824766</v>
      </c>
      <c r="BM21" s="69">
        <f t="shared" si="42"/>
        <v>0.52631550156168316</v>
      </c>
      <c r="BO21" t="str">
        <f t="shared" si="43"/>
        <v>51 Skilled agricultural and related trades</v>
      </c>
      <c r="BP21" s="69">
        <v>1.95103397554606</v>
      </c>
      <c r="BQ21" s="69">
        <v>2.0727583469408111</v>
      </c>
      <c r="BR21" s="69">
        <v>1.4728070315093065</v>
      </c>
      <c r="BS21" s="69">
        <v>1.5376166458157017</v>
      </c>
      <c r="BT21" s="69">
        <v>1.581895192574698</v>
      </c>
      <c r="BU21" s="69"/>
      <c r="BV21" s="69">
        <f t="shared" si="44"/>
        <v>0.10908816106539154</v>
      </c>
      <c r="BW21" s="69">
        <f>'RD T1'!E223</f>
        <v>0.81047326140459286</v>
      </c>
      <c r="BX21" s="69">
        <f t="shared" si="45"/>
        <v>0.9195614224699844</v>
      </c>
      <c r="BZ21" t="str">
        <f t="shared" si="46"/>
        <v>51 Skilled agricultural and related trades</v>
      </c>
      <c r="CA21" s="69">
        <v>1.6544753953892115</v>
      </c>
      <c r="CB21" s="69">
        <v>1.4962262905988597</v>
      </c>
      <c r="CC21" s="69">
        <v>1.2397595416705287</v>
      </c>
      <c r="CD21" s="69">
        <v>1.2823131920011528</v>
      </c>
      <c r="CE21" s="69">
        <v>1.5616423783602722</v>
      </c>
      <c r="CF21" s="69"/>
      <c r="CG21" s="69">
        <f t="shared" si="47"/>
        <v>0.32188283668974349</v>
      </c>
      <c r="CH21" s="69">
        <f>'RD T1'!E252</f>
        <v>0.61738895482814005</v>
      </c>
      <c r="CI21" s="69">
        <f t="shared" si="48"/>
        <v>0.93927179151788354</v>
      </c>
      <c r="CK21" t="str">
        <f t="shared" si="49"/>
        <v>51 Skilled agricultural and related trades</v>
      </c>
      <c r="CL21" s="69">
        <v>0.82396182000490348</v>
      </c>
      <c r="CM21" s="69">
        <v>0.96301472163556268</v>
      </c>
      <c r="CN21" s="69">
        <v>0.62985177884930743</v>
      </c>
      <c r="CO21" s="69">
        <v>0.7151049386934385</v>
      </c>
      <c r="CP21" s="69">
        <v>0.47661630392015153</v>
      </c>
      <c r="CQ21" s="69"/>
      <c r="CR21" s="69">
        <f t="shared" si="50"/>
        <v>-0.1532354749291559</v>
      </c>
      <c r="CS21" s="69">
        <f>'RD T1'!E281</f>
        <v>0.19629625216771318</v>
      </c>
      <c r="CT21" s="69">
        <f t="shared" si="51"/>
        <v>4.306077723855728E-2</v>
      </c>
    </row>
    <row r="22" spans="1:98" x14ac:dyDescent="0.2">
      <c r="A22" s="10" t="str">
        <f>name!D18</f>
        <v>52 Skilled metal, electrical and electronic trades</v>
      </c>
      <c r="B22" s="69">
        <v>3.4395344543589432E-2</v>
      </c>
      <c r="C22" s="69">
        <v>3.2079020809817289E-2</v>
      </c>
      <c r="D22" s="69">
        <v>3.5582633612171705E-2</v>
      </c>
      <c r="E22" s="69">
        <v>3.82487428202124E-2</v>
      </c>
      <c r="F22" s="69">
        <v>5.2073232204868675E-2</v>
      </c>
      <c r="G22" s="11"/>
      <c r="H22" s="69">
        <f t="shared" si="26"/>
        <v>1.649059859269697E-2</v>
      </c>
      <c r="I22" s="69">
        <f>'RD T1'!E50</f>
        <v>1.9157644137506903E-2</v>
      </c>
      <c r="J22" s="69">
        <f t="shared" si="27"/>
        <v>3.5648242730203873E-2</v>
      </c>
      <c r="L22" t="str">
        <f t="shared" si="28"/>
        <v>52 Skilled metal, electrical and electronic trades</v>
      </c>
      <c r="M22" s="69">
        <v>0.64817964433949371</v>
      </c>
      <c r="N22" s="69">
        <v>0.75444005820237225</v>
      </c>
      <c r="O22" s="69">
        <v>0.70313211742098458</v>
      </c>
      <c r="P22" s="69">
        <v>1.0108775728654402</v>
      </c>
      <c r="Q22" s="69">
        <v>1.5503967919052906</v>
      </c>
      <c r="R22" s="11"/>
      <c r="S22" s="69">
        <f t="shared" si="29"/>
        <v>0.84726467448430598</v>
      </c>
      <c r="T22" s="69">
        <f>'RD T1'!E79</f>
        <v>0.58626341774607771</v>
      </c>
      <c r="U22" s="69">
        <f t="shared" si="30"/>
        <v>1.4335280922303837</v>
      </c>
      <c r="W22" t="str">
        <f t="shared" si="31"/>
        <v>52 Skilled metal, electrical and electronic trades</v>
      </c>
      <c r="X22" s="69">
        <v>1.844921508367424</v>
      </c>
      <c r="Y22" s="69">
        <v>1.9759592947458795</v>
      </c>
      <c r="Z22" s="69">
        <v>1.6342701873163277</v>
      </c>
      <c r="AA22" s="69">
        <v>1.9490648507557686</v>
      </c>
      <c r="AB22" s="69">
        <v>2.4441963588308049</v>
      </c>
      <c r="AC22" s="69"/>
      <c r="AD22" s="69">
        <f t="shared" si="32"/>
        <v>0.80992617151447721</v>
      </c>
      <c r="AE22" s="69">
        <f>'RD T1'!E108</f>
        <v>1.0536931977444572</v>
      </c>
      <c r="AF22" s="69">
        <f t="shared" si="33"/>
        <v>1.8636193692589345</v>
      </c>
      <c r="AH22" t="str">
        <f t="shared" si="34"/>
        <v>52 Skilled metal, electrical and electronic trades</v>
      </c>
      <c r="AI22" s="69">
        <v>0.60348456886531932</v>
      </c>
      <c r="AJ22" s="69">
        <v>0.69567099183249148</v>
      </c>
      <c r="AK22" s="69">
        <v>0.59099364310501312</v>
      </c>
      <c r="AL22" s="69">
        <v>0.61957194657627546</v>
      </c>
      <c r="AM22" s="69">
        <v>0.76427561842348313</v>
      </c>
      <c r="AN22" s="69"/>
      <c r="AO22" s="69">
        <f t="shared" si="35"/>
        <v>0.17328197531847001</v>
      </c>
      <c r="AP22" s="69">
        <f>'RD T1'!E137</f>
        <v>0.30847515482095939</v>
      </c>
      <c r="AQ22" s="69">
        <f t="shared" si="36"/>
        <v>0.48175713013942939</v>
      </c>
      <c r="AS22" t="str">
        <f t="shared" si="37"/>
        <v>52 Skilled metal, electrical and electronic trades</v>
      </c>
      <c r="AT22" s="69">
        <v>2.4397363264067415</v>
      </c>
      <c r="AU22" s="69">
        <v>2.6747866997889784</v>
      </c>
      <c r="AV22" s="69">
        <v>2.3528865145873517</v>
      </c>
      <c r="AW22" s="69">
        <v>2.4302295563580358</v>
      </c>
      <c r="AX22" s="69">
        <v>2.9100468617970501</v>
      </c>
      <c r="AY22" s="69"/>
      <c r="AZ22" s="69">
        <f t="shared" si="38"/>
        <v>0.55716034720969843</v>
      </c>
      <c r="BA22" s="69">
        <f>'RD T1'!E166</f>
        <v>1.2019821852821453</v>
      </c>
      <c r="BB22" s="69">
        <f t="shared" si="39"/>
        <v>1.7591425324918437</v>
      </c>
      <c r="BD22" t="str">
        <f t="shared" si="40"/>
        <v>52 Skilled metal, electrical and electronic trades</v>
      </c>
      <c r="BE22" s="69">
        <v>11.522487089088932</v>
      </c>
      <c r="BF22" s="69">
        <v>11.055155077504459</v>
      </c>
      <c r="BG22" s="69">
        <v>10.366412529312278</v>
      </c>
      <c r="BH22" s="69">
        <v>10.341985241193253</v>
      </c>
      <c r="BI22" s="69">
        <v>10.163941241638369</v>
      </c>
      <c r="BJ22" s="69"/>
      <c r="BK22" s="69">
        <f t="shared" si="41"/>
        <v>-0.20247128767390876</v>
      </c>
      <c r="BL22" s="69">
        <f>'RD T1'!E195</f>
        <v>3.5663760951924908</v>
      </c>
      <c r="BM22" s="69">
        <f t="shared" si="42"/>
        <v>3.363904807518582</v>
      </c>
      <c r="BO22" t="str">
        <f t="shared" si="43"/>
        <v>52 Skilled metal, electrical and electronic trades</v>
      </c>
      <c r="BP22" s="69">
        <v>6.7661158586832713</v>
      </c>
      <c r="BQ22" s="69">
        <v>7.2110122302824449</v>
      </c>
      <c r="BR22" s="69">
        <v>5.7627862686242697</v>
      </c>
      <c r="BS22" s="69">
        <v>5.577320756878887</v>
      </c>
      <c r="BT22" s="69">
        <v>4.7742718660674521</v>
      </c>
      <c r="BU22" s="69"/>
      <c r="BV22" s="69">
        <f t="shared" si="44"/>
        <v>-0.98851440255681755</v>
      </c>
      <c r="BW22" s="69">
        <f>'RD T1'!E224</f>
        <v>1.9259075827291794</v>
      </c>
      <c r="BX22" s="69">
        <f t="shared" si="45"/>
        <v>0.93739318017236184</v>
      </c>
      <c r="BZ22" t="str">
        <f t="shared" si="46"/>
        <v>52 Skilled metal, electrical and electronic trades</v>
      </c>
      <c r="CA22" s="69">
        <v>3.988629693932082</v>
      </c>
      <c r="CB22" s="69">
        <v>3.3431000578217542</v>
      </c>
      <c r="CC22" s="69">
        <v>2.7666807956917547</v>
      </c>
      <c r="CD22" s="69">
        <v>2.8641735165549482</v>
      </c>
      <c r="CE22" s="69">
        <v>1.6689880003072106</v>
      </c>
      <c r="CF22" s="69"/>
      <c r="CG22" s="69">
        <f t="shared" si="47"/>
        <v>-1.0976927953845441</v>
      </c>
      <c r="CH22" s="69">
        <f>'RD T1'!E253</f>
        <v>0.89213157802093679</v>
      </c>
      <c r="CI22" s="69">
        <f t="shared" si="48"/>
        <v>-0.20556121736360733</v>
      </c>
      <c r="CK22" t="str">
        <f t="shared" si="49"/>
        <v>52 Skilled metal, electrical and electronic trades</v>
      </c>
      <c r="CL22" s="69">
        <v>1.0225278270802627</v>
      </c>
      <c r="CM22" s="69">
        <v>1.1655173481006726</v>
      </c>
      <c r="CN22" s="69">
        <v>0.91535112861950441</v>
      </c>
      <c r="CO22" s="69">
        <v>1.0921063859742102</v>
      </c>
      <c r="CP22" s="69">
        <v>0.83234682988373832</v>
      </c>
      <c r="CQ22" s="69"/>
      <c r="CR22" s="69">
        <f t="shared" si="50"/>
        <v>-8.3004298735766091E-2</v>
      </c>
      <c r="CS22" s="69">
        <f>'RD T1'!E282</f>
        <v>0.30827070051134248</v>
      </c>
      <c r="CT22" s="69">
        <f t="shared" si="51"/>
        <v>0.22526640177557639</v>
      </c>
    </row>
    <row r="23" spans="1:98" x14ac:dyDescent="0.2">
      <c r="A23" s="10" t="str">
        <f>name!D19</f>
        <v>53 Skilled construction and building trades</v>
      </c>
      <c r="B23" s="69">
        <v>1.9978884921979082E-2</v>
      </c>
      <c r="C23" s="69">
        <v>1.2780444674298371E-2</v>
      </c>
      <c r="D23" s="69">
        <v>1.0926339312871151E-2</v>
      </c>
      <c r="E23" s="69">
        <v>1.7140239896353143E-2</v>
      </c>
      <c r="F23" s="69">
        <v>1.860378190518297E-2</v>
      </c>
      <c r="G23" s="11"/>
      <c r="H23" s="69">
        <f t="shared" si="26"/>
        <v>7.677442592311819E-3</v>
      </c>
      <c r="I23" s="69">
        <f>'RD T1'!E51</f>
        <v>7.9180314395804786E-3</v>
      </c>
      <c r="J23" s="69">
        <f t="shared" si="27"/>
        <v>1.5595474031892298E-2</v>
      </c>
      <c r="L23" t="str">
        <f t="shared" si="28"/>
        <v>53 Skilled construction and building trades</v>
      </c>
      <c r="M23" s="69">
        <v>0.29239341471856711</v>
      </c>
      <c r="N23" s="69">
        <v>0.30562776351401477</v>
      </c>
      <c r="O23" s="69">
        <v>0.30469100637814667</v>
      </c>
      <c r="P23" s="69">
        <v>0.36503591029323718</v>
      </c>
      <c r="Q23" s="69">
        <v>0.45532965238440692</v>
      </c>
      <c r="R23" s="11"/>
      <c r="S23" s="69">
        <f t="shared" si="29"/>
        <v>0.15063864600626026</v>
      </c>
      <c r="T23" s="69">
        <f>'RD T1'!E80</f>
        <v>0.19588190187734683</v>
      </c>
      <c r="U23" s="69">
        <f t="shared" si="30"/>
        <v>0.34652054788360709</v>
      </c>
      <c r="W23" t="str">
        <f t="shared" si="31"/>
        <v>53 Skilled construction and building trades</v>
      </c>
      <c r="X23" s="69">
        <v>1.0489412434158776</v>
      </c>
      <c r="Y23" s="69">
        <v>1.0039693955633875</v>
      </c>
      <c r="Z23" s="69">
        <v>0.90051231941596643</v>
      </c>
      <c r="AA23" s="69">
        <v>1.0733752134446224</v>
      </c>
      <c r="AB23" s="69">
        <v>1.2227480681930778</v>
      </c>
      <c r="AC23" s="69"/>
      <c r="AD23" s="69">
        <f t="shared" si="32"/>
        <v>0.32223574877711136</v>
      </c>
      <c r="AE23" s="69">
        <f>'RD T1'!E109</f>
        <v>0.58560147044907518</v>
      </c>
      <c r="AF23" s="69">
        <f t="shared" si="33"/>
        <v>0.90783721922618654</v>
      </c>
      <c r="AH23" t="str">
        <f t="shared" si="34"/>
        <v>53 Skilled construction and building trades</v>
      </c>
      <c r="AI23" s="69">
        <v>0.61581580913786294</v>
      </c>
      <c r="AJ23" s="69">
        <v>0.6892775390845588</v>
      </c>
      <c r="AK23" s="69">
        <v>0.61021705703253892</v>
      </c>
      <c r="AL23" s="69">
        <v>0.70616737528431406</v>
      </c>
      <c r="AM23" s="69">
        <v>0.8223006015699158</v>
      </c>
      <c r="AN23" s="69"/>
      <c r="AO23" s="69">
        <f t="shared" si="35"/>
        <v>0.21208354453737688</v>
      </c>
      <c r="AP23" s="69">
        <f>'RD T1'!E138</f>
        <v>0.42417497880875216</v>
      </c>
      <c r="AQ23" s="69">
        <f t="shared" si="36"/>
        <v>0.63625852334612909</v>
      </c>
      <c r="AS23" t="str">
        <f t="shared" si="37"/>
        <v>53 Skilled construction and building trades</v>
      </c>
      <c r="AT23" s="69">
        <v>0.88134838008217464</v>
      </c>
      <c r="AU23" s="69">
        <v>0.86431055535856782</v>
      </c>
      <c r="AV23" s="69">
        <v>0.81844630764252857</v>
      </c>
      <c r="AW23" s="69">
        <v>0.97992839055090275</v>
      </c>
      <c r="AX23" s="69">
        <v>1.0532713282602351</v>
      </c>
      <c r="AY23" s="69"/>
      <c r="AZ23" s="69">
        <f t="shared" si="38"/>
        <v>0.23482502061770649</v>
      </c>
      <c r="BA23" s="69">
        <f>'RD T1'!E167</f>
        <v>0.54931236375604631</v>
      </c>
      <c r="BB23" s="69">
        <f t="shared" si="39"/>
        <v>0.7841373843737528</v>
      </c>
      <c r="BD23" t="str">
        <f t="shared" si="40"/>
        <v>53 Skilled construction and building trades</v>
      </c>
      <c r="BE23" s="69">
        <v>8.6324047211209933</v>
      </c>
      <c r="BF23" s="69">
        <v>7.2663843949460443</v>
      </c>
      <c r="BG23" s="69">
        <v>7.0631042236525898</v>
      </c>
      <c r="BH23" s="69">
        <v>7.0446102368748145</v>
      </c>
      <c r="BI23" s="69">
        <v>6.1550390483033626</v>
      </c>
      <c r="BJ23" s="69"/>
      <c r="BK23" s="69">
        <f t="shared" si="41"/>
        <v>-0.90806517534922726</v>
      </c>
      <c r="BL23" s="69">
        <f>'RD T1'!E196</f>
        <v>2.5294433587980483</v>
      </c>
      <c r="BM23" s="69">
        <f t="shared" si="42"/>
        <v>1.621378183448821</v>
      </c>
      <c r="BO23" t="str">
        <f t="shared" si="43"/>
        <v>53 Skilled construction and building trades</v>
      </c>
      <c r="BP23" s="69">
        <v>7.1252184886402921</v>
      </c>
      <c r="BQ23" s="69">
        <v>7.6212765666315345</v>
      </c>
      <c r="BR23" s="69">
        <v>6.3819297657127487</v>
      </c>
      <c r="BS23" s="69">
        <v>7.103642423843521</v>
      </c>
      <c r="BT23" s="69">
        <v>7.0111507798075463</v>
      </c>
      <c r="BU23" s="69"/>
      <c r="BV23" s="69">
        <f t="shared" si="44"/>
        <v>0.62922101409479758</v>
      </c>
      <c r="BW23" s="69">
        <f>'RD T1'!E225</f>
        <v>3.062985128780602</v>
      </c>
      <c r="BX23" s="69">
        <f t="shared" si="45"/>
        <v>3.6922061428753996</v>
      </c>
      <c r="BZ23" t="str">
        <f t="shared" si="46"/>
        <v>53 Skilled construction and building trades</v>
      </c>
      <c r="CA23" s="69">
        <v>4.1188739619753623</v>
      </c>
      <c r="CB23" s="69">
        <v>3.3572953211865593</v>
      </c>
      <c r="CC23" s="69">
        <v>3.0148355268588425</v>
      </c>
      <c r="CD23" s="69">
        <v>3.3788967359727149</v>
      </c>
      <c r="CE23" s="69">
        <v>3.2305525707029465</v>
      </c>
      <c r="CF23" s="69"/>
      <c r="CG23" s="69">
        <f t="shared" si="47"/>
        <v>0.21571704384410406</v>
      </c>
      <c r="CH23" s="69">
        <f>'RD T1'!E254</f>
        <v>1.2969491788984224</v>
      </c>
      <c r="CI23" s="69">
        <f t="shared" si="48"/>
        <v>1.5126662227425265</v>
      </c>
      <c r="CK23" t="str">
        <f t="shared" si="49"/>
        <v>53 Skilled construction and building trades</v>
      </c>
      <c r="CL23" s="69">
        <v>1.7874433550694471</v>
      </c>
      <c r="CM23" s="69">
        <v>1.634898086180536</v>
      </c>
      <c r="CN23" s="69">
        <v>1.3145337226012896</v>
      </c>
      <c r="CO23" s="69">
        <v>1.1982893788121991</v>
      </c>
      <c r="CP23" s="69">
        <v>0.39216964699936807</v>
      </c>
      <c r="CQ23" s="69"/>
      <c r="CR23" s="69">
        <f t="shared" si="50"/>
        <v>-0.92236407560192157</v>
      </c>
      <c r="CS23" s="69">
        <f>'RD T1'!E283</f>
        <v>0.24199306977487184</v>
      </c>
      <c r="CT23" s="69">
        <f t="shared" si="51"/>
        <v>-0.68037100582704979</v>
      </c>
    </row>
    <row r="24" spans="1:98" x14ac:dyDescent="0.2">
      <c r="A24" s="10" t="str">
        <f>name!D20</f>
        <v>54 Textiles, printing and other skilled trades</v>
      </c>
      <c r="B24" s="69">
        <v>5.5705444130503864E-2</v>
      </c>
      <c r="C24" s="69">
        <v>5.9658368203060072E-2</v>
      </c>
      <c r="D24" s="69">
        <v>6.5153381599793239E-2</v>
      </c>
      <c r="E24" s="69">
        <v>8.3515586079263154E-2</v>
      </c>
      <c r="F24" s="69">
        <v>0.11417138652468115</v>
      </c>
      <c r="G24" s="11"/>
      <c r="H24" s="69">
        <f t="shared" si="26"/>
        <v>4.9018004924887906E-2</v>
      </c>
      <c r="I24" s="69">
        <f>'RD T1'!E52</f>
        <v>4.8149138605337198E-2</v>
      </c>
      <c r="J24" s="69">
        <f t="shared" si="27"/>
        <v>9.7167143530225097E-2</v>
      </c>
      <c r="L24" t="str">
        <f t="shared" si="28"/>
        <v>54 Textiles, printing and other skilled trades</v>
      </c>
      <c r="M24" s="69">
        <v>0.5521438331330798</v>
      </c>
      <c r="N24" s="69">
        <v>0.60692290778043922</v>
      </c>
      <c r="O24" s="69">
        <v>0.6594620863869437</v>
      </c>
      <c r="P24" s="69">
        <v>0.82939923188985087</v>
      </c>
      <c r="Q24" s="69">
        <v>1.2101132825082774</v>
      </c>
      <c r="R24" s="11"/>
      <c r="S24" s="69">
        <f t="shared" si="29"/>
        <v>0.55065119612133373</v>
      </c>
      <c r="T24" s="69">
        <f>'RD T1'!E81</f>
        <v>0.52823686337523923</v>
      </c>
      <c r="U24" s="69">
        <f t="shared" si="30"/>
        <v>1.0788880594965731</v>
      </c>
      <c r="W24" t="str">
        <f t="shared" si="31"/>
        <v>54 Textiles, printing and other skilled trades</v>
      </c>
      <c r="X24" s="69">
        <v>1.7488966885978883</v>
      </c>
      <c r="Y24" s="69">
        <v>1.7637208349460796</v>
      </c>
      <c r="Z24" s="69">
        <v>1.6504740715637547</v>
      </c>
      <c r="AA24" s="69">
        <v>2.0130742136655426</v>
      </c>
      <c r="AB24" s="69">
        <v>2.6193482737021765</v>
      </c>
      <c r="AC24" s="69"/>
      <c r="AD24" s="69">
        <f t="shared" si="32"/>
        <v>0.96887420213842179</v>
      </c>
      <c r="AE24" s="69">
        <f>'RD T1'!E110</f>
        <v>1.218382226612043</v>
      </c>
      <c r="AF24" s="69">
        <f t="shared" si="33"/>
        <v>2.187256428750465</v>
      </c>
      <c r="AH24" t="str">
        <f t="shared" si="34"/>
        <v>54 Textiles, printing and other skilled trades</v>
      </c>
      <c r="AI24" s="69">
        <v>0.63896951749555608</v>
      </c>
      <c r="AJ24" s="69">
        <v>0.61528689283746618</v>
      </c>
      <c r="AK24" s="69">
        <v>0.58980296558209322</v>
      </c>
      <c r="AL24" s="69">
        <v>0.63230403239878918</v>
      </c>
      <c r="AM24" s="69">
        <v>0.79246771172373043</v>
      </c>
      <c r="AN24" s="69"/>
      <c r="AO24" s="69">
        <f t="shared" si="35"/>
        <v>0.20266474614163721</v>
      </c>
      <c r="AP24" s="69">
        <f>'RD T1'!E139</f>
        <v>0.37297166900237416</v>
      </c>
      <c r="AQ24" s="69">
        <f t="shared" si="36"/>
        <v>0.57563641514401143</v>
      </c>
      <c r="AS24" t="str">
        <f t="shared" si="37"/>
        <v>54 Textiles, printing and other skilled trades</v>
      </c>
      <c r="AT24" s="69">
        <v>0.77922689029261261</v>
      </c>
      <c r="AU24" s="69">
        <v>0.75848455700093842</v>
      </c>
      <c r="AV24" s="69">
        <v>0.72745186826944952</v>
      </c>
      <c r="AW24" s="69">
        <v>0.8475800340156816</v>
      </c>
      <c r="AX24" s="69">
        <v>1.0563733960775619</v>
      </c>
      <c r="AY24" s="69"/>
      <c r="AZ24" s="69">
        <f t="shared" si="38"/>
        <v>0.32892152780811235</v>
      </c>
      <c r="BA24" s="69">
        <f>'RD T1'!E168</f>
        <v>0.48831809529043035</v>
      </c>
      <c r="BB24" s="69">
        <f t="shared" si="39"/>
        <v>0.8172396230985427</v>
      </c>
      <c r="BD24" t="str">
        <f t="shared" si="40"/>
        <v>54 Textiles, printing and other skilled trades</v>
      </c>
      <c r="BE24" s="69">
        <v>5.0111403028689434</v>
      </c>
      <c r="BF24" s="69">
        <v>4.4527609062851443</v>
      </c>
      <c r="BG24" s="69">
        <v>4.2933715836045323</v>
      </c>
      <c r="BH24" s="69">
        <v>4.662468895688562</v>
      </c>
      <c r="BI24" s="69">
        <v>5.1788074796894996</v>
      </c>
      <c r="BJ24" s="69"/>
      <c r="BK24" s="69">
        <f t="shared" si="41"/>
        <v>0.88543589608496731</v>
      </c>
      <c r="BL24" s="69">
        <f>'RD T1'!E197</f>
        <v>1.9881422764535734</v>
      </c>
      <c r="BM24" s="69">
        <f t="shared" si="42"/>
        <v>2.873578172538541</v>
      </c>
      <c r="BO24" t="str">
        <f t="shared" si="43"/>
        <v>54 Textiles, printing and other skilled trades</v>
      </c>
      <c r="BP24" s="69">
        <v>4.9376940785794554</v>
      </c>
      <c r="BQ24" s="69">
        <v>4.0744382053320383</v>
      </c>
      <c r="BR24" s="69">
        <v>3.6897035646939327</v>
      </c>
      <c r="BS24" s="69">
        <v>3.322443682593692</v>
      </c>
      <c r="BT24" s="69">
        <v>2.9914279819388208</v>
      </c>
      <c r="BU24" s="69"/>
      <c r="BV24" s="69">
        <f t="shared" si="44"/>
        <v>-0.69827558275511192</v>
      </c>
      <c r="BW24" s="69">
        <f>'RD T1'!E226</f>
        <v>1.2725684618262667</v>
      </c>
      <c r="BX24" s="69">
        <f t="shared" si="45"/>
        <v>0.57429287907115478</v>
      </c>
      <c r="BZ24" t="str">
        <f t="shared" si="46"/>
        <v>54 Textiles, printing and other skilled trades</v>
      </c>
      <c r="CA24" s="69">
        <v>4.435755070972168</v>
      </c>
      <c r="CB24" s="69">
        <v>3.6299461175921222</v>
      </c>
      <c r="CC24" s="69">
        <v>3.1099516544652617</v>
      </c>
      <c r="CD24" s="69">
        <v>3.2410385034813984</v>
      </c>
      <c r="CE24" s="69">
        <v>2.774235388770133</v>
      </c>
      <c r="CF24" s="69"/>
      <c r="CG24" s="69">
        <f t="shared" si="47"/>
        <v>-0.33571626569512869</v>
      </c>
      <c r="CH24" s="69">
        <f>'RD T1'!E255</f>
        <v>1.1287133097475908</v>
      </c>
      <c r="CI24" s="69">
        <f t="shared" si="48"/>
        <v>0.79299704405246207</v>
      </c>
      <c r="CK24" t="str">
        <f t="shared" si="49"/>
        <v>54 Textiles, printing and other skilled trades</v>
      </c>
      <c r="CL24" s="69">
        <v>1.4561417664898346</v>
      </c>
      <c r="CM24" s="69">
        <v>1.3411622571042103</v>
      </c>
      <c r="CN24" s="69">
        <v>1.1594440119070986</v>
      </c>
      <c r="CO24" s="69">
        <v>0.91524851913565519</v>
      </c>
      <c r="CP24" s="69">
        <v>0.63950989001054293</v>
      </c>
      <c r="CQ24" s="69"/>
      <c r="CR24" s="69">
        <f t="shared" si="50"/>
        <v>-0.51993412189655563</v>
      </c>
      <c r="CS24" s="69">
        <f>'RD T1'!E284</f>
        <v>0.22777455548900363</v>
      </c>
      <c r="CT24" s="69">
        <f t="shared" si="51"/>
        <v>-0.29215956640755203</v>
      </c>
    </row>
    <row r="25" spans="1:98" x14ac:dyDescent="0.2">
      <c r="A25" s="10" t="str">
        <f>name!D21</f>
        <v>61 Caring personal service occupations</v>
      </c>
      <c r="B25" s="69">
        <v>4.7626179471131978E-2</v>
      </c>
      <c r="C25" s="69">
        <v>5.9211908423711483E-2</v>
      </c>
      <c r="D25" s="69">
        <v>5.9588306448196099E-2</v>
      </c>
      <c r="E25" s="69">
        <v>8.1568353874010541E-2</v>
      </c>
      <c r="F25" s="69">
        <v>0.11391277010191188</v>
      </c>
      <c r="G25" s="11"/>
      <c r="H25" s="69">
        <f t="shared" si="26"/>
        <v>5.4324463653715779E-2</v>
      </c>
      <c r="I25" s="69">
        <f>'RD T1'!E53</f>
        <v>4.9704525857815936E-2</v>
      </c>
      <c r="J25" s="69">
        <f t="shared" si="27"/>
        <v>0.10402898951153172</v>
      </c>
      <c r="L25" t="str">
        <f t="shared" si="28"/>
        <v>61 Caring personal service occupations</v>
      </c>
      <c r="M25" s="69">
        <v>2.186146870436009</v>
      </c>
      <c r="N25" s="69">
        <v>2.9628280965524434</v>
      </c>
      <c r="O25" s="69">
        <v>2.999527748141082</v>
      </c>
      <c r="P25" s="69">
        <v>3.9503713704005121</v>
      </c>
      <c r="Q25" s="69">
        <v>5.3261763029660791</v>
      </c>
      <c r="R25" s="11"/>
      <c r="S25" s="69">
        <f t="shared" si="29"/>
        <v>2.3266485548249971</v>
      </c>
      <c r="T25" s="69">
        <f>'RD T1'!E82</f>
        <v>2.5487848961545629</v>
      </c>
      <c r="U25" s="69">
        <f t="shared" si="30"/>
        <v>4.8754334509795605</v>
      </c>
      <c r="W25" t="str">
        <f t="shared" si="31"/>
        <v>61 Caring personal service occupations</v>
      </c>
      <c r="X25" s="69">
        <v>7.0808088949336891</v>
      </c>
      <c r="Y25" s="69">
        <v>8.4447117890615999</v>
      </c>
      <c r="Z25" s="69">
        <v>7.9524043144736289</v>
      </c>
      <c r="AA25" s="69">
        <v>9.4740917418570092</v>
      </c>
      <c r="AB25" s="69">
        <v>11.235019018760161</v>
      </c>
      <c r="AC25" s="69"/>
      <c r="AD25" s="69">
        <f t="shared" si="32"/>
        <v>3.2826147042865319</v>
      </c>
      <c r="AE25" s="69">
        <f>'RD T1'!E111</f>
        <v>6.2975411445618619</v>
      </c>
      <c r="AF25" s="69">
        <f t="shared" si="33"/>
        <v>9.5801558488483938</v>
      </c>
      <c r="AH25" t="str">
        <f t="shared" si="34"/>
        <v>61 Caring personal service occupations</v>
      </c>
      <c r="AI25" s="69">
        <v>6.203346924831461</v>
      </c>
      <c r="AJ25" s="69">
        <v>6.5609563147758836</v>
      </c>
      <c r="AK25" s="69">
        <v>6.2706830281747008</v>
      </c>
      <c r="AL25" s="69">
        <v>6.6639169476523783</v>
      </c>
      <c r="AM25" s="69">
        <v>6.9855335945954096</v>
      </c>
      <c r="AN25" s="69"/>
      <c r="AO25" s="69">
        <f t="shared" si="35"/>
        <v>0.71485056642070877</v>
      </c>
      <c r="AP25" s="69">
        <f>'RD T1'!E140</f>
        <v>3.8688633020963752</v>
      </c>
      <c r="AQ25" s="69">
        <f t="shared" si="36"/>
        <v>4.5837138685170835</v>
      </c>
      <c r="AS25" t="str">
        <f t="shared" si="37"/>
        <v>61 Caring personal service occupations</v>
      </c>
      <c r="AT25" s="69">
        <v>3.3554637448045361</v>
      </c>
      <c r="AU25" s="69">
        <v>3.8352753284570071</v>
      </c>
      <c r="AV25" s="69">
        <v>3.6890345536817968</v>
      </c>
      <c r="AW25" s="69">
        <v>3.9635914541132995</v>
      </c>
      <c r="AX25" s="69">
        <v>4.2613353411490591</v>
      </c>
      <c r="AY25" s="69"/>
      <c r="AZ25" s="69">
        <f t="shared" si="38"/>
        <v>0.57230078746726232</v>
      </c>
      <c r="BA25" s="69">
        <f>'RD T1'!E169</f>
        <v>2.3638262166362791</v>
      </c>
      <c r="BB25" s="69">
        <f t="shared" si="39"/>
        <v>2.9361270041035414</v>
      </c>
      <c r="BD25" t="str">
        <f t="shared" si="40"/>
        <v>61 Caring personal service occupations</v>
      </c>
      <c r="BE25" s="69">
        <v>19.164835627915217</v>
      </c>
      <c r="BF25" s="69">
        <v>20.403507086316274</v>
      </c>
      <c r="BG25" s="69">
        <v>20.351210876576516</v>
      </c>
      <c r="BH25" s="69">
        <v>21.780345752308683</v>
      </c>
      <c r="BI25" s="69">
        <v>24.728389395969675</v>
      </c>
      <c r="BJ25" s="69"/>
      <c r="BK25" s="69">
        <f t="shared" si="41"/>
        <v>4.3771785193931585</v>
      </c>
      <c r="BL25" s="69">
        <f>'RD T1'!E198</f>
        <v>12.807240313971535</v>
      </c>
      <c r="BM25" s="69">
        <f t="shared" si="42"/>
        <v>17.184418833364695</v>
      </c>
      <c r="BO25" t="str">
        <f t="shared" si="43"/>
        <v>61 Caring personal service occupations</v>
      </c>
      <c r="BP25" s="69">
        <v>14.714802190406646</v>
      </c>
      <c r="BQ25" s="69">
        <v>14.000544553229993</v>
      </c>
      <c r="BR25" s="69">
        <v>12.748078186688179</v>
      </c>
      <c r="BS25" s="69">
        <v>12.862503536281389</v>
      </c>
      <c r="BT25" s="69">
        <v>10.682267387990315</v>
      </c>
      <c r="BU25" s="69"/>
      <c r="BV25" s="69">
        <f t="shared" si="44"/>
        <v>-2.0658107986978642</v>
      </c>
      <c r="BW25" s="69">
        <f>'RD T1'!E227</f>
        <v>5.6536903243131711</v>
      </c>
      <c r="BX25" s="69">
        <f t="shared" si="45"/>
        <v>3.5878795256153069</v>
      </c>
      <c r="BZ25" t="str">
        <f t="shared" si="46"/>
        <v>61 Caring personal service occupations</v>
      </c>
      <c r="CA25" s="69">
        <v>4.7453542077020616</v>
      </c>
      <c r="CB25" s="69">
        <v>2.8972628828184752</v>
      </c>
      <c r="CC25" s="69">
        <v>2.407136337654638</v>
      </c>
      <c r="CD25" s="69">
        <v>2.0169653892841146</v>
      </c>
      <c r="CE25" s="69">
        <v>1.7216015616507983</v>
      </c>
      <c r="CF25" s="69"/>
      <c r="CG25" s="69">
        <f t="shared" si="47"/>
        <v>-0.68553477600383972</v>
      </c>
      <c r="CH25" s="69">
        <f>'RD T1'!E256</f>
        <v>0.63435923883021794</v>
      </c>
      <c r="CI25" s="69">
        <f t="shared" si="48"/>
        <v>-5.1175537173621777E-2</v>
      </c>
      <c r="CK25" t="str">
        <f t="shared" si="49"/>
        <v>61 Caring personal service occupations</v>
      </c>
      <c r="CL25" s="69">
        <v>0.63262112701027429</v>
      </c>
      <c r="CM25" s="69">
        <v>0.52443422830513908</v>
      </c>
      <c r="CN25" s="69">
        <v>0.51367741705676273</v>
      </c>
      <c r="CO25" s="69">
        <v>0.6558704931825442</v>
      </c>
      <c r="CP25" s="69">
        <v>0.82510196988384521</v>
      </c>
      <c r="CQ25" s="69"/>
      <c r="CR25" s="69">
        <f t="shared" si="50"/>
        <v>0.31142455282708248</v>
      </c>
      <c r="CS25" s="69">
        <f>'RD T1'!E285</f>
        <v>0.17892903692050333</v>
      </c>
      <c r="CT25" s="69">
        <f t="shared" si="51"/>
        <v>0.49035358974758581</v>
      </c>
    </row>
    <row r="26" spans="1:98" x14ac:dyDescent="0.2">
      <c r="A26" s="10" t="str">
        <f>name!D22</f>
        <v>62 Leisure, travel and related personal service occupations</v>
      </c>
      <c r="B26" s="69">
        <v>2.665509117079997E-2</v>
      </c>
      <c r="C26" s="69">
        <v>3.6780603905892814E-2</v>
      </c>
      <c r="D26" s="69">
        <v>4.038103266861176E-2</v>
      </c>
      <c r="E26" s="69">
        <v>4.9167032798973061E-2</v>
      </c>
      <c r="F26" s="69">
        <v>6.7260734955679857E-2</v>
      </c>
      <c r="G26" s="11"/>
      <c r="H26" s="69">
        <f t="shared" si="26"/>
        <v>2.6879702287068097E-2</v>
      </c>
      <c r="I26" s="69">
        <f>'RD T1'!E54</f>
        <v>3.021138160932034E-2</v>
      </c>
      <c r="J26" s="69">
        <f t="shared" si="27"/>
        <v>5.7091083896388437E-2</v>
      </c>
      <c r="L26" t="str">
        <f t="shared" si="28"/>
        <v>62 Leisure, travel and related personal service occupations</v>
      </c>
      <c r="M26" s="69">
        <v>0.47957196026993276</v>
      </c>
      <c r="N26" s="69">
        <v>0.59871251097302403</v>
      </c>
      <c r="O26" s="69">
        <v>0.5754392294059455</v>
      </c>
      <c r="P26" s="69">
        <v>0.71003213094547701</v>
      </c>
      <c r="Q26" s="69">
        <v>0.94355179509805609</v>
      </c>
      <c r="R26" s="11"/>
      <c r="S26" s="69">
        <f t="shared" si="29"/>
        <v>0.36811256569211059</v>
      </c>
      <c r="T26" s="69">
        <f>'RD T1'!E83</f>
        <v>0.43577124245972626</v>
      </c>
      <c r="U26" s="69">
        <f t="shared" si="30"/>
        <v>0.80388380815183691</v>
      </c>
      <c r="W26" t="str">
        <f t="shared" si="31"/>
        <v>62 Leisure, travel and related personal service occupations</v>
      </c>
      <c r="X26" s="69">
        <v>2.2453349449670723</v>
      </c>
      <c r="Y26" s="69">
        <v>2.7204152395563872</v>
      </c>
      <c r="Z26" s="69">
        <v>2.4832490651077292</v>
      </c>
      <c r="AA26" s="69">
        <v>3.0508132860503832</v>
      </c>
      <c r="AB26" s="69">
        <v>4.1061564023128643</v>
      </c>
      <c r="AC26" s="69"/>
      <c r="AD26" s="69">
        <f t="shared" si="32"/>
        <v>1.622907337205135</v>
      </c>
      <c r="AE26" s="69">
        <f>'RD T1'!E112</f>
        <v>2.0300118349508889</v>
      </c>
      <c r="AF26" s="69">
        <f t="shared" si="33"/>
        <v>3.6529191721560239</v>
      </c>
      <c r="AH26" t="str">
        <f t="shared" si="34"/>
        <v>62 Leisure, travel and related personal service occupations</v>
      </c>
      <c r="AI26" s="69">
        <v>1.3754609308002661</v>
      </c>
      <c r="AJ26" s="69">
        <v>1.6478434790343328</v>
      </c>
      <c r="AK26" s="69">
        <v>1.5233686160290272</v>
      </c>
      <c r="AL26" s="69">
        <v>1.6983604527539182</v>
      </c>
      <c r="AM26" s="69">
        <v>2.2434065453327827</v>
      </c>
      <c r="AN26" s="69"/>
      <c r="AO26" s="69">
        <f t="shared" si="35"/>
        <v>0.72003792930375554</v>
      </c>
      <c r="AP26" s="69">
        <f>'RD T1'!E141</f>
        <v>1.137191693406755</v>
      </c>
      <c r="AQ26" s="69">
        <f t="shared" si="36"/>
        <v>1.8572296227105105</v>
      </c>
      <c r="AS26" t="str">
        <f t="shared" si="37"/>
        <v>62 Leisure, travel and related personal service occupations</v>
      </c>
      <c r="AT26" s="69">
        <v>1.672781955617507</v>
      </c>
      <c r="AU26" s="69">
        <v>2.0677310280091712</v>
      </c>
      <c r="AV26" s="69">
        <v>2.0455246036435639</v>
      </c>
      <c r="AW26" s="69">
        <v>2.3700680366795059</v>
      </c>
      <c r="AX26" s="69">
        <v>3.2980248009307425</v>
      </c>
      <c r="AY26" s="69"/>
      <c r="AZ26" s="69">
        <f t="shared" si="38"/>
        <v>1.2525001972871785</v>
      </c>
      <c r="BA26" s="69">
        <f>'RD T1'!E170</f>
        <v>1.6485874931067623</v>
      </c>
      <c r="BB26" s="69">
        <f t="shared" si="39"/>
        <v>2.9010876903939407</v>
      </c>
      <c r="BD26" t="str">
        <f t="shared" si="40"/>
        <v>62 Leisure, travel and related personal service occupations</v>
      </c>
      <c r="BE26" s="69">
        <v>6.1304417325034715</v>
      </c>
      <c r="BF26" s="69">
        <v>5.6670936527621745</v>
      </c>
      <c r="BG26" s="69">
        <v>5.5866881032814675</v>
      </c>
      <c r="BH26" s="69">
        <v>5.2014731358337052</v>
      </c>
      <c r="BI26" s="69">
        <v>4.6784087971314499</v>
      </c>
      <c r="BJ26" s="69"/>
      <c r="BK26" s="69">
        <f t="shared" si="41"/>
        <v>-0.90827930615001762</v>
      </c>
      <c r="BL26" s="69">
        <f>'RD T1'!E199</f>
        <v>2.361465789413471</v>
      </c>
      <c r="BM26" s="69">
        <f t="shared" si="42"/>
        <v>1.4531864832634533</v>
      </c>
      <c r="BO26" t="str">
        <f t="shared" si="43"/>
        <v>62 Leisure, travel and related personal service occupations</v>
      </c>
      <c r="BP26" s="69">
        <v>5.9071948927788984</v>
      </c>
      <c r="BQ26" s="69">
        <v>5.3637721706781267</v>
      </c>
      <c r="BR26" s="69">
        <v>4.8939233567497027</v>
      </c>
      <c r="BS26" s="69">
        <v>4.4288769134402761</v>
      </c>
      <c r="BT26" s="69">
        <v>3.5688141542089071</v>
      </c>
      <c r="BU26" s="69"/>
      <c r="BV26" s="69">
        <f t="shared" si="44"/>
        <v>-1.3251092025407956</v>
      </c>
      <c r="BW26" s="69">
        <f>'RD T1'!E228</f>
        <v>1.8822497857143528</v>
      </c>
      <c r="BX26" s="69">
        <f t="shared" si="45"/>
        <v>0.55714058317355719</v>
      </c>
      <c r="BZ26" t="str">
        <f t="shared" si="46"/>
        <v>62 Leisure, travel and related personal service occupations</v>
      </c>
      <c r="CA26" s="69">
        <v>3.5974654772613079</v>
      </c>
      <c r="CB26" s="69">
        <v>3.6047028332237669</v>
      </c>
      <c r="CC26" s="69">
        <v>2.9564111977433951</v>
      </c>
      <c r="CD26" s="69">
        <v>2.9605607854976643</v>
      </c>
      <c r="CE26" s="69">
        <v>2.1902944491663203</v>
      </c>
      <c r="CF26" s="69"/>
      <c r="CG26" s="69">
        <f t="shared" si="47"/>
        <v>-0.76611674857707479</v>
      </c>
      <c r="CH26" s="69">
        <f>'RD T1'!E257</f>
        <v>1.1292218015879179</v>
      </c>
      <c r="CI26" s="69">
        <f t="shared" si="48"/>
        <v>0.36310505301084306</v>
      </c>
      <c r="CK26" t="str">
        <f t="shared" si="49"/>
        <v>62 Leisure, travel and related personal service occupations</v>
      </c>
      <c r="CL26" s="69">
        <v>1.0531525180718413</v>
      </c>
      <c r="CM26" s="69">
        <v>1.0575362586314532</v>
      </c>
      <c r="CN26" s="69">
        <v>0.89143123574866379</v>
      </c>
      <c r="CO26" s="69">
        <v>0.78718342646693462</v>
      </c>
      <c r="CP26" s="69">
        <v>0.77562577258497234</v>
      </c>
      <c r="CQ26" s="69"/>
      <c r="CR26" s="69">
        <f t="shared" si="50"/>
        <v>-0.11580546316369145</v>
      </c>
      <c r="CS26" s="69">
        <f>'RD T1'!E286</f>
        <v>0.23247021087497968</v>
      </c>
      <c r="CT26" s="69">
        <f t="shared" si="51"/>
        <v>0.11666474771128824</v>
      </c>
    </row>
    <row r="27" spans="1:98" x14ac:dyDescent="0.2">
      <c r="A27" s="10" t="str">
        <f>name!D23</f>
        <v>63 Community and civil enforcement occupations</v>
      </c>
      <c r="B27" s="69">
        <v>1.9457593955285006E-3</v>
      </c>
      <c r="C27" s="69">
        <v>1.821008257465109E-3</v>
      </c>
      <c r="D27" s="69">
        <v>2.2002080633734353E-3</v>
      </c>
      <c r="E27" s="69">
        <v>2.3034515675108046E-3</v>
      </c>
      <c r="F27" s="69">
        <v>3.2462230058451017E-3</v>
      </c>
      <c r="G27" s="11"/>
      <c r="H27" s="69">
        <f t="shared" si="26"/>
        <v>1.0460149424716663E-3</v>
      </c>
      <c r="I27" s="69">
        <f>'RD T1'!E55</f>
        <v>1.431277301856065E-3</v>
      </c>
      <c r="J27" s="69">
        <f t="shared" si="27"/>
        <v>2.4772922443277315E-3</v>
      </c>
      <c r="L27" t="str">
        <f t="shared" si="28"/>
        <v>63 Community and civil enforcement occupations</v>
      </c>
      <c r="M27" s="69">
        <v>3.6366143346365142E-2</v>
      </c>
      <c r="N27" s="69">
        <v>3.3713083752795601E-2</v>
      </c>
      <c r="O27" s="69">
        <v>4.9855972069987077E-2</v>
      </c>
      <c r="P27" s="69">
        <v>4.4094633633451875E-2</v>
      </c>
      <c r="Q27" s="69">
        <v>6.2418363772746246E-2</v>
      </c>
      <c r="R27" s="11"/>
      <c r="S27" s="69">
        <f t="shared" si="29"/>
        <v>1.2562391702759169E-2</v>
      </c>
      <c r="T27" s="69">
        <f>'RD T1'!E84</f>
        <v>2.7038295381581211E-2</v>
      </c>
      <c r="U27" s="69">
        <f t="shared" si="30"/>
        <v>3.9600687084340377E-2</v>
      </c>
      <c r="W27" t="str">
        <f t="shared" si="31"/>
        <v>63 Community and civil enforcement occupations</v>
      </c>
      <c r="X27" s="69">
        <v>0.16559580365380761</v>
      </c>
      <c r="Y27" s="69">
        <v>0.16700011095165848</v>
      </c>
      <c r="Z27" s="69">
        <v>0.18392313436230034</v>
      </c>
      <c r="AA27" s="69">
        <v>0.19561613978857792</v>
      </c>
      <c r="AB27" s="69">
        <v>0.2360567448746293</v>
      </c>
      <c r="AC27" s="69"/>
      <c r="AD27" s="69">
        <f t="shared" si="32"/>
        <v>5.2133610512328954E-2</v>
      </c>
      <c r="AE27" s="69">
        <f>'RD T1'!E113</f>
        <v>0.13024213954376271</v>
      </c>
      <c r="AF27" s="69">
        <f t="shared" si="33"/>
        <v>0.18237575005609166</v>
      </c>
      <c r="AH27" t="str">
        <f t="shared" si="34"/>
        <v>63 Community and civil enforcement occupations</v>
      </c>
      <c r="AI27" s="69">
        <v>4.5780121916309528E-2</v>
      </c>
      <c r="AJ27" s="69">
        <v>4.2410089104304355E-2</v>
      </c>
      <c r="AK27" s="69">
        <v>5.5111451950136101E-2</v>
      </c>
      <c r="AL27" s="69">
        <v>4.607800045262915E-2</v>
      </c>
      <c r="AM27" s="69">
        <v>5.4192812301206747E-2</v>
      </c>
      <c r="AN27" s="69"/>
      <c r="AO27" s="69">
        <f t="shared" si="35"/>
        <v>-9.1863964892935357E-4</v>
      </c>
      <c r="AP27" s="69">
        <f>'RD T1'!E142</f>
        <v>2.9199365394389248E-2</v>
      </c>
      <c r="AQ27" s="69">
        <f t="shared" si="36"/>
        <v>2.8280725745459895E-2</v>
      </c>
      <c r="AS27" t="str">
        <f t="shared" si="37"/>
        <v>63 Community and civil enforcement occupations</v>
      </c>
      <c r="AT27" s="69">
        <v>4.6292870220059179E-2</v>
      </c>
      <c r="AU27" s="69">
        <v>3.8981218771283875E-2</v>
      </c>
      <c r="AV27" s="69">
        <v>4.9060860904968119E-2</v>
      </c>
      <c r="AW27" s="69">
        <v>3.8609229372296779E-2</v>
      </c>
      <c r="AX27" s="69">
        <v>4.1061276462643632E-2</v>
      </c>
      <c r="AY27" s="69"/>
      <c r="AZ27" s="69">
        <f t="shared" si="38"/>
        <v>-7.9995844423244866E-3</v>
      </c>
      <c r="BA27" s="69">
        <f>'RD T1'!E171</f>
        <v>2.3686187469767622E-2</v>
      </c>
      <c r="BB27" s="69">
        <f t="shared" si="39"/>
        <v>1.5686603027443135E-2</v>
      </c>
      <c r="BD27" t="str">
        <f t="shared" si="40"/>
        <v>63 Community and civil enforcement occupations</v>
      </c>
      <c r="BE27" s="69">
        <v>0.17313220023672798</v>
      </c>
      <c r="BF27" s="69">
        <v>0.10715970273561642</v>
      </c>
      <c r="BG27" s="69">
        <v>0.16256978914140446</v>
      </c>
      <c r="BH27" s="69">
        <v>0.10490561041592707</v>
      </c>
      <c r="BI27" s="69">
        <v>0.10983557532025118</v>
      </c>
      <c r="BJ27" s="69"/>
      <c r="BK27" s="69">
        <f t="shared" si="41"/>
        <v>-5.2734213821153286E-2</v>
      </c>
      <c r="BL27" s="69">
        <f>'RD T1'!E200</f>
        <v>4.1903605542101895E-2</v>
      </c>
      <c r="BM27" s="69">
        <f t="shared" si="42"/>
        <v>-1.0830608279051392E-2</v>
      </c>
      <c r="BO27" t="str">
        <f t="shared" si="43"/>
        <v>63 Community and civil enforcement occupations</v>
      </c>
      <c r="BP27" s="69">
        <v>0.21985335700664677</v>
      </c>
      <c r="BQ27" s="69">
        <v>0.18035723718965885</v>
      </c>
      <c r="BR27" s="69">
        <v>0.21777456976133255</v>
      </c>
      <c r="BS27" s="69">
        <v>0.16111986411652862</v>
      </c>
      <c r="BT27" s="69">
        <v>0.15249466669444173</v>
      </c>
      <c r="BU27" s="69"/>
      <c r="BV27" s="69">
        <f t="shared" si="44"/>
        <v>-6.5279903066890826E-2</v>
      </c>
      <c r="BW27" s="69">
        <f>'RD T1'!E229</f>
        <v>6.7123070842912871E-2</v>
      </c>
      <c r="BX27" s="69">
        <f t="shared" si="45"/>
        <v>1.843167776022045E-3</v>
      </c>
      <c r="BZ27" t="str">
        <f t="shared" si="46"/>
        <v>63 Community and civil enforcement occupations</v>
      </c>
      <c r="CA27" s="69">
        <v>0.18467932657516661</v>
      </c>
      <c r="CB27" s="69">
        <v>0.14278458574223124</v>
      </c>
      <c r="CC27" s="69">
        <v>0.17155465384494037</v>
      </c>
      <c r="CD27" s="69">
        <v>0.1394488385678008</v>
      </c>
      <c r="CE27" s="69">
        <v>0.11754155095005019</v>
      </c>
      <c r="CF27" s="69"/>
      <c r="CG27" s="69">
        <f t="shared" si="47"/>
        <v>-5.4013102894890183E-2</v>
      </c>
      <c r="CH27" s="69">
        <f>'RD T1'!E258</f>
        <v>5.3414210722639424E-2</v>
      </c>
      <c r="CI27" s="69">
        <f t="shared" si="48"/>
        <v>-5.9889217225075897E-4</v>
      </c>
      <c r="CK27" t="str">
        <f t="shared" si="49"/>
        <v>63 Community and civil enforcement occupations</v>
      </c>
      <c r="CL27" s="69">
        <v>4.9602443055441585E-2</v>
      </c>
      <c r="CM27" s="69">
        <v>3.5822422828190759E-2</v>
      </c>
      <c r="CN27" s="69">
        <v>4.8422007359802718E-2</v>
      </c>
      <c r="CO27" s="69">
        <v>2.7943376290890311E-2</v>
      </c>
      <c r="CP27" s="69">
        <v>2.3234477809211174E-2</v>
      </c>
      <c r="CQ27" s="69"/>
      <c r="CR27" s="69">
        <f t="shared" si="50"/>
        <v>-2.5187529550591545E-2</v>
      </c>
      <c r="CS27" s="69">
        <f>'RD T1'!E287</f>
        <v>6.7785999596439491E-3</v>
      </c>
      <c r="CT27" s="69">
        <f t="shared" si="51"/>
        <v>-1.8408929590947594E-2</v>
      </c>
    </row>
    <row r="28" spans="1:98" x14ac:dyDescent="0.2">
      <c r="A28" s="10" t="str">
        <f>name!D24</f>
        <v>71 Sales occupations</v>
      </c>
      <c r="B28" s="69">
        <v>0.14670856323222123</v>
      </c>
      <c r="C28" s="69">
        <v>0.16572547427820286</v>
      </c>
      <c r="D28" s="69">
        <v>0.15345620577016131</v>
      </c>
      <c r="E28" s="69">
        <v>0.16899985502135562</v>
      </c>
      <c r="F28" s="69">
        <v>0.21394821448127363</v>
      </c>
      <c r="G28" s="11"/>
      <c r="H28" s="69">
        <f t="shared" si="26"/>
        <v>6.0492008711112322E-2</v>
      </c>
      <c r="I28" s="69">
        <f>'RD T1'!E56</f>
        <v>8.6720776109429951E-2</v>
      </c>
      <c r="J28" s="69">
        <f t="shared" si="27"/>
        <v>0.14721278482054229</v>
      </c>
      <c r="L28" t="str">
        <f t="shared" si="28"/>
        <v>71 Sales occupations</v>
      </c>
      <c r="M28" s="69">
        <v>1.7711175604370817</v>
      </c>
      <c r="N28" s="69">
        <v>2.0778147018631921</v>
      </c>
      <c r="O28" s="69">
        <v>2.2810445165757165</v>
      </c>
      <c r="P28" s="69">
        <v>2.5796702200514883</v>
      </c>
      <c r="Q28" s="69">
        <v>3.5787006518469529</v>
      </c>
      <c r="R28" s="11"/>
      <c r="S28" s="69">
        <f t="shared" si="29"/>
        <v>1.2976561352712364</v>
      </c>
      <c r="T28" s="69">
        <f>'RD T1'!E85</f>
        <v>1.3892905604378776</v>
      </c>
      <c r="U28" s="69">
        <f t="shared" si="30"/>
        <v>2.6869466957091142</v>
      </c>
      <c r="W28" t="str">
        <f t="shared" si="31"/>
        <v>71 Sales occupations</v>
      </c>
      <c r="X28" s="69">
        <v>7.0133571774473982</v>
      </c>
      <c r="Y28" s="69">
        <v>7.6924558675511614</v>
      </c>
      <c r="Z28" s="69">
        <v>7.9058957803056211</v>
      </c>
      <c r="AA28" s="69">
        <v>8.3538366008412641</v>
      </c>
      <c r="AB28" s="69">
        <v>10.428984190513292</v>
      </c>
      <c r="AC28" s="69"/>
      <c r="AD28" s="69">
        <f t="shared" si="32"/>
        <v>2.5230884102076709</v>
      </c>
      <c r="AE28" s="69">
        <f>'RD T1'!E114</f>
        <v>4.7414715068480442</v>
      </c>
      <c r="AF28" s="69">
        <f t="shared" si="33"/>
        <v>7.2645599170557151</v>
      </c>
      <c r="AH28" t="str">
        <f t="shared" si="34"/>
        <v>71 Sales occupations</v>
      </c>
      <c r="AI28" s="69">
        <v>2.2882300240417557</v>
      </c>
      <c r="AJ28" s="69">
        <v>2.3167036321510919</v>
      </c>
      <c r="AK28" s="69">
        <v>2.4006115624125259</v>
      </c>
      <c r="AL28" s="69">
        <v>2.3859004254141354</v>
      </c>
      <c r="AM28" s="69">
        <v>2.7930490356333952</v>
      </c>
      <c r="AN28" s="69"/>
      <c r="AO28" s="69">
        <f t="shared" si="35"/>
        <v>0.3924374732208693</v>
      </c>
      <c r="AP28" s="69">
        <f>'RD T1'!E143</f>
        <v>1.3189203508756315</v>
      </c>
      <c r="AQ28" s="69">
        <f t="shared" si="36"/>
        <v>1.7113578240965008</v>
      </c>
      <c r="AS28" t="str">
        <f t="shared" si="37"/>
        <v>71 Sales occupations</v>
      </c>
      <c r="AT28" s="69">
        <v>1.9530407623853119</v>
      </c>
      <c r="AU28" s="69">
        <v>1.9463747405700242</v>
      </c>
      <c r="AV28" s="69">
        <v>1.9833382227907921</v>
      </c>
      <c r="AW28" s="69">
        <v>1.9089671581275929</v>
      </c>
      <c r="AX28" s="69">
        <v>2.2217562555734771</v>
      </c>
      <c r="AY28" s="69"/>
      <c r="AZ28" s="69">
        <f t="shared" si="38"/>
        <v>0.23841803278268503</v>
      </c>
      <c r="BA28" s="69">
        <f>'RD T1'!E172</f>
        <v>0.91015280587377301</v>
      </c>
      <c r="BB28" s="69">
        <f t="shared" si="39"/>
        <v>1.1485708386564579</v>
      </c>
      <c r="BD28" t="str">
        <f t="shared" si="40"/>
        <v>71 Sales occupations</v>
      </c>
      <c r="BE28" s="69">
        <v>14.204193786850153</v>
      </c>
      <c r="BF28" s="69">
        <v>13.458062519821784</v>
      </c>
      <c r="BG28" s="69">
        <v>14.768102626129282</v>
      </c>
      <c r="BH28" s="69">
        <v>13.797540278035331</v>
      </c>
      <c r="BI28" s="69">
        <v>14.247204131567317</v>
      </c>
      <c r="BJ28" s="69"/>
      <c r="BK28" s="69">
        <f t="shared" si="41"/>
        <v>-0.52089849456196546</v>
      </c>
      <c r="BL28" s="69">
        <f>'RD T1'!E201</f>
        <v>6.180681360655635</v>
      </c>
      <c r="BM28" s="69">
        <f t="shared" si="42"/>
        <v>5.6597828660936695</v>
      </c>
      <c r="BO28" t="str">
        <f t="shared" si="43"/>
        <v>71 Sales occupations</v>
      </c>
      <c r="BP28" s="69">
        <v>14.209373736928498</v>
      </c>
      <c r="BQ28" s="69">
        <v>12.790443887379718</v>
      </c>
      <c r="BR28" s="69">
        <v>12.233122188849805</v>
      </c>
      <c r="BS28" s="69">
        <v>10.676411402281833</v>
      </c>
      <c r="BT28" s="69">
        <v>8.3500900674028546</v>
      </c>
      <c r="BU28" s="69"/>
      <c r="BV28" s="69">
        <f t="shared" si="44"/>
        <v>-3.8830321214469503</v>
      </c>
      <c r="BW28" s="69">
        <f>'RD T1'!E230</f>
        <v>4.260420719845647</v>
      </c>
      <c r="BX28" s="69">
        <f t="shared" si="45"/>
        <v>0.37738859839869665</v>
      </c>
      <c r="BZ28" t="str">
        <f t="shared" si="46"/>
        <v>71 Sales occupations</v>
      </c>
      <c r="CA28" s="69">
        <v>9.6504247211545078</v>
      </c>
      <c r="CB28" s="69">
        <v>8.9497760403234139</v>
      </c>
      <c r="CC28" s="69">
        <v>7.857573325056463</v>
      </c>
      <c r="CD28" s="69">
        <v>6.4212112935413259</v>
      </c>
      <c r="CE28" s="69">
        <v>2.6299548899485399</v>
      </c>
      <c r="CF28" s="69"/>
      <c r="CG28" s="69">
        <f t="shared" si="47"/>
        <v>-5.2276184351079227</v>
      </c>
      <c r="CH28" s="69">
        <f>'RD T1'!E259</f>
        <v>1.7667722767359713</v>
      </c>
      <c r="CI28" s="69">
        <f t="shared" si="48"/>
        <v>-3.4608461583719512</v>
      </c>
      <c r="CK28" t="str">
        <f t="shared" si="49"/>
        <v>71 Sales occupations</v>
      </c>
      <c r="CL28" s="69">
        <v>3.2415172604135183</v>
      </c>
      <c r="CM28" s="69">
        <v>3.1450491303982515</v>
      </c>
      <c r="CN28" s="69">
        <v>2.8056083282411088</v>
      </c>
      <c r="CO28" s="69">
        <v>2.4528508607572244</v>
      </c>
      <c r="CP28" s="69">
        <v>1.9789774585882265</v>
      </c>
      <c r="CQ28" s="69"/>
      <c r="CR28" s="69">
        <f t="shared" si="50"/>
        <v>-0.82663086965288235</v>
      </c>
      <c r="CS28" s="69">
        <f>'RD T1'!E288</f>
        <v>0.56478201040520171</v>
      </c>
      <c r="CT28" s="69">
        <f t="shared" si="51"/>
        <v>-0.26184885924768064</v>
      </c>
    </row>
    <row r="29" spans="1:98" x14ac:dyDescent="0.2">
      <c r="A29" s="10" t="str">
        <f>name!D25</f>
        <v>72 Customer service occupations</v>
      </c>
      <c r="B29" s="69">
        <v>4.5484557183310674E-2</v>
      </c>
      <c r="C29" s="69">
        <v>5.2497801811984268E-2</v>
      </c>
      <c r="D29" s="69">
        <v>6.0814384444454909E-2</v>
      </c>
      <c r="E29" s="69">
        <v>9.0341763368290709E-2</v>
      </c>
      <c r="F29" s="69">
        <v>0.12503329722075535</v>
      </c>
      <c r="G29" s="11"/>
      <c r="H29" s="69">
        <f>F29-D29</f>
        <v>6.421891277630043E-2</v>
      </c>
      <c r="I29" s="69">
        <f>'RD T1'!E57</f>
        <v>4.5343073592912703E-2</v>
      </c>
      <c r="J29" s="69">
        <f t="shared" si="27"/>
        <v>0.10956198636921313</v>
      </c>
      <c r="L29" t="str">
        <f t="shared" si="28"/>
        <v>72 Customer service occupations</v>
      </c>
      <c r="M29" s="69">
        <v>0.55076927122205588</v>
      </c>
      <c r="N29" s="69">
        <v>0.68882998736349899</v>
      </c>
      <c r="O29" s="69">
        <v>0.72677774398118333</v>
      </c>
      <c r="P29" s="69">
        <v>1.0925620890245062</v>
      </c>
      <c r="Q29" s="69">
        <v>1.5225862280742573</v>
      </c>
      <c r="R29" s="11"/>
      <c r="S29" s="69">
        <f t="shared" si="29"/>
        <v>0.79580848409307392</v>
      </c>
      <c r="T29" s="69">
        <f>'RD T1'!E86</f>
        <v>0.58416540573724907</v>
      </c>
      <c r="U29" s="69">
        <f t="shared" si="30"/>
        <v>1.3799738898303229</v>
      </c>
      <c r="W29" t="str">
        <f t="shared" si="31"/>
        <v>72 Customer service occupations</v>
      </c>
      <c r="X29" s="69">
        <v>2.193686866473874</v>
      </c>
      <c r="Y29" s="69">
        <v>2.4512599992547432</v>
      </c>
      <c r="Z29" s="69">
        <v>2.5225066510332312</v>
      </c>
      <c r="AA29" s="69">
        <v>3.4194228793035761</v>
      </c>
      <c r="AB29" s="69">
        <v>4.4716407442612534</v>
      </c>
      <c r="AC29" s="69"/>
      <c r="AD29" s="69">
        <f t="shared" si="32"/>
        <v>1.9491340932280221</v>
      </c>
      <c r="AE29" s="69">
        <f>'RD T1'!E115</f>
        <v>1.8641660760961736</v>
      </c>
      <c r="AF29" s="69">
        <f t="shared" si="33"/>
        <v>3.8133001693241955</v>
      </c>
      <c r="AH29" t="str">
        <f t="shared" si="34"/>
        <v>72 Customer service occupations</v>
      </c>
      <c r="AI29" s="69">
        <v>0.6585516802508421</v>
      </c>
      <c r="AJ29" s="69">
        <v>0.78419189828792224</v>
      </c>
      <c r="AK29" s="69">
        <v>0.86708676994498235</v>
      </c>
      <c r="AL29" s="69">
        <v>1.1756761757279699</v>
      </c>
      <c r="AM29" s="69">
        <v>1.4888403305991955</v>
      </c>
      <c r="AN29" s="69"/>
      <c r="AO29" s="69">
        <f t="shared" si="35"/>
        <v>0.62175356065421317</v>
      </c>
      <c r="AP29" s="69">
        <f>'RD T1'!E144</f>
        <v>0.68096814691621188</v>
      </c>
      <c r="AQ29" s="69">
        <f t="shared" si="36"/>
        <v>1.3027217075704249</v>
      </c>
      <c r="AS29" t="str">
        <f t="shared" si="37"/>
        <v>72 Customer service occupations</v>
      </c>
      <c r="AT29" s="69">
        <v>0.82247223713582307</v>
      </c>
      <c r="AU29" s="69">
        <v>0.90995846024082838</v>
      </c>
      <c r="AV29" s="69">
        <v>0.93518390347799407</v>
      </c>
      <c r="AW29" s="69">
        <v>1.1921907325759862</v>
      </c>
      <c r="AX29" s="69">
        <v>1.3958161885978855</v>
      </c>
      <c r="AY29" s="69"/>
      <c r="AZ29" s="69">
        <f t="shared" si="38"/>
        <v>0.4606322851198914</v>
      </c>
      <c r="BA29" s="69">
        <f>'RD T1'!E173</f>
        <v>0.61813655088071884</v>
      </c>
      <c r="BB29" s="69">
        <f t="shared" si="39"/>
        <v>1.0787688360006102</v>
      </c>
      <c r="BD29" t="str">
        <f t="shared" si="40"/>
        <v>72 Customer service occupations</v>
      </c>
      <c r="BE29" s="69">
        <v>3.2659731508038297</v>
      </c>
      <c r="BF29" s="69">
        <v>3.1099242276727779</v>
      </c>
      <c r="BG29" s="69">
        <v>3.3423314800888311</v>
      </c>
      <c r="BH29" s="69">
        <v>3.958590341764844</v>
      </c>
      <c r="BI29" s="69">
        <v>4.3290219116451274</v>
      </c>
      <c r="BJ29" s="69"/>
      <c r="BK29" s="69">
        <f t="shared" si="41"/>
        <v>0.98669043155629632</v>
      </c>
      <c r="BL29" s="69">
        <f>'RD T1'!E202</f>
        <v>1.8113046824847296</v>
      </c>
      <c r="BM29" s="69">
        <f t="shared" si="42"/>
        <v>2.7979951140410257</v>
      </c>
      <c r="BO29" t="str">
        <f t="shared" si="43"/>
        <v>72 Customer service occupations</v>
      </c>
      <c r="BP29" s="69">
        <v>3.4402953830292904</v>
      </c>
      <c r="BQ29" s="69">
        <v>3.3528569853170991</v>
      </c>
      <c r="BR29" s="69">
        <v>3.2812267602141043</v>
      </c>
      <c r="BS29" s="69">
        <v>4.0049873526908097</v>
      </c>
      <c r="BT29" s="69">
        <v>3.8037249981451855</v>
      </c>
      <c r="BU29" s="69"/>
      <c r="BV29" s="69">
        <f t="shared" si="44"/>
        <v>0.52249823793108119</v>
      </c>
      <c r="BW29" s="69">
        <f>'RD T1'!E231</f>
        <v>1.7463052551454159</v>
      </c>
      <c r="BX29" s="69">
        <f t="shared" si="45"/>
        <v>2.2688034930764971</v>
      </c>
      <c r="BZ29" t="str">
        <f t="shared" si="46"/>
        <v>72 Customer service occupations</v>
      </c>
      <c r="CA29" s="69">
        <v>1.7752670429598498</v>
      </c>
      <c r="CB29" s="69">
        <v>1.6126907424278361</v>
      </c>
      <c r="CC29" s="69">
        <v>1.4712261426311697</v>
      </c>
      <c r="CD29" s="69">
        <v>1.6803531768603608</v>
      </c>
      <c r="CE29" s="69">
        <v>1.4709673957701319</v>
      </c>
      <c r="CF29" s="69"/>
      <c r="CG29" s="69">
        <f t="shared" si="47"/>
        <v>-2.58746861037773E-4</v>
      </c>
      <c r="CH29" s="69">
        <f>'RD T1'!E260</f>
        <v>0.5253528825986663</v>
      </c>
      <c r="CI29" s="69">
        <f t="shared" si="48"/>
        <v>0.52509413573762853</v>
      </c>
      <c r="CK29" t="str">
        <f t="shared" si="49"/>
        <v>72 Customer service occupations</v>
      </c>
      <c r="CL29" s="69">
        <v>0.41964877163333819</v>
      </c>
      <c r="CM29" s="69">
        <v>0.56005638591410756</v>
      </c>
      <c r="CN29" s="69">
        <v>0.55873870156015115</v>
      </c>
      <c r="CO29" s="69">
        <v>0.93463842117667506</v>
      </c>
      <c r="CP29" s="69">
        <v>1.2657296022254649</v>
      </c>
      <c r="CQ29" s="69"/>
      <c r="CR29" s="69">
        <f t="shared" si="50"/>
        <v>0.70699090066531378</v>
      </c>
      <c r="CS29" s="69">
        <f>'RD T1'!E289</f>
        <v>0.28752217504441152</v>
      </c>
      <c r="CT29" s="69">
        <f t="shared" si="51"/>
        <v>0.99451307570972536</v>
      </c>
    </row>
    <row r="30" spans="1:98" x14ac:dyDescent="0.2">
      <c r="A30" s="10" t="str">
        <f>name!D26</f>
        <v>81 Process, plant and machine operatives</v>
      </c>
      <c r="B30" s="69">
        <v>2.8652496084933112E-2</v>
      </c>
      <c r="C30" s="69">
        <v>3.6718696181298152E-2</v>
      </c>
      <c r="D30" s="69">
        <v>3.469912506872741E-2</v>
      </c>
      <c r="E30" s="69">
        <v>5.051833760687556E-2</v>
      </c>
      <c r="F30" s="69">
        <v>7.9507732146035376E-2</v>
      </c>
      <c r="G30" s="11"/>
      <c r="H30" s="69">
        <f t="shared" si="26"/>
        <v>4.4808607077307966E-2</v>
      </c>
      <c r="I30" s="69">
        <f>'RD T1'!E58</f>
        <v>2.9503188710857813E-2</v>
      </c>
      <c r="J30" s="69">
        <f t="shared" si="27"/>
        <v>7.4311795788165783E-2</v>
      </c>
      <c r="L30" t="str">
        <f t="shared" si="28"/>
        <v>81 Process, plant and machine operatives</v>
      </c>
      <c r="M30" s="69">
        <v>0.16568254357704676</v>
      </c>
      <c r="N30" s="69">
        <v>0.20634262634874481</v>
      </c>
      <c r="O30" s="69">
        <v>0.20691050615883391</v>
      </c>
      <c r="P30" s="69">
        <v>0.31655131260537495</v>
      </c>
      <c r="Q30" s="69">
        <v>0.5066656449217638</v>
      </c>
      <c r="R30" s="11"/>
      <c r="S30" s="69">
        <f t="shared" si="29"/>
        <v>0.29975513876292992</v>
      </c>
      <c r="T30" s="69">
        <f>'RD T1'!E87</f>
        <v>0.17045905279435897</v>
      </c>
      <c r="U30" s="69">
        <f t="shared" si="30"/>
        <v>0.47021419155728889</v>
      </c>
      <c r="W30" t="str">
        <f t="shared" si="31"/>
        <v>81 Process, plant and machine operatives</v>
      </c>
      <c r="X30" s="69">
        <v>0.517046342680471</v>
      </c>
      <c r="Y30" s="69">
        <v>0.53474214016017396</v>
      </c>
      <c r="Z30" s="69">
        <v>0.49670646935126583</v>
      </c>
      <c r="AA30" s="69">
        <v>0.76041136442887758</v>
      </c>
      <c r="AB30" s="69">
        <v>1.1619073904274293</v>
      </c>
      <c r="AC30" s="69"/>
      <c r="AD30" s="69">
        <f t="shared" si="32"/>
        <v>0.66520092107616346</v>
      </c>
      <c r="AE30" s="69">
        <f>'RD T1'!E116</f>
        <v>0.41788258779044196</v>
      </c>
      <c r="AF30" s="69">
        <f t="shared" si="33"/>
        <v>1.0830835088666055</v>
      </c>
      <c r="AH30" t="str">
        <f t="shared" si="34"/>
        <v>81 Process, plant and machine operatives</v>
      </c>
      <c r="AI30" s="69">
        <v>0.22767436610367636</v>
      </c>
      <c r="AJ30" s="69">
        <v>0.25465737455682086</v>
      </c>
      <c r="AK30" s="69">
        <v>0.24248516497749548</v>
      </c>
      <c r="AL30" s="69">
        <v>0.36338506429573314</v>
      </c>
      <c r="AM30" s="69">
        <v>0.56746077622533142</v>
      </c>
      <c r="AN30" s="69"/>
      <c r="AO30" s="69">
        <f t="shared" si="35"/>
        <v>0.32497561124783592</v>
      </c>
      <c r="AP30" s="69">
        <f>'RD T1'!E145</f>
        <v>0.20254759397992489</v>
      </c>
      <c r="AQ30" s="69">
        <f t="shared" si="36"/>
        <v>0.52752320522776075</v>
      </c>
      <c r="AS30" t="str">
        <f t="shared" si="37"/>
        <v>81 Process, plant and machine operatives</v>
      </c>
      <c r="AT30" s="69">
        <v>0.51365649086440157</v>
      </c>
      <c r="AU30" s="69">
        <v>0.56399180544007721</v>
      </c>
      <c r="AV30" s="69">
        <v>0.52391734874115647</v>
      </c>
      <c r="AW30" s="69">
        <v>0.73301854941304068</v>
      </c>
      <c r="AX30" s="69">
        <v>0.97528518279847753</v>
      </c>
      <c r="AY30" s="69"/>
      <c r="AZ30" s="69">
        <f t="shared" si="38"/>
        <v>0.45136783405732106</v>
      </c>
      <c r="BA30" s="69">
        <f>'RD T1'!E174</f>
        <v>0.37950232311861376</v>
      </c>
      <c r="BB30" s="69">
        <f t="shared" si="39"/>
        <v>0.83087015717593482</v>
      </c>
      <c r="BD30" t="str">
        <f t="shared" si="40"/>
        <v>81 Process, plant and machine operatives</v>
      </c>
      <c r="BE30" s="69">
        <v>3.0074514355690498</v>
      </c>
      <c r="BF30" s="69">
        <v>2.9606309157120063</v>
      </c>
      <c r="BG30" s="69">
        <v>2.8388952176527149</v>
      </c>
      <c r="BH30" s="69">
        <v>3.6861977503777092</v>
      </c>
      <c r="BI30" s="69">
        <v>4.2911956859379883</v>
      </c>
      <c r="BJ30" s="69"/>
      <c r="BK30" s="69">
        <f t="shared" si="41"/>
        <v>1.4523004682852734</v>
      </c>
      <c r="BL30" s="69">
        <f>'RD T1'!E203</f>
        <v>1.3888353174344175</v>
      </c>
      <c r="BM30" s="69">
        <f t="shared" si="42"/>
        <v>2.8411357857196906</v>
      </c>
      <c r="BO30" t="str">
        <f t="shared" si="43"/>
        <v>81 Process, plant and machine operatives</v>
      </c>
      <c r="BP30" s="69">
        <v>3.6867345548409767</v>
      </c>
      <c r="BQ30" s="69">
        <v>4.0422145837031236</v>
      </c>
      <c r="BR30" s="69">
        <v>3.3183314899823269</v>
      </c>
      <c r="BS30" s="69">
        <v>4.312564367722989</v>
      </c>
      <c r="BT30" s="69">
        <v>4.3112472318143018</v>
      </c>
      <c r="BU30" s="69"/>
      <c r="BV30" s="69">
        <f t="shared" si="44"/>
        <v>0.99291574183197495</v>
      </c>
      <c r="BW30" s="69">
        <f>'RD T1'!E232</f>
        <v>1.6023746476659226</v>
      </c>
      <c r="BX30" s="69">
        <f t="shared" si="45"/>
        <v>2.5952903894978974</v>
      </c>
      <c r="BZ30" t="str">
        <f t="shared" si="46"/>
        <v>81 Process, plant and machine operatives</v>
      </c>
      <c r="CA30" s="69">
        <v>3.3295775002355024</v>
      </c>
      <c r="CB30" s="69">
        <v>2.8332674057465064</v>
      </c>
      <c r="CC30" s="69">
        <v>2.4259543189187633</v>
      </c>
      <c r="CD30" s="69">
        <v>2.6488403210999216</v>
      </c>
      <c r="CE30" s="69">
        <v>1.1494068632656671</v>
      </c>
      <c r="CF30" s="69"/>
      <c r="CG30" s="69">
        <f t="shared" si="47"/>
        <v>-1.2765474556530962</v>
      </c>
      <c r="CH30" s="69">
        <f>'RD T1'!E261</f>
        <v>0.69820664370156449</v>
      </c>
      <c r="CI30" s="69">
        <f t="shared" si="48"/>
        <v>-0.57834081195153175</v>
      </c>
      <c r="CK30" t="str">
        <f t="shared" si="49"/>
        <v>81 Process, plant and machine operatives</v>
      </c>
      <c r="CL30" s="69">
        <v>1.2674868208610497</v>
      </c>
      <c r="CM30" s="69">
        <v>1.0645003160008395</v>
      </c>
      <c r="CN30" s="69">
        <v>0.85173139370140061</v>
      </c>
      <c r="CO30" s="69">
        <v>0.57678251811024661</v>
      </c>
      <c r="CP30" s="69">
        <v>0.37608404711617982</v>
      </c>
      <c r="CQ30" s="69"/>
      <c r="CR30" s="69">
        <f t="shared" si="50"/>
        <v>-0.47564734658522079</v>
      </c>
      <c r="CS30" s="69">
        <f>'RD T1'!E290</f>
        <v>0.12312789061786955</v>
      </c>
      <c r="CT30" s="69">
        <f t="shared" si="51"/>
        <v>-0.35251945596735124</v>
      </c>
    </row>
    <row r="31" spans="1:98" x14ac:dyDescent="0.2">
      <c r="A31" s="10" t="str">
        <f>name!D27</f>
        <v>82 Transport and mobile machine drivers and operatives</v>
      </c>
      <c r="B31" s="69">
        <v>5.5138850661983665E-2</v>
      </c>
      <c r="C31" s="69">
        <v>7.457268542162368E-2</v>
      </c>
      <c r="D31" s="69">
        <v>6.9733200551285249E-2</v>
      </c>
      <c r="E31" s="69">
        <v>9.6158714450792895E-2</v>
      </c>
      <c r="F31" s="69">
        <v>0.13406870396638709</v>
      </c>
      <c r="G31" s="11"/>
      <c r="H31" s="69">
        <f t="shared" si="26"/>
        <v>6.4335503415101844E-2</v>
      </c>
      <c r="I31" s="69">
        <f>'RD T1'!E59</f>
        <v>6.9362767484764762E-2</v>
      </c>
      <c r="J31" s="69">
        <f t="shared" si="27"/>
        <v>0.13369827089986661</v>
      </c>
      <c r="L31" t="str">
        <f t="shared" si="28"/>
        <v>82 Transport and mobile machine drivers and operatives</v>
      </c>
      <c r="M31" s="69">
        <v>0.45392424885351568</v>
      </c>
      <c r="N31" s="69">
        <v>0.62522262733533751</v>
      </c>
      <c r="O31" s="69">
        <v>0.61167539261485904</v>
      </c>
      <c r="P31" s="69">
        <v>0.75846750322890577</v>
      </c>
      <c r="Q31" s="69">
        <v>1.0590185582706746</v>
      </c>
      <c r="R31" s="11"/>
      <c r="S31" s="69">
        <f t="shared" si="29"/>
        <v>0.44734316565581556</v>
      </c>
      <c r="T31" s="69">
        <f>'RD T1'!E88</f>
        <v>0.5390002873823917</v>
      </c>
      <c r="U31" s="69">
        <f t="shared" si="30"/>
        <v>0.98634345303820725</v>
      </c>
      <c r="W31" t="str">
        <f t="shared" si="31"/>
        <v>82 Transport and mobile machine drivers and operatives</v>
      </c>
      <c r="X31" s="69">
        <v>1.2668533517907208</v>
      </c>
      <c r="Y31" s="69">
        <v>1.6342699867059416</v>
      </c>
      <c r="Z31" s="69">
        <v>1.4449960045720462</v>
      </c>
      <c r="AA31" s="69">
        <v>1.6508799904914095</v>
      </c>
      <c r="AB31" s="69">
        <v>2.1837790555368182</v>
      </c>
      <c r="AC31" s="69"/>
      <c r="AD31" s="69">
        <f t="shared" si="32"/>
        <v>0.73878305096477193</v>
      </c>
      <c r="AE31" s="69">
        <f>'RD T1'!E117</f>
        <v>1.2031526408774689</v>
      </c>
      <c r="AF31" s="69">
        <f t="shared" si="33"/>
        <v>1.9419356918422408</v>
      </c>
      <c r="AH31" t="str">
        <f t="shared" si="34"/>
        <v>82 Transport and mobile machine drivers and operatives</v>
      </c>
      <c r="AI31" s="69">
        <v>0.56027577568162867</v>
      </c>
      <c r="AJ31" s="69">
        <v>0.72570697810092166</v>
      </c>
      <c r="AK31" s="69">
        <v>0.64035559659464836</v>
      </c>
      <c r="AL31" s="69">
        <v>0.75165025790339546</v>
      </c>
      <c r="AM31" s="69">
        <v>0.93147270400887205</v>
      </c>
      <c r="AN31" s="69"/>
      <c r="AO31" s="69">
        <f t="shared" si="35"/>
        <v>0.2911171074142237</v>
      </c>
      <c r="AP31" s="69">
        <f>'RD T1'!E146</f>
        <v>0.53768188687068419</v>
      </c>
      <c r="AQ31" s="69">
        <f t="shared" si="36"/>
        <v>0.82879899428490789</v>
      </c>
      <c r="AS31" t="str">
        <f t="shared" si="37"/>
        <v>82 Transport and mobile machine drivers and operatives</v>
      </c>
      <c r="AT31" s="69">
        <v>0.94897557579371694</v>
      </c>
      <c r="AU31" s="69">
        <v>1.1839746085781844</v>
      </c>
      <c r="AV31" s="69">
        <v>1.1112599341182383</v>
      </c>
      <c r="AW31" s="69">
        <v>1.2558835900110774</v>
      </c>
      <c r="AX31" s="69">
        <v>1.5000182574199825</v>
      </c>
      <c r="AY31" s="69"/>
      <c r="AZ31" s="69">
        <f t="shared" si="38"/>
        <v>0.3887583233017442</v>
      </c>
      <c r="BA31" s="69">
        <f>'RD T1'!E175</f>
        <v>0.89940767400797461</v>
      </c>
      <c r="BB31" s="69">
        <f t="shared" si="39"/>
        <v>1.2881659973097188</v>
      </c>
      <c r="BD31" t="str">
        <f t="shared" si="40"/>
        <v>82 Transport and mobile machine drivers and operatives</v>
      </c>
      <c r="BE31" s="69">
        <v>5.0812363304905936</v>
      </c>
      <c r="BF31" s="69">
        <v>5.334430916525422</v>
      </c>
      <c r="BG31" s="69">
        <v>5.0143649729302604</v>
      </c>
      <c r="BH31" s="69">
        <v>5.5573309796505042</v>
      </c>
      <c r="BI31" s="69">
        <v>6.2618339476214304</v>
      </c>
      <c r="BJ31" s="69"/>
      <c r="BK31" s="69">
        <f t="shared" si="41"/>
        <v>1.24746897469117</v>
      </c>
      <c r="BL31" s="69">
        <f>'RD T1'!E204</f>
        <v>2.9171641566511783</v>
      </c>
      <c r="BM31" s="69">
        <f t="shared" si="42"/>
        <v>4.1646331313423488</v>
      </c>
      <c r="BO31" t="str">
        <f t="shared" si="43"/>
        <v>82 Transport and mobile machine drivers and operatives</v>
      </c>
      <c r="BP31" s="69">
        <v>7.0728968550197466</v>
      </c>
      <c r="BQ31" s="69">
        <v>8.2561703458421665</v>
      </c>
      <c r="BR31" s="69">
        <v>6.4363151284276849</v>
      </c>
      <c r="BS31" s="69">
        <v>6.9921491196391372</v>
      </c>
      <c r="BT31" s="69">
        <v>6.7807256374746609</v>
      </c>
      <c r="BU31" s="69"/>
      <c r="BV31" s="69">
        <f t="shared" si="44"/>
        <v>0.34441050904697601</v>
      </c>
      <c r="BW31" s="69">
        <f>'RD T1'!E233</f>
        <v>3.6715875730513901</v>
      </c>
      <c r="BX31" s="69">
        <f t="shared" si="45"/>
        <v>4.0159980820983661</v>
      </c>
      <c r="BZ31" t="str">
        <f t="shared" si="46"/>
        <v>82 Transport and mobile machine drivers and operatives</v>
      </c>
      <c r="CA31" s="69">
        <v>7.1996220133475806</v>
      </c>
      <c r="CB31" s="69">
        <v>6.4750082815402141</v>
      </c>
      <c r="CC31" s="69">
        <v>5.0261098919715721</v>
      </c>
      <c r="CD31" s="69">
        <v>4.9686375606470659</v>
      </c>
      <c r="CE31" s="69">
        <v>3.7840769340056388</v>
      </c>
      <c r="CF31" s="69"/>
      <c r="CG31" s="69">
        <f t="shared" si="47"/>
        <v>-1.2420329579659333</v>
      </c>
      <c r="CH31" s="69">
        <f>'RD T1'!E262</f>
        <v>2.0652595692285765</v>
      </c>
      <c r="CI31" s="69">
        <f t="shared" si="48"/>
        <v>0.82322661126264318</v>
      </c>
      <c r="CK31" t="str">
        <f t="shared" si="49"/>
        <v>82 Transport and mobile machine drivers and operatives</v>
      </c>
      <c r="CL31" s="69">
        <v>2.4807980769199149</v>
      </c>
      <c r="CM31" s="69">
        <v>2.9351213164833259</v>
      </c>
      <c r="CN31" s="69">
        <v>2.3488940082025906</v>
      </c>
      <c r="CO31" s="69">
        <v>2.5281835185744823</v>
      </c>
      <c r="CP31" s="69">
        <v>1.9949899040798873</v>
      </c>
      <c r="CQ31" s="69"/>
      <c r="CR31" s="69">
        <f t="shared" si="50"/>
        <v>-0.35390410412270334</v>
      </c>
      <c r="CS31" s="69">
        <f>'RD T1'!E291</f>
        <v>0.87570354749875456</v>
      </c>
      <c r="CT31" s="69">
        <f t="shared" si="51"/>
        <v>0.52179944337605122</v>
      </c>
    </row>
    <row r="32" spans="1:98" x14ac:dyDescent="0.2">
      <c r="A32" s="10" t="str">
        <f>name!D28</f>
        <v>91 Elementary trades and related occupations</v>
      </c>
      <c r="B32" s="69">
        <v>8.7919037190540173E-4</v>
      </c>
      <c r="C32" s="69">
        <v>6.8374080451315982E-4</v>
      </c>
      <c r="D32" s="69">
        <v>6.9350926456514933E-4</v>
      </c>
      <c r="E32" s="69">
        <v>6.2499631548302561E-4</v>
      </c>
      <c r="F32" s="69">
        <v>7.2349074028306112E-4</v>
      </c>
      <c r="G32" s="11"/>
      <c r="H32" s="69">
        <f t="shared" si="26"/>
        <v>2.9981475717911783E-5</v>
      </c>
      <c r="I32" s="69">
        <f>'RD T1'!E60</f>
        <v>3.9491722155252275E-4</v>
      </c>
      <c r="J32" s="69">
        <f t="shared" si="27"/>
        <v>4.2489869727043453E-4</v>
      </c>
      <c r="L32" t="str">
        <f t="shared" si="28"/>
        <v>91 Elementary trades and related occupations</v>
      </c>
      <c r="M32" s="69">
        <v>0.10699624115018877</v>
      </c>
      <c r="N32" s="69">
        <v>0.13113605301956033</v>
      </c>
      <c r="O32" s="69">
        <v>0.12279038930677916</v>
      </c>
      <c r="P32" s="69">
        <v>0.12669341182482485</v>
      </c>
      <c r="Q32" s="69">
        <v>0.1788237610841332</v>
      </c>
      <c r="R32" s="11"/>
      <c r="S32" s="69">
        <f t="shared" si="29"/>
        <v>5.6033371777354041E-2</v>
      </c>
      <c r="T32" s="69">
        <f>'RD T1'!E89</f>
        <v>6.8308299031170611E-2</v>
      </c>
      <c r="U32" s="69">
        <f t="shared" si="30"/>
        <v>0.12434167080852465</v>
      </c>
      <c r="W32" t="str">
        <f t="shared" si="31"/>
        <v>91 Elementary trades and related occupations</v>
      </c>
      <c r="X32" s="69">
        <v>0.46696368468945609</v>
      </c>
      <c r="Y32" s="69">
        <v>0.48080331947686883</v>
      </c>
      <c r="Z32" s="69">
        <v>0.42196263957337476</v>
      </c>
      <c r="AA32" s="69">
        <v>0.36624377410813197</v>
      </c>
      <c r="AB32" s="69">
        <v>0.40498775239989626</v>
      </c>
      <c r="AC32" s="69"/>
      <c r="AD32" s="69">
        <f t="shared" si="32"/>
        <v>-1.6974887173478503E-2</v>
      </c>
      <c r="AE32" s="69">
        <f>'RD T1'!E118</f>
        <v>0.21339815539292237</v>
      </c>
      <c r="AF32" s="69">
        <f t="shared" si="33"/>
        <v>0.19642326821944386</v>
      </c>
      <c r="AH32" t="str">
        <f t="shared" si="34"/>
        <v>91 Elementary trades and related occupations</v>
      </c>
      <c r="AI32" s="69">
        <v>0.33856166507337698</v>
      </c>
      <c r="AJ32" s="69">
        <v>0.36721198504165509</v>
      </c>
      <c r="AK32" s="69">
        <v>0.30878825723105946</v>
      </c>
      <c r="AL32" s="69">
        <v>0.30012977100597571</v>
      </c>
      <c r="AM32" s="69">
        <v>0.39651997225329183</v>
      </c>
      <c r="AN32" s="69"/>
      <c r="AO32" s="69">
        <f t="shared" si="35"/>
        <v>8.7731715022232371E-2</v>
      </c>
      <c r="AP32" s="69">
        <f>'RD T1'!E147</f>
        <v>0.17541513961797647</v>
      </c>
      <c r="AQ32" s="69">
        <f t="shared" si="36"/>
        <v>0.26314685464020882</v>
      </c>
      <c r="AS32" t="str">
        <f t="shared" si="37"/>
        <v>91 Elementary trades and related occupations</v>
      </c>
      <c r="AT32" s="69">
        <v>0.37701688537021094</v>
      </c>
      <c r="AU32" s="69">
        <v>0.36774423944359635</v>
      </c>
      <c r="AV32" s="69">
        <v>0.372857159422462</v>
      </c>
      <c r="AW32" s="69">
        <v>0.32700659540115457</v>
      </c>
      <c r="AX32" s="69">
        <v>0.36334387071475294</v>
      </c>
      <c r="AY32" s="69"/>
      <c r="AZ32" s="69">
        <f t="shared" si="38"/>
        <v>-9.5132887077090666E-3</v>
      </c>
      <c r="BA32" s="69">
        <f>'RD T1'!E176</f>
        <v>0.16814621608210339</v>
      </c>
      <c r="BB32" s="69">
        <f t="shared" si="39"/>
        <v>0.15863292737439433</v>
      </c>
      <c r="BD32" t="str">
        <f t="shared" si="40"/>
        <v>91 Elementary trades and related occupations</v>
      </c>
      <c r="BE32" s="69">
        <v>1.9186141428671422</v>
      </c>
      <c r="BF32" s="69">
        <v>1.6078233643044257</v>
      </c>
      <c r="BG32" s="69">
        <v>1.5856547970581338</v>
      </c>
      <c r="BH32" s="69">
        <v>1.4965010748626906</v>
      </c>
      <c r="BI32" s="69">
        <v>1.7441197979197978</v>
      </c>
      <c r="BJ32" s="69"/>
      <c r="BK32" s="69">
        <f t="shared" si="41"/>
        <v>0.15846500086166393</v>
      </c>
      <c r="BL32" s="69">
        <f>'RD T1'!E205</f>
        <v>0.54150795322613876</v>
      </c>
      <c r="BM32" s="69">
        <f t="shared" si="42"/>
        <v>0.69997295408780269</v>
      </c>
      <c r="BO32" t="str">
        <f t="shared" si="43"/>
        <v>91 Elementary trades and related occupations</v>
      </c>
      <c r="BP32" s="69">
        <v>2.8947204812749865</v>
      </c>
      <c r="BQ32" s="69">
        <v>2.7086648296314269</v>
      </c>
      <c r="BR32" s="69">
        <v>2.3067964892513566</v>
      </c>
      <c r="BS32" s="69">
        <v>1.9462605628070473</v>
      </c>
      <c r="BT32" s="69">
        <v>1.8379631466287094</v>
      </c>
      <c r="BU32" s="69"/>
      <c r="BV32" s="69">
        <f t="shared" si="44"/>
        <v>-0.4688333426226472</v>
      </c>
      <c r="BW32" s="69">
        <f>'RD T1'!E234</f>
        <v>0.6919543868840865</v>
      </c>
      <c r="BX32" s="69">
        <f t="shared" si="45"/>
        <v>0.22312104426143931</v>
      </c>
      <c r="BZ32" t="str">
        <f t="shared" si="46"/>
        <v>91 Elementary trades and related occupations</v>
      </c>
      <c r="CA32" s="69">
        <v>3.6646473513011242</v>
      </c>
      <c r="CB32" s="69">
        <v>2.8766507674255717</v>
      </c>
      <c r="CC32" s="69">
        <v>2.4623743763723929</v>
      </c>
      <c r="CD32" s="69">
        <v>1.9770936264953716</v>
      </c>
      <c r="CE32" s="69">
        <v>1.4662305870726307</v>
      </c>
      <c r="CF32" s="69"/>
      <c r="CG32" s="69">
        <f t="shared" si="47"/>
        <v>-0.99614378929976222</v>
      </c>
      <c r="CH32" s="69">
        <f>'RD T1'!E263</f>
        <v>0.63685324660203979</v>
      </c>
      <c r="CI32" s="69">
        <f t="shared" si="48"/>
        <v>-0.35929054269772243</v>
      </c>
      <c r="CK32" t="str">
        <f t="shared" si="49"/>
        <v>91 Elementary trades and related occupations</v>
      </c>
      <c r="CL32" s="69">
        <v>1.4423821154636736</v>
      </c>
      <c r="CM32" s="69">
        <v>1.2472064987571889</v>
      </c>
      <c r="CN32" s="69">
        <v>1.1362907027826816</v>
      </c>
      <c r="CO32" s="69">
        <v>0.87088780227618401</v>
      </c>
      <c r="CP32" s="69">
        <v>0.66716097076796999</v>
      </c>
      <c r="CQ32" s="69"/>
      <c r="CR32" s="69">
        <f t="shared" si="50"/>
        <v>-0.46912973201471164</v>
      </c>
      <c r="CS32" s="69">
        <f>'RD T1'!E292</f>
        <v>0.23563310312588123</v>
      </c>
      <c r="CT32" s="69">
        <f t="shared" si="51"/>
        <v>-0.23349662888883041</v>
      </c>
    </row>
    <row r="33" spans="1:98" x14ac:dyDescent="0.2">
      <c r="A33" s="10" t="str">
        <f>name!D29</f>
        <v>92 Elementary administration and service occupations</v>
      </c>
      <c r="B33" s="69">
        <v>5.2501358488558032E-2</v>
      </c>
      <c r="C33" s="69">
        <v>6.2149363443534493E-2</v>
      </c>
      <c r="D33" s="69">
        <v>6.6764425269880467E-2</v>
      </c>
      <c r="E33" s="69">
        <v>8.1450176904173777E-2</v>
      </c>
      <c r="F33" s="69">
        <v>0.10486587607611009</v>
      </c>
      <c r="G33" s="11"/>
      <c r="H33" s="69">
        <f t="shared" ref="H33" si="52">F33-D33</f>
        <v>3.810145080622962E-2</v>
      </c>
      <c r="I33" s="69">
        <f>'RD T1'!E61</f>
        <v>4.9975286941275995E-2</v>
      </c>
      <c r="J33" s="69">
        <f t="shared" ref="J33" si="53">SUM(H33:I33)</f>
        <v>8.8076737747505615E-2</v>
      </c>
      <c r="L33" t="str">
        <f t="shared" ref="L33" si="54">A33</f>
        <v>92 Elementary administration and service occupations</v>
      </c>
      <c r="M33" s="69">
        <v>1.5739017966559845</v>
      </c>
      <c r="N33" s="69">
        <v>2.0549288971987756</v>
      </c>
      <c r="O33" s="69">
        <v>2.2148429006617509</v>
      </c>
      <c r="P33" s="69">
        <v>2.8788415082645962</v>
      </c>
      <c r="Q33" s="69">
        <v>4.1876785316611924</v>
      </c>
      <c r="R33" s="11"/>
      <c r="S33" s="69">
        <f t="shared" ref="S33" si="55">Q33-O33</f>
        <v>1.9728356309994415</v>
      </c>
      <c r="T33" s="69">
        <f>'RD T1'!E90</f>
        <v>1.8435606538897189</v>
      </c>
      <c r="U33" s="69">
        <f t="shared" ref="U33" si="56">SUM(S33:T33)</f>
        <v>3.8163962848891604</v>
      </c>
      <c r="W33" t="str">
        <f t="shared" ref="W33" si="57">A33</f>
        <v>92 Elementary administration and service occupations</v>
      </c>
      <c r="X33" s="69">
        <v>5.9899618269805641</v>
      </c>
      <c r="Y33" s="69">
        <v>7.1544237967071886</v>
      </c>
      <c r="Z33" s="69">
        <v>6.9872324699569281</v>
      </c>
      <c r="AA33" s="69">
        <v>8.3284193739478969</v>
      </c>
      <c r="AB33" s="69">
        <v>11.083316481051551</v>
      </c>
      <c r="AC33" s="69"/>
      <c r="AD33" s="69">
        <f t="shared" ref="AD33" si="58">AB33-Z33</f>
        <v>4.0960840110946224</v>
      </c>
      <c r="AE33" s="69">
        <f>'RD T1'!E119</f>
        <v>5.7334036900799346</v>
      </c>
      <c r="AF33" s="69">
        <f t="shared" ref="AF33" si="59">SUM(AD33:AE33)</f>
        <v>9.8294877011745569</v>
      </c>
      <c r="AH33" t="str">
        <f t="shared" ref="AH33" si="60">L33</f>
        <v>92 Elementary administration and service occupations</v>
      </c>
      <c r="AI33" s="69">
        <v>2.9517873721234134</v>
      </c>
      <c r="AJ33" s="69">
        <v>3.5763763138196718</v>
      </c>
      <c r="AK33" s="69">
        <v>3.5527535090849804</v>
      </c>
      <c r="AL33" s="69">
        <v>4.1545435673071713</v>
      </c>
      <c r="AM33" s="69">
        <v>5.5472485191550964</v>
      </c>
      <c r="AN33" s="69"/>
      <c r="AO33" s="69">
        <f t="shared" ref="AO33" si="61">AM33-AK33</f>
        <v>1.994495010070116</v>
      </c>
      <c r="AP33" s="69">
        <f>'RD T1'!E148</f>
        <v>2.776626091044454</v>
      </c>
      <c r="AQ33" s="69">
        <f t="shared" ref="AQ33" si="62">SUM(AO33:AP33)</f>
        <v>4.77112110111457</v>
      </c>
      <c r="AS33" t="str">
        <f t="shared" ref="AS33" si="63">W33</f>
        <v>92 Elementary administration and service occupations</v>
      </c>
      <c r="AT33" s="69">
        <v>2.753911901646819</v>
      </c>
      <c r="AU33" s="69">
        <v>3.1479019907288608</v>
      </c>
      <c r="AV33" s="69">
        <v>3.2357416702178652</v>
      </c>
      <c r="AW33" s="69">
        <v>3.7499243918108229</v>
      </c>
      <c r="AX33" s="69">
        <v>4.9892199673480908</v>
      </c>
      <c r="AY33" s="69"/>
      <c r="AZ33" s="69">
        <f t="shared" ref="AZ33" si="64">AX33-AV33</f>
        <v>1.7534782971302256</v>
      </c>
      <c r="BA33" s="69">
        <f>'RD T1'!E177</f>
        <v>2.4836083722315516</v>
      </c>
      <c r="BB33" s="69">
        <f t="shared" ref="BB33" si="65">SUM(AZ33:BA33)</f>
        <v>4.2370866693617772</v>
      </c>
      <c r="BD33" t="str">
        <f t="shared" ref="BD33" si="66">AH33</f>
        <v>92 Elementary administration and service occupations</v>
      </c>
      <c r="BE33" s="69">
        <v>16.783614921703848</v>
      </c>
      <c r="BF33" s="69">
        <v>14.875178309930602</v>
      </c>
      <c r="BG33" s="69">
        <v>14.931975531689764</v>
      </c>
      <c r="BH33" s="69">
        <v>14.651768551591795</v>
      </c>
      <c r="BI33" s="69">
        <v>14.523712961765399</v>
      </c>
      <c r="BJ33" s="69"/>
      <c r="BK33" s="69">
        <f t="shared" ref="BK33" si="67">BI33-BG33</f>
        <v>-0.40826256992436427</v>
      </c>
      <c r="BL33" s="69">
        <f>'RD T1'!E206</f>
        <v>7.4523809809188588</v>
      </c>
      <c r="BM33" s="69">
        <f t="shared" ref="BM33" si="68">SUM(BK33:BL33)</f>
        <v>7.0441184109944945</v>
      </c>
      <c r="BO33" t="str">
        <f t="shared" ref="BO33" si="69">AS33</f>
        <v>92 Elementary administration and service occupations</v>
      </c>
      <c r="BP33" s="69">
        <v>24.621641903446722</v>
      </c>
      <c r="BQ33" s="69">
        <v>23.987652205009447</v>
      </c>
      <c r="BR33" s="69">
        <v>21.180198813917603</v>
      </c>
      <c r="BS33" s="69">
        <v>22.169797031805093</v>
      </c>
      <c r="BT33" s="69">
        <v>19.974562625916114</v>
      </c>
      <c r="BU33" s="69"/>
      <c r="BV33" s="69">
        <f t="shared" ref="BV33" si="70">BT33-BR33</f>
        <v>-1.2056361880014883</v>
      </c>
      <c r="BW33" s="69">
        <f>'RD T1'!E235</f>
        <v>9.8974019147791594</v>
      </c>
      <c r="BX33" s="69">
        <f t="shared" ref="BX33" si="71">SUM(BV33:BW33)</f>
        <v>8.6917657267776711</v>
      </c>
      <c r="BZ33" t="str">
        <f t="shared" ref="BZ33" si="72">BD33</f>
        <v>92 Elementary administration and service occupations</v>
      </c>
      <c r="CA33" s="69">
        <v>22.416806094061357</v>
      </c>
      <c r="CB33" s="69">
        <v>20.650175576639395</v>
      </c>
      <c r="CC33" s="69">
        <v>17.297892844591214</v>
      </c>
      <c r="CD33" s="69">
        <v>17.625554599111229</v>
      </c>
      <c r="CE33" s="69">
        <v>12.195880506088903</v>
      </c>
      <c r="CF33" s="69"/>
      <c r="CG33" s="69">
        <f t="shared" ref="CG33" si="73">CE33-CC33</f>
        <v>-5.1020123385023108</v>
      </c>
      <c r="CH33" s="69">
        <f>'RD T1'!E264</f>
        <v>6.229286685697156</v>
      </c>
      <c r="CI33" s="69">
        <f t="shared" ref="CI33" si="74">SUM(CG33:CH33)</f>
        <v>1.1272743471948452</v>
      </c>
      <c r="CK33" t="str">
        <f t="shared" ref="CK33" si="75">BO33</f>
        <v>92 Elementary administration and service occupations</v>
      </c>
      <c r="CL33" s="69">
        <v>8.9227399382370365</v>
      </c>
      <c r="CM33" s="69">
        <v>7.8454267855678737</v>
      </c>
      <c r="CN33" s="69">
        <v>6.6287096516711275</v>
      </c>
      <c r="CO33" s="69">
        <v>5.0106397162296421</v>
      </c>
      <c r="CP33" s="69">
        <v>3.7818255174864799</v>
      </c>
      <c r="CQ33" s="69"/>
      <c r="CR33" s="69">
        <f t="shared" ref="CR33" si="76">CP33-CN33</f>
        <v>-2.8468841341846476</v>
      </c>
      <c r="CS33" s="69">
        <f>'RD T1'!E293</f>
        <v>1.1636954956872354</v>
      </c>
      <c r="CT33" s="69">
        <f t="shared" ref="CT33" si="77">SUM(CR33:CS33)</f>
        <v>-1.6831886384974122</v>
      </c>
    </row>
    <row r="34" spans="1:98" x14ac:dyDescent="0.2">
      <c r="B34" s="11"/>
      <c r="C34" s="11"/>
      <c r="D34" s="11"/>
      <c r="E34" s="11"/>
      <c r="F34" s="11"/>
      <c r="G34" s="11"/>
      <c r="H34" s="69"/>
      <c r="I34" s="69"/>
      <c r="J34" s="69"/>
      <c r="M34" s="69"/>
      <c r="N34" s="69"/>
      <c r="O34" s="69"/>
      <c r="P34" s="69"/>
      <c r="Q34" s="69"/>
      <c r="R34" s="11"/>
      <c r="S34" s="69"/>
      <c r="T34" s="69"/>
      <c r="U34" s="69"/>
      <c r="X34" s="69"/>
      <c r="Y34" s="69"/>
      <c r="Z34" s="69"/>
      <c r="AA34" s="69"/>
      <c r="AB34" s="69"/>
      <c r="AC34" s="69"/>
      <c r="AD34" s="69"/>
      <c r="AE34" s="69"/>
      <c r="AF34" s="69"/>
      <c r="AI34" s="69"/>
      <c r="AJ34" s="69"/>
      <c r="AK34" s="69"/>
      <c r="AL34" s="69"/>
      <c r="AM34" s="69"/>
      <c r="AN34" s="69"/>
      <c r="AO34" s="69"/>
      <c r="AP34" s="69"/>
      <c r="AQ34" s="69"/>
      <c r="AT34" s="69"/>
      <c r="AU34" s="69"/>
      <c r="AV34" s="69"/>
      <c r="AW34" s="69"/>
      <c r="AX34" s="69"/>
      <c r="AY34" s="69"/>
      <c r="AZ34" s="69"/>
      <c r="BA34" s="69"/>
      <c r="BB34" s="69"/>
      <c r="BE34" s="69"/>
      <c r="BF34" s="69"/>
      <c r="BG34" s="69"/>
      <c r="BH34" s="69"/>
      <c r="BI34" s="69"/>
      <c r="BJ34" s="69"/>
      <c r="BK34" s="69"/>
      <c r="BL34" s="69"/>
      <c r="BM34" s="69"/>
      <c r="BP34" s="69"/>
      <c r="BQ34" s="69"/>
      <c r="BR34" s="69"/>
      <c r="BS34" s="69"/>
      <c r="BT34" s="69"/>
      <c r="BU34" s="69"/>
      <c r="BV34" s="69"/>
      <c r="BW34" s="69"/>
      <c r="BX34" s="69"/>
      <c r="CA34" s="69"/>
      <c r="CB34" s="69"/>
      <c r="CC34" s="69"/>
      <c r="CD34" s="69"/>
      <c r="CE34" s="69"/>
      <c r="CF34" s="69"/>
      <c r="CG34" s="69"/>
      <c r="CH34" s="69"/>
      <c r="CI34" s="69"/>
      <c r="CL34" s="69"/>
      <c r="CM34" s="69"/>
      <c r="CN34" s="69"/>
      <c r="CO34" s="69"/>
      <c r="CP34" s="69"/>
      <c r="CQ34" s="69"/>
      <c r="CR34" s="69"/>
      <c r="CS34" s="69"/>
      <c r="CT34" s="69"/>
    </row>
    <row r="35" spans="1:98" x14ac:dyDescent="0.2">
      <c r="A35" s="231" t="str">
        <f>name!D3</f>
        <v>All occupations</v>
      </c>
      <c r="B35" s="67">
        <f>SUM(B8:B33)</f>
        <v>11.931101696696814</v>
      </c>
      <c r="C35" s="67">
        <f t="shared" ref="C35:F35" si="78">SUM(C8:C33)</f>
        <v>14.416236960357109</v>
      </c>
      <c r="D35" s="67">
        <f t="shared" si="78"/>
        <v>15.530347057630047</v>
      </c>
      <c r="E35" s="67">
        <f t="shared" si="78"/>
        <v>17.917250790315173</v>
      </c>
      <c r="F35" s="67">
        <f t="shared" si="78"/>
        <v>22.716025092912172</v>
      </c>
      <c r="G35" s="11"/>
      <c r="H35" s="67">
        <f>F35-D35</f>
        <v>7.185678035282125</v>
      </c>
      <c r="I35" s="67">
        <f>SUM(I8:I33)</f>
        <v>9.3516052974305754</v>
      </c>
      <c r="J35" s="67">
        <f>SUM(H35:I35)</f>
        <v>16.5372833327127</v>
      </c>
      <c r="L35" s="24" t="str">
        <f>A35</f>
        <v>All occupations</v>
      </c>
      <c r="M35" s="67">
        <f>SUM(M8:M33)</f>
        <v>85.344949672341031</v>
      </c>
      <c r="N35" s="67">
        <f t="shared" ref="N35:Q35" si="79">SUM(N8:N33)</f>
        <v>104.16972003141227</v>
      </c>
      <c r="O35" s="67">
        <f t="shared" si="79"/>
        <v>112.22082333054647</v>
      </c>
      <c r="P35" s="67">
        <f t="shared" si="79"/>
        <v>130.30734335170925</v>
      </c>
      <c r="Q35" s="67">
        <f t="shared" si="79"/>
        <v>166.10036253535046</v>
      </c>
      <c r="R35" s="11"/>
      <c r="S35" s="67">
        <f t="shared" si="29"/>
        <v>53.87953920480399</v>
      </c>
      <c r="T35" s="67">
        <f>SUM(T8:T33)</f>
        <v>71.314562787774051</v>
      </c>
      <c r="U35" s="67">
        <f>SUM(S35:T35)</f>
        <v>125.19410199257804</v>
      </c>
      <c r="W35" s="24" t="str">
        <f>A35</f>
        <v>All occupations</v>
      </c>
      <c r="X35" s="67">
        <f>SUM(X8:X33)</f>
        <v>182.47766837630687</v>
      </c>
      <c r="Y35" s="67">
        <f t="shared" ref="Y35:AB35" si="80">SUM(Y8:Y33)</f>
        <v>199.8649209040795</v>
      </c>
      <c r="Z35" s="67">
        <f t="shared" si="80"/>
        <v>197.82415999570523</v>
      </c>
      <c r="AA35" s="67">
        <f t="shared" si="80"/>
        <v>211.92887378761645</v>
      </c>
      <c r="AB35" s="67">
        <f t="shared" si="80"/>
        <v>242.62905477633529</v>
      </c>
      <c r="AC35" s="69"/>
      <c r="AD35" s="67">
        <f t="shared" ref="AD35" si="81">AB35-Z35</f>
        <v>44.804894780630065</v>
      </c>
      <c r="AE35" s="67">
        <f>SUM(AE8:AE33)</f>
        <v>117.66571191522914</v>
      </c>
      <c r="AF35" s="67">
        <f>SUM(AD35:AE35)</f>
        <v>162.4706066958592</v>
      </c>
      <c r="AH35" s="24" t="str">
        <f>L35</f>
        <v>All occupations</v>
      </c>
      <c r="AI35" s="67">
        <f>SUM(AI8:AI33)</f>
        <v>49.613369511822555</v>
      </c>
      <c r="AJ35" s="67">
        <f t="shared" ref="AJ35:AM35" si="82">SUM(AJ8:AJ33)</f>
        <v>51.897926142239228</v>
      </c>
      <c r="AK35" s="67">
        <f t="shared" si="82"/>
        <v>51.553613281971266</v>
      </c>
      <c r="AL35" s="67">
        <f t="shared" si="82"/>
        <v>52.067001713959804</v>
      </c>
      <c r="AM35" s="67">
        <f t="shared" si="82"/>
        <v>58.279686791366615</v>
      </c>
      <c r="AN35" s="69"/>
      <c r="AO35" s="67">
        <f t="shared" ref="AO35" si="83">AM35-AK35</f>
        <v>6.7260735093953485</v>
      </c>
      <c r="AP35" s="67">
        <f>SUM(AP8:AP33)</f>
        <v>28.621835661227138</v>
      </c>
      <c r="AQ35" s="67">
        <f>SUM(AO35:AP35)</f>
        <v>35.347909170622486</v>
      </c>
      <c r="AS35" s="24" t="str">
        <f>W35</f>
        <v>All occupations</v>
      </c>
      <c r="AT35" s="67">
        <f>SUM(AT8:AT33)</f>
        <v>50.119931817120687</v>
      </c>
      <c r="AU35" s="67">
        <f t="shared" ref="AU35:AX35" si="84">SUM(AU8:AU33)</f>
        <v>54.168072164576493</v>
      </c>
      <c r="AV35" s="67">
        <f t="shared" si="84"/>
        <v>54.070509554076025</v>
      </c>
      <c r="AW35" s="67">
        <f t="shared" si="84"/>
        <v>55.774144986221458</v>
      </c>
      <c r="AX35" s="67">
        <f t="shared" si="84"/>
        <v>63.457427221431786</v>
      </c>
      <c r="AY35" s="69"/>
      <c r="AZ35" s="67">
        <f t="shared" ref="AZ35" si="85">AX35-AV35</f>
        <v>9.3869176673557604</v>
      </c>
      <c r="BA35" s="67">
        <f>SUM(BA8:BA33)</f>
        <v>30.236097232040223</v>
      </c>
      <c r="BB35" s="67">
        <f>SUM(AZ35:BA35)</f>
        <v>39.623014899395983</v>
      </c>
      <c r="BD35" s="24" t="str">
        <f>AH35</f>
        <v>All occupations</v>
      </c>
      <c r="BE35" s="67">
        <f>SUM(BE8:BE33)</f>
        <v>173.17585672265133</v>
      </c>
      <c r="BF35" s="67">
        <f t="shared" ref="BF35:BI35" si="86">SUM(BF8:BF33)</f>
        <v>163.74816219200025</v>
      </c>
      <c r="BG35" s="67">
        <f t="shared" si="86"/>
        <v>170.35023663430428</v>
      </c>
      <c r="BH35" s="67">
        <f t="shared" si="86"/>
        <v>167.23951651317248</v>
      </c>
      <c r="BI35" s="67">
        <f t="shared" si="86"/>
        <v>167.11628118452984</v>
      </c>
      <c r="BJ35" s="69"/>
      <c r="BK35" s="67">
        <f t="shared" ref="BK35" si="87">BI35-BG35</f>
        <v>-3.2339554497744416</v>
      </c>
      <c r="BL35" s="67">
        <f>SUM(BL8:BL33)</f>
        <v>76.381311918274065</v>
      </c>
      <c r="BM35" s="67">
        <f>SUM(BK35:BL35)</f>
        <v>73.147356468499623</v>
      </c>
      <c r="BO35" s="24" t="str">
        <f>AS35</f>
        <v>All occupations</v>
      </c>
      <c r="BP35" s="67">
        <f>SUM(BP8:BP33)</f>
        <v>166.00576046874318</v>
      </c>
      <c r="BQ35" s="67">
        <f t="shared" ref="BQ35:BT35" si="88">SUM(BQ8:BQ33)</f>
        <v>160.43179252111443</v>
      </c>
      <c r="BR35" s="67">
        <f t="shared" si="88"/>
        <v>146.68547364301187</v>
      </c>
      <c r="BS35" s="67">
        <f t="shared" si="88"/>
        <v>143.71955274225502</v>
      </c>
      <c r="BT35" s="67">
        <f t="shared" si="88"/>
        <v>121.8461246343235</v>
      </c>
      <c r="BU35" s="69"/>
      <c r="BV35" s="67">
        <f t="shared" ref="BV35" si="89">BT35-BR35</f>
        <v>-24.839349008688373</v>
      </c>
      <c r="BW35" s="67">
        <f>SUM(BW8:BW33)</f>
        <v>59.664507499408629</v>
      </c>
      <c r="BX35" s="67">
        <f>SUM(BV35:BW35)</f>
        <v>34.825158490720256</v>
      </c>
      <c r="BZ35" s="24" t="str">
        <f>BD35</f>
        <v>All occupations</v>
      </c>
      <c r="CA35" s="67">
        <f>SUM(CA8:CA33)</f>
        <v>114.17181730873857</v>
      </c>
      <c r="CB35" s="67">
        <f t="shared" ref="CB35:CE35" si="90">SUM(CB8:CB33)</f>
        <v>101.74762688143804</v>
      </c>
      <c r="CC35" s="67">
        <f t="shared" si="90"/>
        <v>88.410769366758032</v>
      </c>
      <c r="CD35" s="67">
        <f t="shared" si="90"/>
        <v>83.882776012302756</v>
      </c>
      <c r="CE35" s="67">
        <f t="shared" si="90"/>
        <v>56.934334716619361</v>
      </c>
      <c r="CF35" s="69"/>
      <c r="CG35" s="67">
        <f t="shared" ref="CG35" si="91">CE35-CC35</f>
        <v>-31.476434650138671</v>
      </c>
      <c r="CH35" s="67">
        <f>SUM(CH8:CH33)</f>
        <v>28.855252877790399</v>
      </c>
      <c r="CI35" s="67">
        <f>SUM(CG35:CH35)</f>
        <v>-2.6211817723482724</v>
      </c>
      <c r="CK35" s="24" t="str">
        <f>BO35</f>
        <v>All occupations</v>
      </c>
      <c r="CL35" s="67">
        <f>SUM(CL8:CL33)</f>
        <v>32.164544425578782</v>
      </c>
      <c r="CM35" s="67">
        <f t="shared" ref="CM35:CP35" si="92">SUM(CM8:CM33)</f>
        <v>32.00454220278295</v>
      </c>
      <c r="CN35" s="67">
        <f t="shared" si="92"/>
        <v>27.994067135996506</v>
      </c>
      <c r="CO35" s="67">
        <f t="shared" si="92"/>
        <v>27.143540102447723</v>
      </c>
      <c r="CP35" s="67">
        <f t="shared" si="92"/>
        <v>26.398703047131278</v>
      </c>
      <c r="CQ35" s="69"/>
      <c r="CR35" s="67">
        <f t="shared" ref="CR35" si="93">CP35-CN35</f>
        <v>-1.5953640888652281</v>
      </c>
      <c r="CS35" s="67">
        <f>SUM(CS8:CS33)</f>
        <v>7.8149337326853683</v>
      </c>
      <c r="CT35" s="67">
        <f>SUM(CR35:CS35)</f>
        <v>6.2195696438201402</v>
      </c>
    </row>
    <row r="38" spans="1:98" ht="52.5" customHeight="1" x14ac:dyDescent="0.2">
      <c r="A38" s="381" t="str">
        <f>CONCATENATE(A$1," (Continued)")</f>
        <v>Basic Table 2  Employment Change by Occupation and Replacement Demand, RQF8 Doctorate, 2015-2035, Enterprise M3 (Continued)</v>
      </c>
      <c r="B38" s="381"/>
      <c r="C38" s="381"/>
      <c r="D38" s="381"/>
      <c r="E38" s="381"/>
      <c r="F38" s="381"/>
      <c r="G38" s="381"/>
      <c r="H38" s="381"/>
      <c r="I38" s="381"/>
      <c r="J38" s="381"/>
      <c r="L38" s="381" t="str">
        <f>CONCATENATE(L$1," (Continued)")</f>
        <v>Basic Table 2.1  Employment Change by Occupation and Replacement Demand, RQF7 Other higher degree, 2015-2035, Enterprise M3 (Continued)</v>
      </c>
      <c r="M38" s="381"/>
      <c r="N38" s="381"/>
      <c r="O38" s="381"/>
      <c r="P38" s="381"/>
      <c r="Q38" s="381"/>
      <c r="R38" s="381"/>
      <c r="S38" s="381"/>
      <c r="T38" s="381"/>
      <c r="U38" s="381"/>
      <c r="W38" s="381" t="str">
        <f>CONCATENATE(W$1," (Continued)")</f>
        <v>Basic Table 2.2  Employment Change by Occupation and Replacement Demand, RQF6 First degree, 2015-2035, Enterprise M3 (Continued)</v>
      </c>
      <c r="X38" s="381"/>
      <c r="Y38" s="381"/>
      <c r="Z38" s="381"/>
      <c r="AA38" s="381"/>
      <c r="AB38" s="381"/>
      <c r="AC38" s="381"/>
      <c r="AD38" s="381"/>
      <c r="AE38" s="381"/>
      <c r="AF38" s="381"/>
      <c r="AH38" s="381" t="str">
        <f>CONCATENATE(AH$1," (Continued)")</f>
        <v>Basic Table 2.3  Employment Change by Occupation and Replacement Demand, RQF5 Foundation degree;Nursing;Teaching, 2015-2035, Enterprise M3 (Continued)</v>
      </c>
      <c r="AI38" s="381"/>
      <c r="AJ38" s="381"/>
      <c r="AK38" s="381"/>
      <c r="AL38" s="381"/>
      <c r="AM38" s="381"/>
      <c r="AN38" s="381"/>
      <c r="AO38" s="381"/>
      <c r="AP38" s="381"/>
      <c r="AQ38" s="381"/>
      <c r="AS38" s="381" t="str">
        <f>CONCATENATE(AS$1," (Continued)")</f>
        <v>Basic Table 2.4  Employment Change by Occupation and Replacement Demand, RQF4 HE below degree level, 2015-2035, Enterprise M3 (Continued)</v>
      </c>
      <c r="AT38" s="381"/>
      <c r="AU38" s="381"/>
      <c r="AV38" s="381"/>
      <c r="AW38" s="381"/>
      <c r="AX38" s="381"/>
      <c r="AY38" s="381"/>
      <c r="AZ38" s="381"/>
      <c r="BA38" s="381"/>
      <c r="BB38" s="381"/>
      <c r="BD38" s="381" t="str">
        <f>CONCATENATE(BD$1," (Continued)")</f>
        <v>Basic Table 2.5  Employment Change by Occupation and Replacement Demand, RQF3 A level &amp; equivalent, 2015-2035, Enterprise M3 (Continued)</v>
      </c>
      <c r="BE38" s="381"/>
      <c r="BF38" s="381"/>
      <c r="BG38" s="381"/>
      <c r="BH38" s="381"/>
      <c r="BI38" s="381"/>
      <c r="BJ38" s="381"/>
      <c r="BK38" s="381"/>
      <c r="BL38" s="381"/>
      <c r="BM38" s="381"/>
      <c r="BO38" s="381" t="str">
        <f>CONCATENATE(BO$1," (Continued)")</f>
        <v>Basic Table 2.6  Employment Change by Occupation and Replacement Demand, RQF2 GCSE(A-C) &amp; equivalent, 2015-2035, Enterprise M3 (Continued)</v>
      </c>
      <c r="BP38" s="381"/>
      <c r="BQ38" s="381"/>
      <c r="BR38" s="381"/>
      <c r="BS38" s="381"/>
      <c r="BT38" s="381"/>
      <c r="BU38" s="381"/>
      <c r="BV38" s="381"/>
      <c r="BW38" s="381"/>
      <c r="BX38" s="381"/>
      <c r="BZ38" s="381" t="str">
        <f>CONCATENATE(BZ$1," (Continued)")</f>
        <v>Basic Table 2.7  Employment Change by Occupation and Replacement Demand, RQF1 GCSE(below grade C) &amp; equivalent, 2015-2035, Enterprise M3 (Continued)</v>
      </c>
      <c r="CA38" s="381"/>
      <c r="CB38" s="381"/>
      <c r="CC38" s="381"/>
      <c r="CD38" s="381"/>
      <c r="CE38" s="381"/>
      <c r="CF38" s="381"/>
      <c r="CG38" s="381"/>
      <c r="CH38" s="381"/>
      <c r="CI38" s="381"/>
      <c r="CK38" s="381" t="str">
        <f>CONCATENATE(CK$1," (Continued)")</f>
        <v>Basic Table 2.8  Employment Change by Occupation and Replacement Demand, No Qualification, 2015-2035, Enterprise M3 (Continued)</v>
      </c>
      <c r="CL38" s="381"/>
      <c r="CM38" s="381"/>
      <c r="CN38" s="381"/>
      <c r="CO38" s="381"/>
      <c r="CP38" s="381"/>
      <c r="CQ38" s="381"/>
      <c r="CR38" s="381"/>
      <c r="CS38" s="381"/>
      <c r="CT38" s="381"/>
    </row>
    <row r="39" spans="1:98" ht="12.75" customHeight="1" x14ac:dyDescent="0.2"/>
    <row r="40" spans="1:98" ht="12.75" customHeight="1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  <c r="AM40" s="16" t="s">
        <v>35</v>
      </c>
      <c r="AQ40" s="16" t="s">
        <v>35</v>
      </c>
      <c r="AX40" s="16" t="s">
        <v>35</v>
      </c>
      <c r="BB40" s="16" t="s">
        <v>35</v>
      </c>
      <c r="BI40" s="16" t="s">
        <v>35</v>
      </c>
      <c r="BM40" s="16" t="s">
        <v>35</v>
      </c>
      <c r="BT40" s="16" t="s">
        <v>35</v>
      </c>
      <c r="BX40" s="16" t="s">
        <v>35</v>
      </c>
      <c r="CE40" s="16" t="s">
        <v>35</v>
      </c>
      <c r="CI40" s="16" t="s">
        <v>35</v>
      </c>
      <c r="CP40" s="16" t="s">
        <v>35</v>
      </c>
      <c r="CT40" s="16" t="s">
        <v>35</v>
      </c>
    </row>
    <row r="41" spans="1:98" ht="12.75" customHeight="1" x14ac:dyDescent="0.2">
      <c r="A41" s="36"/>
      <c r="B41" s="36"/>
      <c r="C41" s="36"/>
      <c r="D41" s="36"/>
      <c r="E41" s="36"/>
      <c r="F41" s="36"/>
      <c r="H41" s="28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28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28" t="str">
        <f>$H$4</f>
        <v>2020-2035</v>
      </c>
      <c r="AE41" s="36"/>
      <c r="AF41" s="36"/>
      <c r="AH41" s="36"/>
      <c r="AI41" s="36"/>
      <c r="AJ41" s="36"/>
      <c r="AK41" s="36"/>
      <c r="AL41" s="36"/>
      <c r="AM41" s="36"/>
      <c r="AO41" s="28" t="str">
        <f>$H$4</f>
        <v>2020-2035</v>
      </c>
      <c r="AP41" s="36"/>
      <c r="AQ41" s="36"/>
      <c r="AS41" s="36"/>
      <c r="AT41" s="36"/>
      <c r="AU41" s="36"/>
      <c r="AV41" s="36"/>
      <c r="AW41" s="36"/>
      <c r="AX41" s="36"/>
      <c r="AZ41" s="28" t="str">
        <f>$H$4</f>
        <v>2020-2035</v>
      </c>
      <c r="BA41" s="36"/>
      <c r="BB41" s="36"/>
      <c r="BD41" s="36"/>
      <c r="BE41" s="36"/>
      <c r="BF41" s="36"/>
      <c r="BG41" s="36"/>
      <c r="BH41" s="36"/>
      <c r="BI41" s="36"/>
      <c r="BK41" s="28" t="str">
        <f>$H$4</f>
        <v>2020-2035</v>
      </c>
      <c r="BL41" s="36"/>
      <c r="BM41" s="36"/>
      <c r="BO41" s="36"/>
      <c r="BP41" s="36"/>
      <c r="BQ41" s="36"/>
      <c r="BR41" s="36"/>
      <c r="BS41" s="36"/>
      <c r="BT41" s="36"/>
      <c r="BV41" s="28" t="str">
        <f>$H$4</f>
        <v>2020-2035</v>
      </c>
      <c r="BW41" s="36"/>
      <c r="BX41" s="36"/>
      <c r="BZ41" s="36"/>
      <c r="CA41" s="36"/>
      <c r="CB41" s="36"/>
      <c r="CC41" s="36"/>
      <c r="CD41" s="36"/>
      <c r="CE41" s="36"/>
      <c r="CG41" s="28" t="str">
        <f>$H$4</f>
        <v>2020-2035</v>
      </c>
      <c r="CH41" s="36"/>
      <c r="CI41" s="36"/>
      <c r="CK41" s="36"/>
      <c r="CL41" s="36"/>
      <c r="CM41" s="36"/>
      <c r="CN41" s="36"/>
      <c r="CO41" s="36"/>
      <c r="CP41" s="36"/>
      <c r="CR41" s="28" t="str">
        <f>$H$4</f>
        <v>2020-2035</v>
      </c>
      <c r="CS41" s="36"/>
      <c r="CT41" s="36"/>
    </row>
    <row r="42" spans="1:98" ht="12.75" customHeight="1" x14ac:dyDescent="0.2">
      <c r="H42" s="16" t="str">
        <f t="shared" ref="H42:J43" si="94">H5</f>
        <v>Net</v>
      </c>
      <c r="I42" s="16" t="str">
        <f t="shared" si="94"/>
        <v>Replacement</v>
      </c>
      <c r="J42" s="16" t="str">
        <f t="shared" si="94"/>
        <v>Total</v>
      </c>
      <c r="S42" s="16" t="str">
        <f t="shared" ref="S42:U43" si="95">S5</f>
        <v>Net</v>
      </c>
      <c r="T42" s="16" t="str">
        <f t="shared" si="95"/>
        <v>Replacement</v>
      </c>
      <c r="U42" s="16" t="str">
        <f t="shared" si="95"/>
        <v>Total</v>
      </c>
      <c r="AD42" s="16" t="str">
        <f t="shared" ref="AD42:AF43" si="96">AD5</f>
        <v>Net</v>
      </c>
      <c r="AE42" s="16" t="str">
        <f t="shared" si="96"/>
        <v>Replacement</v>
      </c>
      <c r="AF42" s="16" t="str">
        <f t="shared" si="96"/>
        <v>Total</v>
      </c>
      <c r="AO42" s="16" t="str">
        <f t="shared" ref="AO42:AQ43" si="97">AO5</f>
        <v>Net</v>
      </c>
      <c r="AP42" s="16" t="str">
        <f t="shared" si="97"/>
        <v>Replacement</v>
      </c>
      <c r="AQ42" s="16" t="str">
        <f t="shared" si="97"/>
        <v>Total</v>
      </c>
      <c r="AZ42" s="16" t="str">
        <f t="shared" ref="AZ42:BB43" si="98">AZ5</f>
        <v>Net</v>
      </c>
      <c r="BA42" s="16" t="str">
        <f t="shared" si="98"/>
        <v>Replacement</v>
      </c>
      <c r="BB42" s="16" t="str">
        <f t="shared" si="98"/>
        <v>Total</v>
      </c>
      <c r="BK42" s="16" t="str">
        <f t="shared" ref="BK42:BM43" si="99">BK5</f>
        <v>Net</v>
      </c>
      <c r="BL42" s="16" t="str">
        <f t="shared" si="99"/>
        <v>Replacement</v>
      </c>
      <c r="BM42" s="16" t="str">
        <f t="shared" si="99"/>
        <v>Total</v>
      </c>
      <c r="BV42" s="16" t="str">
        <f t="shared" ref="BV42:BX43" si="100">BV5</f>
        <v>Net</v>
      </c>
      <c r="BW42" s="16" t="str">
        <f t="shared" si="100"/>
        <v>Replacement</v>
      </c>
      <c r="BX42" s="16" t="str">
        <f t="shared" si="100"/>
        <v>Total</v>
      </c>
      <c r="CG42" s="16" t="str">
        <f t="shared" ref="CG42:CI43" si="101">CG5</f>
        <v>Net</v>
      </c>
      <c r="CH42" s="16" t="str">
        <f t="shared" si="101"/>
        <v>Replacement</v>
      </c>
      <c r="CI42" s="16" t="str">
        <f t="shared" si="101"/>
        <v>Total</v>
      </c>
      <c r="CR42" s="16" t="str">
        <f t="shared" ref="CR42:CT43" si="102">CR5</f>
        <v>Net</v>
      </c>
      <c r="CS42" s="16" t="str">
        <f t="shared" si="102"/>
        <v>Replacement</v>
      </c>
      <c r="CT42" s="16" t="str">
        <f t="shared" si="102"/>
        <v>Total</v>
      </c>
    </row>
    <row r="43" spans="1:98" ht="12.75" customHeight="1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94"/>
        <v>Change</v>
      </c>
      <c r="I43" s="63" t="str">
        <f t="shared" si="94"/>
        <v>Demand</v>
      </c>
      <c r="J43" s="63" t="str">
        <f t="shared" si="9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si="95"/>
        <v>Change</v>
      </c>
      <c r="T43" s="63" t="str">
        <f t="shared" si="95"/>
        <v>Demand</v>
      </c>
      <c r="U43" s="63" t="str">
        <f t="shared" si="95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si="96"/>
        <v>Change</v>
      </c>
      <c r="AE43" s="63" t="str">
        <f t="shared" si="96"/>
        <v>Demand</v>
      </c>
      <c r="AF43" s="63" t="str">
        <f t="shared" si="96"/>
        <v>Requirement</v>
      </c>
      <c r="AH43" s="41" t="s">
        <v>37</v>
      </c>
      <c r="AI43" s="35">
        <f>AI$6</f>
        <v>2015</v>
      </c>
      <c r="AJ43" s="35">
        <f>AJ$6</f>
        <v>2019</v>
      </c>
      <c r="AK43" s="35">
        <f>AK$6</f>
        <v>2020</v>
      </c>
      <c r="AL43" s="35">
        <f>AL$6</f>
        <v>2025</v>
      </c>
      <c r="AM43" s="35">
        <f>AM$6</f>
        <v>2035</v>
      </c>
      <c r="AO43" s="63" t="str">
        <f t="shared" si="97"/>
        <v>Change</v>
      </c>
      <c r="AP43" s="63" t="str">
        <f t="shared" si="97"/>
        <v>Demand</v>
      </c>
      <c r="AQ43" s="63" t="str">
        <f t="shared" si="97"/>
        <v>Requirement</v>
      </c>
      <c r="AS43" s="41" t="s">
        <v>37</v>
      </c>
      <c r="AT43" s="35">
        <f>AT$6</f>
        <v>2015</v>
      </c>
      <c r="AU43" s="35">
        <f>AU$6</f>
        <v>2019</v>
      </c>
      <c r="AV43" s="35">
        <f>AV$6</f>
        <v>2020</v>
      </c>
      <c r="AW43" s="35">
        <f>AW$6</f>
        <v>2025</v>
      </c>
      <c r="AX43" s="35">
        <f>AX$6</f>
        <v>2035</v>
      </c>
      <c r="AZ43" s="63" t="str">
        <f t="shared" si="98"/>
        <v>Change</v>
      </c>
      <c r="BA43" s="63" t="str">
        <f t="shared" si="98"/>
        <v>Demand</v>
      </c>
      <c r="BB43" s="63" t="str">
        <f t="shared" si="98"/>
        <v>Requirement</v>
      </c>
      <c r="BD43" s="41" t="s">
        <v>37</v>
      </c>
      <c r="BE43" s="35">
        <f>BE$6</f>
        <v>2015</v>
      </c>
      <c r="BF43" s="35">
        <f>BF$6</f>
        <v>2019</v>
      </c>
      <c r="BG43" s="35">
        <f>BG$6</f>
        <v>2020</v>
      </c>
      <c r="BH43" s="35">
        <f>BH$6</f>
        <v>2025</v>
      </c>
      <c r="BI43" s="35">
        <f>BI$6</f>
        <v>2035</v>
      </c>
      <c r="BK43" s="63" t="str">
        <f t="shared" si="99"/>
        <v>Change</v>
      </c>
      <c r="BL43" s="63" t="str">
        <f t="shared" si="99"/>
        <v>Demand</v>
      </c>
      <c r="BM43" s="63" t="str">
        <f t="shared" si="99"/>
        <v>Requirement</v>
      </c>
      <c r="BO43" s="41" t="s">
        <v>37</v>
      </c>
      <c r="BP43" s="35">
        <f>BP$6</f>
        <v>2015</v>
      </c>
      <c r="BQ43" s="35">
        <f>BQ$6</f>
        <v>2019</v>
      </c>
      <c r="BR43" s="35">
        <f>BR$6</f>
        <v>2020</v>
      </c>
      <c r="BS43" s="35">
        <f>BS$6</f>
        <v>2025</v>
      </c>
      <c r="BT43" s="35">
        <f>BT$6</f>
        <v>2035</v>
      </c>
      <c r="BV43" s="63" t="str">
        <f t="shared" si="100"/>
        <v>Change</v>
      </c>
      <c r="BW43" s="63" t="str">
        <f t="shared" si="100"/>
        <v>Demand</v>
      </c>
      <c r="BX43" s="63" t="str">
        <f t="shared" si="100"/>
        <v>Requirement</v>
      </c>
      <c r="BZ43" s="41" t="s">
        <v>37</v>
      </c>
      <c r="CA43" s="35">
        <f>CA$6</f>
        <v>2015</v>
      </c>
      <c r="CB43" s="35">
        <f>CB$6</f>
        <v>2019</v>
      </c>
      <c r="CC43" s="35">
        <f>CC$6</f>
        <v>2020</v>
      </c>
      <c r="CD43" s="35">
        <f>CD$6</f>
        <v>2025</v>
      </c>
      <c r="CE43" s="35">
        <f>CE$6</f>
        <v>2035</v>
      </c>
      <c r="CG43" s="63" t="str">
        <f t="shared" si="101"/>
        <v>Change</v>
      </c>
      <c r="CH43" s="63" t="str">
        <f t="shared" si="101"/>
        <v>Demand</v>
      </c>
      <c r="CI43" s="63" t="str">
        <f t="shared" si="101"/>
        <v>Requirement</v>
      </c>
      <c r="CK43" s="41" t="s">
        <v>37</v>
      </c>
      <c r="CL43" s="35">
        <f>CL$6</f>
        <v>2015</v>
      </c>
      <c r="CM43" s="35">
        <f>CM$6</f>
        <v>2019</v>
      </c>
      <c r="CN43" s="35">
        <f>CN$6</f>
        <v>2020</v>
      </c>
      <c r="CO43" s="35">
        <f>CO$6</f>
        <v>2025</v>
      </c>
      <c r="CP43" s="35">
        <f>CP$6</f>
        <v>2035</v>
      </c>
      <c r="CR43" s="63" t="str">
        <f t="shared" si="102"/>
        <v>Change</v>
      </c>
      <c r="CS43" s="63" t="str">
        <f t="shared" si="102"/>
        <v>Demand</v>
      </c>
      <c r="CT43" s="63" t="str">
        <f t="shared" si="102"/>
        <v>Requirement</v>
      </c>
    </row>
    <row r="44" spans="1:98" x14ac:dyDescent="0.2">
      <c r="G44" s="11"/>
      <c r="R44" s="11"/>
      <c r="AC44" s="11"/>
      <c r="AN44" s="11"/>
      <c r="AY44" s="11"/>
      <c r="BJ44" s="11"/>
      <c r="BU44" s="11"/>
      <c r="CF44" s="11"/>
      <c r="CQ44" s="11"/>
    </row>
    <row r="45" spans="1:98" x14ac:dyDescent="0.2">
      <c r="A45" t="str">
        <f t="shared" ref="A45:A70" si="103">A8</f>
        <v>11 Corporate managers and directors</v>
      </c>
      <c r="B45" s="18">
        <f t="shared" ref="B45:F54" si="104">B8/B$35*100</f>
        <v>8.4649554668541231</v>
      </c>
      <c r="C45" s="18">
        <f t="shared" si="104"/>
        <v>8.5429906614311797</v>
      </c>
      <c r="D45" s="18">
        <f t="shared" si="104"/>
        <v>9.0565480162677243</v>
      </c>
      <c r="E45" s="18">
        <f t="shared" si="104"/>
        <v>8.2279879002731366</v>
      </c>
      <c r="F45" s="18">
        <f t="shared" si="104"/>
        <v>8.5279229472100884</v>
      </c>
      <c r="H45" s="68">
        <f t="shared" ref="H45:H70" si="105">IF(D8&gt;0,(H8/D8)*100,0)</f>
        <v>37.731016389877347</v>
      </c>
      <c r="I45" s="69">
        <f t="shared" ref="I45:I70" si="106">IF(D8&gt;0,I8/D8*100,0)</f>
        <v>61.899828746756683</v>
      </c>
      <c r="J45" s="69">
        <f t="shared" ref="J45:J70" si="107">IF(D8&gt;0,(J8/D8)*100,0)</f>
        <v>99.630845136634022</v>
      </c>
      <c r="L45" t="str">
        <f>A45</f>
        <v>11 Corporate managers and directors</v>
      </c>
      <c r="M45" s="18">
        <f t="shared" ref="M45:Q54" si="108">M8/M$35*100</f>
        <v>9.3836264419133766</v>
      </c>
      <c r="N45" s="18">
        <f t="shared" si="108"/>
        <v>9.924917305076681</v>
      </c>
      <c r="O45" s="18">
        <f t="shared" si="108"/>
        <v>10.061164145042593</v>
      </c>
      <c r="P45" s="18">
        <f t="shared" si="108"/>
        <v>8.966350375267087</v>
      </c>
      <c r="Q45" s="18">
        <f t="shared" si="108"/>
        <v>9.1590175223626957</v>
      </c>
      <c r="S45" s="68">
        <f t="shared" ref="S45:S70" si="109">IF(O8&gt;0,(S8/O8)*100,0)</f>
        <v>34.740385363062266</v>
      </c>
      <c r="T45" s="69">
        <f t="shared" ref="T45:T70" si="110">IF(O8&gt;0,T8/O8*100,0)</f>
        <v>61.026510876487215</v>
      </c>
      <c r="U45" s="69">
        <f t="shared" ref="U45:U70" si="111">IF(O8&gt;0,(U8/O8)*100,0)</f>
        <v>95.766896239549482</v>
      </c>
      <c r="W45" t="str">
        <f>A45</f>
        <v>11 Corporate managers and directors</v>
      </c>
      <c r="X45" s="18">
        <f t="shared" ref="X45:AB54" si="112">X8/X$35*100</f>
        <v>11.251387180845096</v>
      </c>
      <c r="Y45" s="18">
        <f t="shared" si="112"/>
        <v>12.232492548018351</v>
      </c>
      <c r="Z45" s="18">
        <f t="shared" si="112"/>
        <v>11.972993129009279</v>
      </c>
      <c r="AA45" s="18">
        <f t="shared" si="112"/>
        <v>10.764394599124971</v>
      </c>
      <c r="AB45" s="18">
        <f t="shared" si="112"/>
        <v>10.794987184712088</v>
      </c>
      <c r="AD45" s="68">
        <f t="shared" ref="AD45:AD70" si="113">IF(Z8&gt;0,(AD8/Z8)*100,0)</f>
        <v>10.581601122423564</v>
      </c>
      <c r="AE45" s="69">
        <f t="shared" ref="AE45:AE70" si="114">IF(Z8&gt;0,AE8/Z8*100,0)</f>
        <v>57.888338770125578</v>
      </c>
      <c r="AF45" s="69">
        <f t="shared" ref="AF45:AF70" si="115">IF(Z8&gt;0,(AF8/Z8)*100,0)</f>
        <v>68.469939892549149</v>
      </c>
      <c r="AH45" t="str">
        <f>L45</f>
        <v>11 Corporate managers and directors</v>
      </c>
      <c r="AI45" s="18">
        <f t="shared" ref="AI45:AM54" si="116">AI8/AI$35*100</f>
        <v>7.4539830680961385</v>
      </c>
      <c r="AJ45" s="18">
        <f t="shared" si="116"/>
        <v>8.5299232652229069</v>
      </c>
      <c r="AK45" s="18">
        <f t="shared" si="116"/>
        <v>8.7718550622279885</v>
      </c>
      <c r="AL45" s="18">
        <f t="shared" si="116"/>
        <v>8.0137417680264313</v>
      </c>
      <c r="AM45" s="18">
        <f t="shared" si="116"/>
        <v>7.9619439009796453</v>
      </c>
      <c r="AO45" s="68">
        <f t="shared" ref="AO45:AO70" si="117">IF(AK8&gt;0,(AO8/AK8)*100,0)</f>
        <v>2.6090733860633422</v>
      </c>
      <c r="AP45" s="69">
        <f t="shared" ref="AP45:AP70" si="118">IF(AK8&gt;0,AP8/AK8*100,0)</f>
        <v>51.096144956172829</v>
      </c>
      <c r="AQ45" s="69">
        <f t="shared" ref="AQ45:AQ70" si="119">IF(AK8&gt;0,(AQ8/AK8)*100,0)</f>
        <v>53.705218342236172</v>
      </c>
      <c r="AS45" t="str">
        <f>W45</f>
        <v>11 Corporate managers and directors</v>
      </c>
      <c r="AT45" s="18">
        <f t="shared" ref="AT45:AX54" si="120">AT8/AT$35*100</f>
        <v>11.519426331313756</v>
      </c>
      <c r="AU45" s="18">
        <f t="shared" si="120"/>
        <v>12.351274114862655</v>
      </c>
      <c r="AV45" s="18">
        <f t="shared" si="120"/>
        <v>12.366167891263039</v>
      </c>
      <c r="AW45" s="18">
        <f t="shared" si="120"/>
        <v>10.826809546016003</v>
      </c>
      <c r="AX45" s="18">
        <f t="shared" si="120"/>
        <v>10.576661638906302</v>
      </c>
      <c r="AZ45" s="68">
        <f t="shared" ref="AZ45:AZ70" si="121">IF(AV8&gt;0,(AZ8/AV8)*100,0)</f>
        <v>0.37729095231561305</v>
      </c>
      <c r="BA45" s="69">
        <f t="shared" ref="BA45:BA70" si="122">IF(AV8&gt;0,BA8/AV8*100,0)</f>
        <v>50.346232094146238</v>
      </c>
      <c r="BB45" s="69">
        <f t="shared" ref="BB45:BB70" si="123">IF(AV8&gt;0,(BB8/AV8)*100,0)</f>
        <v>50.723523046461864</v>
      </c>
      <c r="BD45" t="str">
        <f>AH45</f>
        <v>11 Corporate managers and directors</v>
      </c>
      <c r="BE45" s="18">
        <f t="shared" ref="BE45:BI54" si="124">BE8/BE$35*100</f>
        <v>7.0422245566204804</v>
      </c>
      <c r="BF45" s="18">
        <f t="shared" si="124"/>
        <v>7.7263264434908274</v>
      </c>
      <c r="BG45" s="18">
        <f t="shared" si="124"/>
        <v>8.0343338637436439</v>
      </c>
      <c r="BH45" s="18">
        <f t="shared" si="124"/>
        <v>7.1030945881119134</v>
      </c>
      <c r="BI45" s="18">
        <f t="shared" si="124"/>
        <v>7.5833147144255308</v>
      </c>
      <c r="BK45" s="68">
        <f t="shared" ref="BK45:BK70" si="125">IF(BG8&gt;0,(BK8/BG8)*100,0)</f>
        <v>-7.4054923305633302</v>
      </c>
      <c r="BL45" s="69">
        <f t="shared" ref="BL45:BL70" si="126">IF(BG8&gt;0,BL8/BG8*100,0)</f>
        <v>40.198714313947136</v>
      </c>
      <c r="BM45" s="69">
        <f t="shared" ref="BM45:BM70" si="127">IF(BG8&gt;0,(BM8/BG8)*100,0)</f>
        <v>32.793221983383809</v>
      </c>
      <c r="BO45" t="str">
        <f>AS45</f>
        <v>11 Corporate managers and directors</v>
      </c>
      <c r="BP45" s="18">
        <f t="shared" ref="BP45:BT54" si="128">BP8/BP$35*100</f>
        <v>5.9145800155011461</v>
      </c>
      <c r="BQ45" s="18">
        <f t="shared" si="128"/>
        <v>6.6709787296482652</v>
      </c>
      <c r="BR45" s="18">
        <f t="shared" si="128"/>
        <v>6.8320218810209248</v>
      </c>
      <c r="BS45" s="18">
        <f t="shared" si="128"/>
        <v>6.1664799332457596</v>
      </c>
      <c r="BT45" s="18">
        <f t="shared" si="128"/>
        <v>6.0918168713650998</v>
      </c>
      <c r="BV45" s="68">
        <f t="shared" ref="BV45:BV70" si="129">IF(BR8&gt;0,(BV8/BR8)*100,0)</f>
        <v>-25.933434947150886</v>
      </c>
      <c r="BW45" s="69">
        <f t="shared" ref="BW45:BW70" si="130">IF(BR8&gt;0,BW8/BR8*100,0)</f>
        <v>38.047305219361533</v>
      </c>
      <c r="BX45" s="69">
        <f t="shared" ref="BX45:BX70" si="131">IF(BR8&gt;0,(BX8/BR8)*100,0)</f>
        <v>12.113870272210645</v>
      </c>
      <c r="BZ45" t="str">
        <f>BD45</f>
        <v>11 Corporate managers and directors</v>
      </c>
      <c r="CA45" s="18">
        <f t="shared" ref="CA45:CE54" si="132">CA8/CA$35*100</f>
        <v>5.8192639943115028</v>
      </c>
      <c r="CB45" s="18">
        <f t="shared" si="132"/>
        <v>6.5594428741195339</v>
      </c>
      <c r="CC45" s="18">
        <f t="shared" si="132"/>
        <v>7.3311952941281007</v>
      </c>
      <c r="CD45" s="18">
        <f t="shared" si="132"/>
        <v>7.5591856782335736</v>
      </c>
      <c r="CE45" s="18">
        <f t="shared" si="132"/>
        <v>8.6898051464310893</v>
      </c>
      <c r="CG45" s="68">
        <f t="shared" ref="CG45:CG70" si="133">IF(CC8&gt;0,(CG8/CC8)*100,0)</f>
        <v>-23.668406313725782</v>
      </c>
      <c r="CH45" s="69">
        <f t="shared" ref="CH45:CH70" si="134">IF(CC8&gt;0,CH8/CC8*100,0)</f>
        <v>39.099115764119276</v>
      </c>
      <c r="CI45" s="69">
        <f t="shared" ref="CI45:CI70" si="135">IF(CC8&gt;0,(CI8/CC8)*100,0)</f>
        <v>15.43070945039349</v>
      </c>
      <c r="CK45" t="str">
        <f>BO45</f>
        <v>11 Corporate managers and directors</v>
      </c>
      <c r="CL45" s="18">
        <f t="shared" ref="CL45:CP54" si="136">CL8/CL$35*100</f>
        <v>3.0905956951366313</v>
      </c>
      <c r="CM45" s="18">
        <f t="shared" si="136"/>
        <v>3.7178914839385651</v>
      </c>
      <c r="CN45" s="18">
        <f t="shared" si="136"/>
        <v>3.9251847007314926</v>
      </c>
      <c r="CO45" s="18">
        <f t="shared" si="136"/>
        <v>4.2427449327642197</v>
      </c>
      <c r="CP45" s="18">
        <f t="shared" si="136"/>
        <v>5.5640846045231402</v>
      </c>
      <c r="CR45" s="68">
        <f t="shared" ref="CR45:CR70" si="137">IF(CN8&gt;0,(CR8/CN8)*100,0)</f>
        <v>33.675007937785793</v>
      </c>
      <c r="CS45" s="69">
        <f t="shared" ref="CS45:CS70" si="138">IF(CN8&gt;0,CS8/CN8*100,0)</f>
        <v>34.167554520603019</v>
      </c>
      <c r="CT45" s="69">
        <f t="shared" ref="CT45:CT70" si="139">IF(CN8&gt;0,(CT8/CN8)*100,0)</f>
        <v>67.842562458388826</v>
      </c>
    </row>
    <row r="46" spans="1:98" x14ac:dyDescent="0.2">
      <c r="A46" t="str">
        <f t="shared" si="103"/>
        <v>12 Other managers and proprietors</v>
      </c>
      <c r="B46" s="18">
        <f t="shared" si="104"/>
        <v>3.0027150017333777</v>
      </c>
      <c r="C46" s="18">
        <f t="shared" si="104"/>
        <v>3.144022102834815</v>
      </c>
      <c r="D46" s="18">
        <f t="shared" si="104"/>
        <v>2.9774805980758119</v>
      </c>
      <c r="E46" s="18">
        <f t="shared" si="104"/>
        <v>3.6819549089638581</v>
      </c>
      <c r="F46" s="18">
        <f t="shared" si="104"/>
        <v>4.0317285208857694</v>
      </c>
      <c r="H46" s="68">
        <f t="shared" si="105"/>
        <v>98.058515426865569</v>
      </c>
      <c r="I46" s="69">
        <f t="shared" si="106"/>
        <v>97.687010650207469</v>
      </c>
      <c r="J46" s="69">
        <f t="shared" si="107"/>
        <v>195.74552607707304</v>
      </c>
      <c r="L46" t="str">
        <f t="shared" ref="L46:L69" si="140">A46</f>
        <v>12 Other managers and proprietors</v>
      </c>
      <c r="M46" s="18">
        <f t="shared" si="108"/>
        <v>3.6065124051259017</v>
      </c>
      <c r="N46" s="18">
        <f t="shared" si="108"/>
        <v>3.5605588464723428</v>
      </c>
      <c r="O46" s="18">
        <f t="shared" si="108"/>
        <v>3.5863520266473756</v>
      </c>
      <c r="P46" s="18">
        <f t="shared" si="108"/>
        <v>4.3503182506666311</v>
      </c>
      <c r="Q46" s="18">
        <f t="shared" si="108"/>
        <v>4.8101703048208613</v>
      </c>
      <c r="S46" s="68">
        <f t="shared" si="109"/>
        <v>98.52018265084368</v>
      </c>
      <c r="T46" s="69">
        <f t="shared" si="110"/>
        <v>95.465345812844689</v>
      </c>
      <c r="U46" s="69">
        <f t="shared" si="111"/>
        <v>193.98552846368835</v>
      </c>
      <c r="W46" t="str">
        <f t="shared" ref="W46:W69" si="141">A46</f>
        <v>12 Other managers and proprietors</v>
      </c>
      <c r="X46" s="18">
        <f t="shared" si="112"/>
        <v>4.0184529519997749</v>
      </c>
      <c r="Y46" s="18">
        <f t="shared" si="112"/>
        <v>3.9927911853268041</v>
      </c>
      <c r="Z46" s="18">
        <f t="shared" si="112"/>
        <v>3.8694150487134196</v>
      </c>
      <c r="AA46" s="18">
        <f t="shared" si="112"/>
        <v>4.690617167626506</v>
      </c>
      <c r="AB46" s="18">
        <f t="shared" si="112"/>
        <v>5.0873157690151043</v>
      </c>
      <c r="AD46" s="68">
        <f t="shared" si="113"/>
        <v>61.252647860803741</v>
      </c>
      <c r="AE46" s="69">
        <f t="shared" si="114"/>
        <v>87.867454411286587</v>
      </c>
      <c r="AF46" s="69">
        <f t="shared" si="115"/>
        <v>149.12010227209035</v>
      </c>
      <c r="AH46" t="str">
        <f t="shared" ref="AH46:AH69" si="142">L46</f>
        <v>12 Other managers and proprietors</v>
      </c>
      <c r="AI46" s="18">
        <f t="shared" si="116"/>
        <v>4.0138016035851392</v>
      </c>
      <c r="AJ46" s="18">
        <f t="shared" si="116"/>
        <v>4.3400775376551968</v>
      </c>
      <c r="AK46" s="18">
        <f t="shared" si="116"/>
        <v>4.5074668970535399</v>
      </c>
      <c r="AL46" s="18">
        <f t="shared" si="116"/>
        <v>5.5201976511318165</v>
      </c>
      <c r="AM46" s="18">
        <f t="shared" si="116"/>
        <v>6.1326535962853503</v>
      </c>
      <c r="AO46" s="68">
        <f t="shared" si="117"/>
        <v>53.806251523199997</v>
      </c>
      <c r="AP46" s="69">
        <f t="shared" si="118"/>
        <v>85.550093527696006</v>
      </c>
      <c r="AQ46" s="69">
        <f t="shared" si="119"/>
        <v>139.35634505089598</v>
      </c>
      <c r="AS46" t="str">
        <f t="shared" ref="AS46:AS69" si="143">W46</f>
        <v>12 Other managers and proprietors</v>
      </c>
      <c r="AT46" s="18">
        <f t="shared" si="120"/>
        <v>4.6848656357975376</v>
      </c>
      <c r="AU46" s="18">
        <f t="shared" si="120"/>
        <v>4.6309624845206834</v>
      </c>
      <c r="AV46" s="18">
        <f t="shared" si="120"/>
        <v>4.5743599874043204</v>
      </c>
      <c r="AW46" s="18">
        <f t="shared" si="120"/>
        <v>5.6501516254729278</v>
      </c>
      <c r="AX46" s="18">
        <f t="shared" si="120"/>
        <v>5.9924970058258591</v>
      </c>
      <c r="AZ46" s="68">
        <f t="shared" si="121"/>
        <v>53.744463219879499</v>
      </c>
      <c r="BA46" s="69">
        <f t="shared" si="122"/>
        <v>80.797892042027499</v>
      </c>
      <c r="BB46" s="69">
        <f t="shared" si="123"/>
        <v>134.54235526190701</v>
      </c>
      <c r="BD46" t="str">
        <f t="shared" ref="BD46:BD69" si="144">AH46</f>
        <v>12 Other managers and proprietors</v>
      </c>
      <c r="BE46" s="18">
        <f t="shared" si="124"/>
        <v>3.3438228722529337</v>
      </c>
      <c r="BF46" s="18">
        <f t="shared" si="124"/>
        <v>3.0906355804584216</v>
      </c>
      <c r="BG46" s="18">
        <f t="shared" si="124"/>
        <v>3.1451646256778223</v>
      </c>
      <c r="BH46" s="18">
        <f t="shared" si="124"/>
        <v>3.6653044077313179</v>
      </c>
      <c r="BI46" s="18">
        <f t="shared" si="124"/>
        <v>3.923866289292842</v>
      </c>
      <c r="BK46" s="68">
        <f t="shared" si="125"/>
        <v>22.390254821675924</v>
      </c>
      <c r="BL46" s="69">
        <f t="shared" si="126"/>
        <v>56.996488791323927</v>
      </c>
      <c r="BM46" s="69">
        <f t="shared" si="127"/>
        <v>79.386743612999851</v>
      </c>
      <c r="BO46" t="str">
        <f t="shared" ref="BO46:BO69" si="145">AS46</f>
        <v>12 Other managers and proprietors</v>
      </c>
      <c r="BP46" s="18">
        <f t="shared" si="128"/>
        <v>3.4237850050271232</v>
      </c>
      <c r="BQ46" s="18">
        <f t="shared" si="128"/>
        <v>3.4111247965563694</v>
      </c>
      <c r="BR46" s="18">
        <f t="shared" si="128"/>
        <v>3.5368879959705191</v>
      </c>
      <c r="BS46" s="18">
        <f t="shared" si="128"/>
        <v>4.4596724062369866</v>
      </c>
      <c r="BT46" s="18">
        <f t="shared" si="128"/>
        <v>5.2186960131136075</v>
      </c>
      <c r="BV46" s="68">
        <f t="shared" si="129"/>
        <v>22.56467173289855</v>
      </c>
      <c r="BW46" s="69">
        <f t="shared" si="130"/>
        <v>64.998845906028734</v>
      </c>
      <c r="BX46" s="69">
        <f t="shared" si="131"/>
        <v>87.56351763892728</v>
      </c>
      <c r="BZ46" t="str">
        <f t="shared" ref="BZ46:BZ69" si="146">BD46</f>
        <v>12 Other managers and proprietors</v>
      </c>
      <c r="CA46" s="18">
        <f t="shared" si="132"/>
        <v>3.1262146346385147</v>
      </c>
      <c r="CB46" s="18">
        <f t="shared" si="132"/>
        <v>3.0714827837865455</v>
      </c>
      <c r="CC46" s="18">
        <f t="shared" si="132"/>
        <v>3.0423505593860254</v>
      </c>
      <c r="CD46" s="18">
        <f t="shared" si="132"/>
        <v>3.7670692088292359</v>
      </c>
      <c r="CE46" s="18">
        <f t="shared" si="132"/>
        <v>4.3888054370205882</v>
      </c>
      <c r="CG46" s="68">
        <f t="shared" si="133"/>
        <v>-7.1020450008871023</v>
      </c>
      <c r="CH46" s="69">
        <f t="shared" si="134"/>
        <v>48.199987416680031</v>
      </c>
      <c r="CI46" s="69">
        <f t="shared" si="135"/>
        <v>41.097942415792929</v>
      </c>
      <c r="CK46" t="str">
        <f t="shared" ref="CK46:CK69" si="147">BO46</f>
        <v>12 Other managers and proprietors</v>
      </c>
      <c r="CL46" s="18">
        <f t="shared" si="136"/>
        <v>3.1025903337616874</v>
      </c>
      <c r="CM46" s="18">
        <f t="shared" si="136"/>
        <v>3.1198263170282323</v>
      </c>
      <c r="CN46" s="18">
        <f t="shared" si="136"/>
        <v>3.1278634365059821</v>
      </c>
      <c r="CO46" s="18">
        <f t="shared" si="136"/>
        <v>4.7241557576840263</v>
      </c>
      <c r="CP46" s="18">
        <f t="shared" si="136"/>
        <v>6.4508196552252857</v>
      </c>
      <c r="CR46" s="68">
        <f t="shared" si="137"/>
        <v>94.483923856180468</v>
      </c>
      <c r="CS46" s="69">
        <f t="shared" si="138"/>
        <v>53.097117120008186</v>
      </c>
      <c r="CT46" s="69">
        <f t="shared" si="139"/>
        <v>147.58104097618866</v>
      </c>
    </row>
    <row r="47" spans="1:98" x14ac:dyDescent="0.2">
      <c r="A47" t="str">
        <f t="shared" si="103"/>
        <v>21 Science, research, engineering and technology professionals</v>
      </c>
      <c r="B47" s="18">
        <f t="shared" si="104"/>
        <v>24.338649021101524</v>
      </c>
      <c r="C47" s="18">
        <f t="shared" si="104"/>
        <v>24.328822698828713</v>
      </c>
      <c r="D47" s="18">
        <f t="shared" si="104"/>
        <v>23.994817200567855</v>
      </c>
      <c r="E47" s="18">
        <f t="shared" si="104"/>
        <v>23.453824876005353</v>
      </c>
      <c r="F47" s="18">
        <f t="shared" si="104"/>
        <v>22.860119033473865</v>
      </c>
      <c r="H47" s="68">
        <f t="shared" si="105"/>
        <v>39.351683721040565</v>
      </c>
      <c r="I47" s="69">
        <f t="shared" si="106"/>
        <v>45.939220898504388</v>
      </c>
      <c r="J47" s="69">
        <f t="shared" si="107"/>
        <v>85.29090461954496</v>
      </c>
      <c r="L47" t="str">
        <f t="shared" si="140"/>
        <v>21 Science, research, engineering and technology professionals</v>
      </c>
      <c r="M47" s="18">
        <f t="shared" si="108"/>
        <v>13.968273243895657</v>
      </c>
      <c r="N47" s="18">
        <f t="shared" si="108"/>
        <v>14.14327329836151</v>
      </c>
      <c r="O47" s="18">
        <f t="shared" si="108"/>
        <v>14.908183910724754</v>
      </c>
      <c r="P47" s="18">
        <f t="shared" si="108"/>
        <v>15.254076010116677</v>
      </c>
      <c r="Q47" s="18">
        <f t="shared" si="108"/>
        <v>15.680550432023976</v>
      </c>
      <c r="S47" s="68">
        <f t="shared" si="109"/>
        <v>55.680311394648541</v>
      </c>
      <c r="T47" s="69">
        <f t="shared" si="110"/>
        <v>51.452768202972102</v>
      </c>
      <c r="U47" s="69">
        <f t="shared" si="111"/>
        <v>107.13307959762064</v>
      </c>
      <c r="W47" t="str">
        <f t="shared" si="141"/>
        <v>21 Science, research, engineering and technology professionals</v>
      </c>
      <c r="X47" s="18">
        <f t="shared" si="112"/>
        <v>12.786334734463331</v>
      </c>
      <c r="Y47" s="18">
        <f t="shared" si="112"/>
        <v>12.479613297536769</v>
      </c>
      <c r="Z47" s="18">
        <f t="shared" si="112"/>
        <v>12.449198151808913</v>
      </c>
      <c r="AA47" s="18">
        <f t="shared" si="112"/>
        <v>12.203012591947495</v>
      </c>
      <c r="AB47" s="18">
        <f t="shared" si="112"/>
        <v>11.19580374379392</v>
      </c>
      <c r="AD47" s="68">
        <f t="shared" si="113"/>
        <v>10.300472626331338</v>
      </c>
      <c r="AE47" s="69">
        <f t="shared" si="114"/>
        <v>42.34835123466123</v>
      </c>
      <c r="AF47" s="69">
        <f t="shared" si="115"/>
        <v>52.648823860992565</v>
      </c>
      <c r="AH47" t="str">
        <f t="shared" si="142"/>
        <v>21 Science, research, engineering and technology professionals</v>
      </c>
      <c r="AI47" s="18">
        <f t="shared" si="116"/>
        <v>4.7255478505559969</v>
      </c>
      <c r="AJ47" s="18">
        <f t="shared" si="116"/>
        <v>5.0018848036116026</v>
      </c>
      <c r="AK47" s="18">
        <f t="shared" si="116"/>
        <v>5.1871300960255899</v>
      </c>
      <c r="AL47" s="18">
        <f t="shared" si="116"/>
        <v>5.5652405341595674</v>
      </c>
      <c r="AM47" s="18">
        <f t="shared" si="116"/>
        <v>5.6983167875622103</v>
      </c>
      <c r="AO47" s="68">
        <f t="shared" si="117"/>
        <v>24.18740395253219</v>
      </c>
      <c r="AP47" s="69">
        <f t="shared" si="118"/>
        <v>43.387177268704363</v>
      </c>
      <c r="AQ47" s="69">
        <f t="shared" si="119"/>
        <v>67.574581221236556</v>
      </c>
      <c r="AS47" t="str">
        <f t="shared" si="143"/>
        <v>21 Science, research, engineering and technology professionals</v>
      </c>
      <c r="AT47" s="18">
        <f t="shared" si="120"/>
        <v>11.466290905163</v>
      </c>
      <c r="AU47" s="18">
        <f t="shared" si="120"/>
        <v>10.985676297866737</v>
      </c>
      <c r="AV47" s="18">
        <f t="shared" si="120"/>
        <v>10.812126116852083</v>
      </c>
      <c r="AW47" s="18">
        <f t="shared" si="120"/>
        <v>9.9769613806943998</v>
      </c>
      <c r="AX47" s="18">
        <f t="shared" si="120"/>
        <v>8.7125684447067915</v>
      </c>
      <c r="AZ47" s="68">
        <f t="shared" si="121"/>
        <v>-5.4291923363759409</v>
      </c>
      <c r="BA47" s="69">
        <f t="shared" si="122"/>
        <v>35.677511365730737</v>
      </c>
      <c r="BB47" s="69">
        <f t="shared" si="123"/>
        <v>30.248319029354796</v>
      </c>
      <c r="BD47" t="str">
        <f t="shared" si="144"/>
        <v>21 Science, research, engineering and technology professionals</v>
      </c>
      <c r="BE47" s="18">
        <f t="shared" si="124"/>
        <v>4.2129838070363119</v>
      </c>
      <c r="BF47" s="18">
        <f t="shared" si="124"/>
        <v>4.0522888275276481</v>
      </c>
      <c r="BG47" s="18">
        <f t="shared" si="124"/>
        <v>4.2118175927037145</v>
      </c>
      <c r="BH47" s="18">
        <f t="shared" si="124"/>
        <v>3.7487358910074611</v>
      </c>
      <c r="BI47" s="18">
        <f t="shared" si="124"/>
        <v>3.5148920115626474</v>
      </c>
      <c r="BK47" s="68">
        <f t="shared" si="125"/>
        <v>-18.131194484329519</v>
      </c>
      <c r="BL47" s="69">
        <f t="shared" si="126"/>
        <v>25.026066137855008</v>
      </c>
      <c r="BM47" s="69">
        <f t="shared" si="127"/>
        <v>6.894871653525489</v>
      </c>
      <c r="BO47" t="str">
        <f t="shared" si="145"/>
        <v>21 Science, research, engineering and technology professionals</v>
      </c>
      <c r="BP47" s="18">
        <f t="shared" si="128"/>
        <v>3.2350454863903888</v>
      </c>
      <c r="BQ47" s="18">
        <f t="shared" si="128"/>
        <v>3.3685253210241011</v>
      </c>
      <c r="BR47" s="18">
        <f t="shared" si="128"/>
        <v>3.5132507014250067</v>
      </c>
      <c r="BS47" s="18">
        <f t="shared" si="128"/>
        <v>3.5283427463616346</v>
      </c>
      <c r="BT47" s="18">
        <f t="shared" si="128"/>
        <v>3.6982276456479899</v>
      </c>
      <c r="BV47" s="68">
        <f t="shared" si="129"/>
        <v>-12.560208681640567</v>
      </c>
      <c r="BW47" s="69">
        <f t="shared" si="130"/>
        <v>31.487975883853743</v>
      </c>
      <c r="BX47" s="69">
        <f t="shared" si="131"/>
        <v>18.927767202213179</v>
      </c>
      <c r="BZ47" t="str">
        <f t="shared" si="146"/>
        <v>21 Science, research, engineering and technology professionals</v>
      </c>
      <c r="CA47" s="18">
        <f t="shared" si="132"/>
        <v>3.2193961548898766</v>
      </c>
      <c r="CB47" s="18">
        <f t="shared" si="132"/>
        <v>3.3577047918295659</v>
      </c>
      <c r="CC47" s="18">
        <f t="shared" si="132"/>
        <v>3.6545378990831483</v>
      </c>
      <c r="CD47" s="18">
        <f t="shared" si="132"/>
        <v>4.2180074723508554</v>
      </c>
      <c r="CE47" s="18">
        <f t="shared" si="132"/>
        <v>4.4527482620224355</v>
      </c>
      <c r="CG47" s="68">
        <f t="shared" si="133"/>
        <v>-21.53702819980688</v>
      </c>
      <c r="CH47" s="69">
        <f t="shared" si="134"/>
        <v>28.569790821079287</v>
      </c>
      <c r="CI47" s="69">
        <f t="shared" si="135"/>
        <v>7.0327626212724077</v>
      </c>
      <c r="CK47" t="str">
        <f t="shared" si="147"/>
        <v>21 Science, research, engineering and technology professionals</v>
      </c>
      <c r="CL47" s="18">
        <f t="shared" si="136"/>
        <v>1.8218736251955587</v>
      </c>
      <c r="CM47" s="18">
        <f t="shared" si="136"/>
        <v>2.4278077046056001</v>
      </c>
      <c r="CN47" s="18">
        <f t="shared" si="136"/>
        <v>2.7487770410847876</v>
      </c>
      <c r="CO47" s="18">
        <f t="shared" si="136"/>
        <v>4.3180840971604901</v>
      </c>
      <c r="CP47" s="18">
        <f t="shared" si="136"/>
        <v>6.8570771693977361</v>
      </c>
      <c r="CR47" s="68">
        <f t="shared" si="137"/>
        <v>135.242677170554</v>
      </c>
      <c r="CS47" s="69">
        <f t="shared" si="138"/>
        <v>49.148092113290261</v>
      </c>
      <c r="CT47" s="69">
        <f t="shared" si="139"/>
        <v>184.39076928384429</v>
      </c>
    </row>
    <row r="48" spans="1:98" x14ac:dyDescent="0.2">
      <c r="A48" t="str">
        <f t="shared" si="103"/>
        <v>22 Health professionals</v>
      </c>
      <c r="B48" s="18">
        <f t="shared" si="104"/>
        <v>12.083738558699952</v>
      </c>
      <c r="C48" s="18">
        <f t="shared" si="104"/>
        <v>13.769836208019031</v>
      </c>
      <c r="D48" s="18">
        <f t="shared" si="104"/>
        <v>13.302346543471716</v>
      </c>
      <c r="E48" s="18">
        <f t="shared" si="104"/>
        <v>13.842927390263341</v>
      </c>
      <c r="F48" s="18">
        <f t="shared" si="104"/>
        <v>13.321264266804675</v>
      </c>
      <c r="H48" s="68">
        <f t="shared" si="105"/>
        <v>46.476638590337622</v>
      </c>
      <c r="I48" s="69">
        <f t="shared" si="106"/>
        <v>64.452892617730953</v>
      </c>
      <c r="J48" s="69">
        <f t="shared" si="107"/>
        <v>110.92953120806857</v>
      </c>
      <c r="L48" t="str">
        <f t="shared" si="140"/>
        <v>22 Health professionals</v>
      </c>
      <c r="M48" s="18">
        <f t="shared" si="108"/>
        <v>5.4188151280421222</v>
      </c>
      <c r="N48" s="18">
        <f t="shared" si="108"/>
        <v>6.190152620408111</v>
      </c>
      <c r="O48" s="18">
        <f t="shared" si="108"/>
        <v>6.0252447416079322</v>
      </c>
      <c r="P48" s="18">
        <f t="shared" si="108"/>
        <v>6.1347444588568605</v>
      </c>
      <c r="Q48" s="18">
        <f t="shared" si="108"/>
        <v>5.72355715485193</v>
      </c>
      <c r="S48" s="68">
        <f t="shared" si="109"/>
        <v>40.601016762299565</v>
      </c>
      <c r="T48" s="69">
        <f t="shared" si="110"/>
        <v>66.982263587502317</v>
      </c>
      <c r="U48" s="69">
        <f t="shared" si="111"/>
        <v>107.5832803498019</v>
      </c>
      <c r="W48" t="str">
        <f t="shared" si="141"/>
        <v>22 Health professionals</v>
      </c>
      <c r="X48" s="18">
        <f t="shared" si="112"/>
        <v>5.566334354390821</v>
      </c>
      <c r="Y48" s="18">
        <f t="shared" si="112"/>
        <v>6.3772952608667275</v>
      </c>
      <c r="Z48" s="18">
        <f t="shared" si="112"/>
        <v>6.3071873197774062</v>
      </c>
      <c r="AA48" s="18">
        <f t="shared" si="112"/>
        <v>6.5064999707330688</v>
      </c>
      <c r="AB48" s="18">
        <f t="shared" si="112"/>
        <v>6.2138559365327</v>
      </c>
      <c r="AD48" s="68">
        <f t="shared" si="113"/>
        <v>20.833937260741703</v>
      </c>
      <c r="AE48" s="69">
        <f t="shared" si="114"/>
        <v>64.344905885868002</v>
      </c>
      <c r="AF48" s="69">
        <f t="shared" si="115"/>
        <v>85.178843146609708</v>
      </c>
      <c r="AH48" t="str">
        <f t="shared" si="142"/>
        <v>22 Health professionals</v>
      </c>
      <c r="AI48" s="18">
        <f t="shared" si="116"/>
        <v>10.399544085353412</v>
      </c>
      <c r="AJ48" s="18">
        <f t="shared" si="116"/>
        <v>8.5752544629732004</v>
      </c>
      <c r="AK48" s="18">
        <f t="shared" si="116"/>
        <v>7.5996748632576407</v>
      </c>
      <c r="AL48" s="18">
        <f t="shared" si="116"/>
        <v>4.5689588202124591</v>
      </c>
      <c r="AM48" s="18">
        <f t="shared" si="116"/>
        <v>1.5675386755186218</v>
      </c>
      <c r="AO48" s="68">
        <f t="shared" si="117"/>
        <v>-76.682533995074877</v>
      </c>
      <c r="AP48" s="69">
        <f t="shared" si="118"/>
        <v>20.242827733520389</v>
      </c>
      <c r="AQ48" s="69">
        <f t="shared" si="119"/>
        <v>-56.439706261554491</v>
      </c>
      <c r="AS48" t="str">
        <f t="shared" si="143"/>
        <v>22 Health professionals</v>
      </c>
      <c r="AT48" s="18">
        <f t="shared" si="120"/>
        <v>1.5255533487154069</v>
      </c>
      <c r="AU48" s="18">
        <f t="shared" si="120"/>
        <v>1.7090390588454414</v>
      </c>
      <c r="AV48" s="18">
        <f t="shared" si="120"/>
        <v>1.9074640151405347</v>
      </c>
      <c r="AW48" s="18">
        <f t="shared" si="120"/>
        <v>1.9154149868028043</v>
      </c>
      <c r="AX48" s="18">
        <f t="shared" si="120"/>
        <v>1.8072695130186545</v>
      </c>
      <c r="AZ48" s="68">
        <f t="shared" si="121"/>
        <v>11.195846902224805</v>
      </c>
      <c r="BA48" s="69">
        <f t="shared" si="122"/>
        <v>54.312769771767186</v>
      </c>
      <c r="BB48" s="69">
        <f t="shared" si="123"/>
        <v>65.508616673991995</v>
      </c>
      <c r="BD48" t="str">
        <f t="shared" si="144"/>
        <v>22 Health professionals</v>
      </c>
      <c r="BE48" s="18">
        <f t="shared" si="124"/>
        <v>1.5951084818406549</v>
      </c>
      <c r="BF48" s="18">
        <f t="shared" si="124"/>
        <v>2.0165307278167335</v>
      </c>
      <c r="BG48" s="18">
        <f t="shared" si="124"/>
        <v>2.1012473692178331</v>
      </c>
      <c r="BH48" s="18">
        <f t="shared" si="124"/>
        <v>2.2660958213124882</v>
      </c>
      <c r="BI48" s="18">
        <f t="shared" si="124"/>
        <v>2.4574232559464653</v>
      </c>
      <c r="BK48" s="68">
        <f t="shared" si="125"/>
        <v>14.730477956149389</v>
      </c>
      <c r="BL48" s="69">
        <f t="shared" si="126"/>
        <v>61.888092890897028</v>
      </c>
      <c r="BM48" s="69">
        <f t="shared" si="127"/>
        <v>76.618570847046414</v>
      </c>
      <c r="BO48" t="str">
        <f t="shared" si="145"/>
        <v>22 Health professionals</v>
      </c>
      <c r="BP48" s="18">
        <f t="shared" si="128"/>
        <v>1.2256055731461597</v>
      </c>
      <c r="BQ48" s="18">
        <f t="shared" si="128"/>
        <v>1.4320265112540034</v>
      </c>
      <c r="BR48" s="18">
        <f t="shared" si="128"/>
        <v>1.5572075686278017</v>
      </c>
      <c r="BS48" s="18">
        <f t="shared" si="128"/>
        <v>1.61246196917409</v>
      </c>
      <c r="BT48" s="18">
        <f t="shared" si="128"/>
        <v>1.515609230164084</v>
      </c>
      <c r="BV48" s="68">
        <f t="shared" si="129"/>
        <v>-19.15273197031776</v>
      </c>
      <c r="BW48" s="69">
        <f t="shared" si="130"/>
        <v>44.835531525421501</v>
      </c>
      <c r="BX48" s="69">
        <f t="shared" si="131"/>
        <v>25.682799555103742</v>
      </c>
      <c r="BZ48" t="str">
        <f t="shared" si="146"/>
        <v>22 Health professionals</v>
      </c>
      <c r="CA48" s="18">
        <f t="shared" si="132"/>
        <v>1.0561454595352895</v>
      </c>
      <c r="CB48" s="18">
        <f t="shared" si="132"/>
        <v>1.4354895911813907</v>
      </c>
      <c r="CC48" s="18">
        <f t="shared" si="132"/>
        <v>1.3543170605768626</v>
      </c>
      <c r="CD48" s="18">
        <f t="shared" si="132"/>
        <v>1.52649856645042</v>
      </c>
      <c r="CE48" s="18">
        <f t="shared" si="132"/>
        <v>1.427022682752541</v>
      </c>
      <c r="CG48" s="68">
        <f t="shared" si="133"/>
        <v>-32.145351156362558</v>
      </c>
      <c r="CH48" s="69">
        <f t="shared" si="134"/>
        <v>40.161628824205224</v>
      </c>
      <c r="CI48" s="69">
        <f t="shared" si="135"/>
        <v>8.0162776678426617</v>
      </c>
      <c r="CK48" t="str">
        <f t="shared" si="147"/>
        <v>22 Health professionals</v>
      </c>
      <c r="CL48" s="18">
        <f t="shared" si="136"/>
        <v>0.36238483795396537</v>
      </c>
      <c r="CM48" s="18">
        <f t="shared" si="136"/>
        <v>0.58979676007689641</v>
      </c>
      <c r="CN48" s="18">
        <f t="shared" si="136"/>
        <v>0.68638253839154084</v>
      </c>
      <c r="CO48" s="18">
        <f t="shared" si="136"/>
        <v>1.2819098716959239</v>
      </c>
      <c r="CP48" s="18">
        <f t="shared" si="136"/>
        <v>2.6890369977430018</v>
      </c>
      <c r="CR48" s="68">
        <f t="shared" si="137"/>
        <v>269.44274467383582</v>
      </c>
      <c r="CS48" s="69">
        <f t="shared" si="138"/>
        <v>86.351760859898846</v>
      </c>
      <c r="CT48" s="69">
        <f t="shared" si="139"/>
        <v>355.79450553373471</v>
      </c>
    </row>
    <row r="49" spans="1:98" x14ac:dyDescent="0.2">
      <c r="A49" t="str">
        <f t="shared" si="103"/>
        <v>23 Teaching and other educational professionals</v>
      </c>
      <c r="B49" s="18">
        <f t="shared" si="104"/>
        <v>24.950850964390877</v>
      </c>
      <c r="C49" s="18">
        <f t="shared" si="104"/>
        <v>23.139934748313991</v>
      </c>
      <c r="D49" s="18">
        <f t="shared" si="104"/>
        <v>22.512260628341433</v>
      </c>
      <c r="E49" s="18">
        <f t="shared" si="104"/>
        <v>21.726325413744902</v>
      </c>
      <c r="F49" s="18">
        <f t="shared" si="104"/>
        <v>20.181604760458491</v>
      </c>
      <c r="H49" s="68">
        <f t="shared" si="105"/>
        <v>31.12568420197962</v>
      </c>
      <c r="I49" s="69">
        <f t="shared" si="106"/>
        <v>59.466453730885171</v>
      </c>
      <c r="J49" s="69">
        <f t="shared" si="107"/>
        <v>90.592137932864787</v>
      </c>
      <c r="L49" t="str">
        <f t="shared" si="140"/>
        <v>23 Teaching and other educational professionals</v>
      </c>
      <c r="M49" s="18">
        <f t="shared" si="108"/>
        <v>19.907198549009703</v>
      </c>
      <c r="N49" s="18">
        <f t="shared" si="108"/>
        <v>18.659230192304225</v>
      </c>
      <c r="O49" s="18">
        <f t="shared" si="108"/>
        <v>17.69646542598905</v>
      </c>
      <c r="P49" s="18">
        <f t="shared" si="108"/>
        <v>16.891354283929068</v>
      </c>
      <c r="Q49" s="18">
        <f t="shared" si="108"/>
        <v>15.303770414879775</v>
      </c>
      <c r="S49" s="68">
        <f t="shared" si="109"/>
        <v>27.999725883293436</v>
      </c>
      <c r="T49" s="69">
        <f t="shared" si="110"/>
        <v>61.709176955562739</v>
      </c>
      <c r="U49" s="69">
        <f t="shared" si="111"/>
        <v>89.708902838856176</v>
      </c>
      <c r="W49" t="str">
        <f t="shared" si="141"/>
        <v>23 Teaching and other educational professionals</v>
      </c>
      <c r="X49" s="18">
        <f t="shared" si="112"/>
        <v>6.8135311905350173</v>
      </c>
      <c r="Y49" s="18">
        <f t="shared" si="112"/>
        <v>5.703720413095243</v>
      </c>
      <c r="Z49" s="18">
        <f t="shared" si="112"/>
        <v>5.5974990648631113</v>
      </c>
      <c r="AA49" s="18">
        <f t="shared" si="112"/>
        <v>4.6896938904492576</v>
      </c>
      <c r="AB49" s="18">
        <f t="shared" si="112"/>
        <v>3.6194154796286031</v>
      </c>
      <c r="AD49" s="68">
        <f t="shared" si="113"/>
        <v>-20.693663979907377</v>
      </c>
      <c r="AE49" s="69">
        <f t="shared" si="114"/>
        <v>45.403747130461568</v>
      </c>
      <c r="AF49" s="69">
        <f t="shared" si="115"/>
        <v>24.71008315055419</v>
      </c>
      <c r="AH49" t="str">
        <f t="shared" si="142"/>
        <v>23 Teaching and other educational professionals</v>
      </c>
      <c r="AI49" s="18">
        <f t="shared" si="116"/>
        <v>3.3118635359894566</v>
      </c>
      <c r="AJ49" s="18">
        <f t="shared" si="116"/>
        <v>1.9300674498996175</v>
      </c>
      <c r="AK49" s="18">
        <f t="shared" si="116"/>
        <v>1.6994418310207642</v>
      </c>
      <c r="AL49" s="18">
        <f t="shared" si="116"/>
        <v>1.1871689256681157</v>
      </c>
      <c r="AM49" s="18">
        <f t="shared" si="116"/>
        <v>1.0783105736111227</v>
      </c>
      <c r="AO49" s="68">
        <f t="shared" si="117"/>
        <v>-28.27085412661387</v>
      </c>
      <c r="AP49" s="69">
        <f t="shared" si="118"/>
        <v>22.581263599369265</v>
      </c>
      <c r="AQ49" s="69">
        <f t="shared" si="119"/>
        <v>-5.6895905272446079</v>
      </c>
      <c r="AS49" t="str">
        <f t="shared" si="143"/>
        <v>23 Teaching and other educational professionals</v>
      </c>
      <c r="AT49" s="18">
        <f t="shared" si="120"/>
        <v>0.88136744653821864</v>
      </c>
      <c r="AU49" s="18">
        <f t="shared" si="120"/>
        <v>0.81002030657523183</v>
      </c>
      <c r="AV49" s="18">
        <f t="shared" si="120"/>
        <v>0.8113494034806773</v>
      </c>
      <c r="AW49" s="18">
        <f t="shared" si="120"/>
        <v>0.67069989564757448</v>
      </c>
      <c r="AX49" s="18">
        <f t="shared" si="120"/>
        <v>0.54277049852611159</v>
      </c>
      <c r="AZ49" s="68">
        <f t="shared" si="121"/>
        <v>-21.489035794674404</v>
      </c>
      <c r="BA49" s="69">
        <f t="shared" si="122"/>
        <v>41.203595333871448</v>
      </c>
      <c r="BB49" s="69">
        <f t="shared" si="123"/>
        <v>19.71455953919704</v>
      </c>
      <c r="BD49" t="str">
        <f t="shared" si="144"/>
        <v>23 Teaching and other educational professionals</v>
      </c>
      <c r="BE49" s="18">
        <f t="shared" si="124"/>
        <v>0.88487288815512888</v>
      </c>
      <c r="BF49" s="18">
        <f t="shared" si="124"/>
        <v>0.86361200758420831</v>
      </c>
      <c r="BG49" s="18">
        <f t="shared" si="124"/>
        <v>0.9384723210876541</v>
      </c>
      <c r="BH49" s="18">
        <f t="shared" si="124"/>
        <v>1.0026636627122059</v>
      </c>
      <c r="BI49" s="18">
        <f t="shared" si="124"/>
        <v>1.2007936007269839</v>
      </c>
      <c r="BK49" s="68">
        <f t="shared" si="125"/>
        <v>25.522886646508862</v>
      </c>
      <c r="BL49" s="69">
        <f t="shared" si="126"/>
        <v>46.434167702545523</v>
      </c>
      <c r="BM49" s="69">
        <f t="shared" si="127"/>
        <v>71.957054349054388</v>
      </c>
      <c r="BO49" t="str">
        <f t="shared" si="145"/>
        <v>23 Teaching and other educational professionals</v>
      </c>
      <c r="BP49" s="18">
        <f t="shared" si="128"/>
        <v>0.75165639600962786</v>
      </c>
      <c r="BQ49" s="18">
        <f t="shared" si="128"/>
        <v>0.72730856295626667</v>
      </c>
      <c r="BR49" s="18">
        <f t="shared" si="128"/>
        <v>0.79894304040350994</v>
      </c>
      <c r="BS49" s="18">
        <f t="shared" si="128"/>
        <v>0.80175599949354059</v>
      </c>
      <c r="BT49" s="18">
        <f t="shared" si="128"/>
        <v>0.87788185118178197</v>
      </c>
      <c r="BV49" s="68">
        <f t="shared" si="129"/>
        <v>-8.7264660183113953</v>
      </c>
      <c r="BW49" s="69">
        <f t="shared" si="130"/>
        <v>43.418718657764735</v>
      </c>
      <c r="BX49" s="69">
        <f t="shared" si="131"/>
        <v>34.692252639453343</v>
      </c>
      <c r="BZ49" t="str">
        <f t="shared" si="146"/>
        <v>23 Teaching and other educational professionals</v>
      </c>
      <c r="CA49" s="18">
        <f t="shared" si="132"/>
        <v>0.7407513216397511</v>
      </c>
      <c r="CB49" s="18">
        <f t="shared" si="132"/>
        <v>0.77187933416722643</v>
      </c>
      <c r="CC49" s="18">
        <f t="shared" si="132"/>
        <v>0.84004055090348717</v>
      </c>
      <c r="CD49" s="18">
        <f t="shared" si="132"/>
        <v>1.0114147271883345</v>
      </c>
      <c r="CE49" s="18">
        <f t="shared" si="132"/>
        <v>1.3879143171965218</v>
      </c>
      <c r="CG49" s="68">
        <f t="shared" si="133"/>
        <v>6.3975150729716797</v>
      </c>
      <c r="CH49" s="69">
        <f t="shared" si="134"/>
        <v>47.126023280516932</v>
      </c>
      <c r="CI49" s="69">
        <f t="shared" si="135"/>
        <v>53.523538353488611</v>
      </c>
      <c r="CK49" t="str">
        <f t="shared" si="147"/>
        <v>23 Teaching and other educational professionals</v>
      </c>
      <c r="CL49" s="18">
        <f t="shared" si="136"/>
        <v>0.34929552250613194</v>
      </c>
      <c r="CM49" s="18">
        <f t="shared" si="136"/>
        <v>0.45844878670341987</v>
      </c>
      <c r="CN49" s="18">
        <f t="shared" si="136"/>
        <v>0.57800162157261548</v>
      </c>
      <c r="CO49" s="18">
        <f t="shared" si="136"/>
        <v>0.8491776411711095</v>
      </c>
      <c r="CP49" s="18">
        <f t="shared" si="136"/>
        <v>1.0553214733314167</v>
      </c>
      <c r="CR49" s="68">
        <f t="shared" si="137"/>
        <v>72.175879157351218</v>
      </c>
      <c r="CS49" s="69">
        <f t="shared" si="138"/>
        <v>50.645695154688177</v>
      </c>
      <c r="CT49" s="69">
        <f t="shared" si="139"/>
        <v>122.82157431203939</v>
      </c>
    </row>
    <row r="50" spans="1:98" x14ac:dyDescent="0.2">
      <c r="A50" t="str">
        <f t="shared" si="103"/>
        <v>24 Business, media and public service professionals</v>
      </c>
      <c r="B50" s="18">
        <f t="shared" si="104"/>
        <v>8.1431902508062848</v>
      </c>
      <c r="C50" s="18">
        <f t="shared" si="104"/>
        <v>8.3123540804273972</v>
      </c>
      <c r="D50" s="18">
        <f t="shared" si="104"/>
        <v>8.8534907202329372</v>
      </c>
      <c r="E50" s="18">
        <f t="shared" si="104"/>
        <v>9.6269548877616895</v>
      </c>
      <c r="F50" s="18">
        <f t="shared" si="104"/>
        <v>10.231743747848638</v>
      </c>
      <c r="H50" s="68">
        <f t="shared" si="105"/>
        <v>69.038759540796846</v>
      </c>
      <c r="I50" s="69">
        <f t="shared" si="106"/>
        <v>67.723861136237559</v>
      </c>
      <c r="J50" s="69">
        <f t="shared" si="107"/>
        <v>136.76262067703442</v>
      </c>
      <c r="L50" t="str">
        <f t="shared" si="140"/>
        <v>24 Business, media and public service professionals</v>
      </c>
      <c r="M50" s="18">
        <f t="shared" si="108"/>
        <v>14.349815870253057</v>
      </c>
      <c r="N50" s="18">
        <f t="shared" si="108"/>
        <v>14.852231632449264</v>
      </c>
      <c r="O50" s="18">
        <f t="shared" si="108"/>
        <v>14.926389579938975</v>
      </c>
      <c r="P50" s="18">
        <f t="shared" si="108"/>
        <v>15.341123201574824</v>
      </c>
      <c r="Q50" s="18">
        <f t="shared" si="108"/>
        <v>15.084340839385604</v>
      </c>
      <c r="S50" s="68">
        <f t="shared" si="109"/>
        <v>49.578334813606155</v>
      </c>
      <c r="T50" s="69">
        <f t="shared" si="110"/>
        <v>63.429557118249257</v>
      </c>
      <c r="U50" s="69">
        <f t="shared" si="111"/>
        <v>113.00789193185543</v>
      </c>
      <c r="W50" t="str">
        <f t="shared" si="141"/>
        <v>24 Business, media and public service professionals</v>
      </c>
      <c r="X50" s="18">
        <f t="shared" si="112"/>
        <v>12.469629409127583</v>
      </c>
      <c r="Y50" s="18">
        <f t="shared" si="112"/>
        <v>12.510313462757155</v>
      </c>
      <c r="Z50" s="18">
        <f t="shared" si="112"/>
        <v>12.979755196931942</v>
      </c>
      <c r="AA50" s="18">
        <f t="shared" si="112"/>
        <v>13.375096244632728</v>
      </c>
      <c r="AB50" s="18">
        <f t="shared" si="112"/>
        <v>12.722994291018102</v>
      </c>
      <c r="AD50" s="68">
        <f t="shared" si="113"/>
        <v>20.22265279434281</v>
      </c>
      <c r="AE50" s="69">
        <f t="shared" si="114"/>
        <v>57.646737597453438</v>
      </c>
      <c r="AF50" s="69">
        <f t="shared" si="115"/>
        <v>77.869390391796244</v>
      </c>
      <c r="AH50" t="str">
        <f t="shared" si="142"/>
        <v>24 Business, media and public service professionals</v>
      </c>
      <c r="AI50" s="18">
        <f t="shared" si="116"/>
        <v>4.6705945241705731</v>
      </c>
      <c r="AJ50" s="18">
        <f t="shared" si="116"/>
        <v>4.499058049618764</v>
      </c>
      <c r="AK50" s="18">
        <f t="shared" si="116"/>
        <v>4.8248512728273178</v>
      </c>
      <c r="AL50" s="18">
        <f t="shared" si="116"/>
        <v>4.7004885736586903</v>
      </c>
      <c r="AM50" s="18">
        <f t="shared" si="116"/>
        <v>4.5120468083097887</v>
      </c>
      <c r="AO50" s="68">
        <f t="shared" si="117"/>
        <v>5.7177144516055787</v>
      </c>
      <c r="AP50" s="69">
        <f t="shared" si="118"/>
        <v>38.658613676279664</v>
      </c>
      <c r="AQ50" s="69">
        <f t="shared" si="119"/>
        <v>44.376328127885238</v>
      </c>
      <c r="AS50" t="str">
        <f t="shared" si="143"/>
        <v>24 Business, media and public service professionals</v>
      </c>
      <c r="AT50" s="18">
        <f t="shared" si="120"/>
        <v>7.0447193016351228</v>
      </c>
      <c r="AU50" s="18">
        <f t="shared" si="120"/>
        <v>6.9765037389879829</v>
      </c>
      <c r="AV50" s="18">
        <f t="shared" si="120"/>
        <v>7.2863083142673926</v>
      </c>
      <c r="AW50" s="18">
        <f t="shared" si="120"/>
        <v>7.7591555078529995</v>
      </c>
      <c r="AX50" s="18">
        <f t="shared" si="120"/>
        <v>7.7164871714739718</v>
      </c>
      <c r="AZ50" s="68">
        <f t="shared" si="121"/>
        <v>24.289400266069077</v>
      </c>
      <c r="BA50" s="69">
        <f t="shared" si="122"/>
        <v>55.562211597955468</v>
      </c>
      <c r="BB50" s="69">
        <f t="shared" si="123"/>
        <v>79.851611864024548</v>
      </c>
      <c r="BD50" t="str">
        <f t="shared" si="144"/>
        <v>24 Business, media and public service professionals</v>
      </c>
      <c r="BE50" s="18">
        <f t="shared" si="124"/>
        <v>4.1145378214112291</v>
      </c>
      <c r="BF50" s="18">
        <f t="shared" si="124"/>
        <v>4.3668530015383267</v>
      </c>
      <c r="BG50" s="18">
        <f t="shared" si="124"/>
        <v>4.7824417624905822</v>
      </c>
      <c r="BH50" s="18">
        <f t="shared" si="124"/>
        <v>5.3023624598540016</v>
      </c>
      <c r="BI50" s="18">
        <f t="shared" si="124"/>
        <v>5.6818154792590487</v>
      </c>
      <c r="BK50" s="68">
        <f t="shared" si="125"/>
        <v>16.550316453954782</v>
      </c>
      <c r="BL50" s="69">
        <f t="shared" si="126"/>
        <v>45.632193572089022</v>
      </c>
      <c r="BM50" s="69">
        <f t="shared" si="127"/>
        <v>62.182510026043801</v>
      </c>
      <c r="BO50" t="str">
        <f t="shared" si="145"/>
        <v>24 Business, media and public service professionals</v>
      </c>
      <c r="BP50" s="18">
        <f t="shared" si="128"/>
        <v>3.0852230300237151</v>
      </c>
      <c r="BQ50" s="18">
        <f t="shared" si="128"/>
        <v>3.3360136436287422</v>
      </c>
      <c r="BR50" s="18">
        <f t="shared" si="128"/>
        <v>3.5703241366836753</v>
      </c>
      <c r="BS50" s="18">
        <f t="shared" si="128"/>
        <v>3.8099931712229891</v>
      </c>
      <c r="BT50" s="18">
        <f t="shared" si="128"/>
        <v>3.8606402936295914</v>
      </c>
      <c r="BV50" s="68">
        <f t="shared" si="129"/>
        <v>-10.179326641206201</v>
      </c>
      <c r="BW50" s="69">
        <f t="shared" si="130"/>
        <v>39.375659016682697</v>
      </c>
      <c r="BX50" s="69">
        <f t="shared" si="131"/>
        <v>29.196332375476491</v>
      </c>
      <c r="BZ50" t="str">
        <f t="shared" si="146"/>
        <v>24 Business, media and public service professionals</v>
      </c>
      <c r="CA50" s="18">
        <f t="shared" si="132"/>
        <v>2.7400990574059194</v>
      </c>
      <c r="CB50" s="18">
        <f t="shared" si="132"/>
        <v>3.0691640027885994</v>
      </c>
      <c r="CC50" s="18">
        <f t="shared" si="132"/>
        <v>3.4155402501734518</v>
      </c>
      <c r="CD50" s="18">
        <f t="shared" si="132"/>
        <v>3.8091712268898994</v>
      </c>
      <c r="CE50" s="18">
        <f t="shared" si="132"/>
        <v>3.7468416920293963</v>
      </c>
      <c r="CG50" s="68">
        <f t="shared" si="133"/>
        <v>-29.35604311234971</v>
      </c>
      <c r="CH50" s="69">
        <f t="shared" si="134"/>
        <v>34.967365333624642</v>
      </c>
      <c r="CI50" s="69">
        <f t="shared" si="135"/>
        <v>5.6113222212749285</v>
      </c>
      <c r="CK50" t="str">
        <f t="shared" si="147"/>
        <v>24 Business, media and public service professionals</v>
      </c>
      <c r="CL50" s="18">
        <f t="shared" si="136"/>
        <v>1.6843298478232478</v>
      </c>
      <c r="CM50" s="18">
        <f t="shared" si="136"/>
        <v>2.1217005201269088</v>
      </c>
      <c r="CN50" s="18">
        <f t="shared" si="136"/>
        <v>2.4602514589258337</v>
      </c>
      <c r="CO50" s="18">
        <f t="shared" si="136"/>
        <v>3.4720200389790894</v>
      </c>
      <c r="CP50" s="18">
        <f t="shared" si="136"/>
        <v>5.2832643340102337</v>
      </c>
      <c r="CR50" s="68">
        <f t="shared" si="137"/>
        <v>102.5067169606761</v>
      </c>
      <c r="CS50" s="69">
        <f t="shared" si="138"/>
        <v>48.797093697134294</v>
      </c>
      <c r="CT50" s="69">
        <f t="shared" si="139"/>
        <v>151.3038106578104</v>
      </c>
    </row>
    <row r="51" spans="1:98" x14ac:dyDescent="0.2">
      <c r="A51" t="str">
        <f t="shared" si="103"/>
        <v>31 Science, engineering and technology associate professionals</v>
      </c>
      <c r="B51" s="18">
        <f t="shared" si="104"/>
        <v>2.6088805536001738</v>
      </c>
      <c r="C51" s="18">
        <f t="shared" si="104"/>
        <v>2.9306608035222266</v>
      </c>
      <c r="D51" s="18">
        <f t="shared" si="104"/>
        <v>3.074477349745913</v>
      </c>
      <c r="E51" s="18">
        <f t="shared" si="104"/>
        <v>2.8435790014365843</v>
      </c>
      <c r="F51" s="18">
        <f t="shared" si="104"/>
        <v>3.1922500526584976</v>
      </c>
      <c r="H51" s="68">
        <f t="shared" si="105"/>
        <v>51.87167528606571</v>
      </c>
      <c r="I51" s="69">
        <f t="shared" si="106"/>
        <v>57.458793554394013</v>
      </c>
      <c r="J51" s="69">
        <f t="shared" si="107"/>
        <v>109.33046884045972</v>
      </c>
      <c r="L51" t="str">
        <f t="shared" si="140"/>
        <v>31 Science, engineering and technology associate professionals</v>
      </c>
      <c r="M51" s="18">
        <f t="shared" si="108"/>
        <v>2.0131189630650455</v>
      </c>
      <c r="N51" s="18">
        <f t="shared" si="108"/>
        <v>2.1344650958802247</v>
      </c>
      <c r="O51" s="18">
        <f t="shared" si="108"/>
        <v>2.3441089282145327</v>
      </c>
      <c r="P51" s="18">
        <f t="shared" si="108"/>
        <v>1.9212689468806226</v>
      </c>
      <c r="Q51" s="18">
        <f t="shared" si="108"/>
        <v>1.9148934654304197</v>
      </c>
      <c r="S51" s="68">
        <f t="shared" si="109"/>
        <v>20.910483488815856</v>
      </c>
      <c r="T51" s="69">
        <f t="shared" si="110"/>
        <v>46.021377082606953</v>
      </c>
      <c r="U51" s="69">
        <f t="shared" si="111"/>
        <v>66.931860571422803</v>
      </c>
      <c r="W51" t="str">
        <f t="shared" si="141"/>
        <v>31 Science, engineering and technology associate professionals</v>
      </c>
      <c r="X51" s="18">
        <f t="shared" si="112"/>
        <v>2.5349597979204943</v>
      </c>
      <c r="Y51" s="18">
        <f t="shared" si="112"/>
        <v>2.7368598499929697</v>
      </c>
      <c r="Z51" s="18">
        <f t="shared" si="112"/>
        <v>2.8487127702671651</v>
      </c>
      <c r="AA51" s="18">
        <f t="shared" si="112"/>
        <v>2.4524576457162515</v>
      </c>
      <c r="AB51" s="18">
        <f t="shared" si="112"/>
        <v>2.4003960160655873</v>
      </c>
      <c r="AD51" s="68">
        <f t="shared" si="113"/>
        <v>3.3469611179893977</v>
      </c>
      <c r="AE51" s="69">
        <f t="shared" si="114"/>
        <v>43.78834163934706</v>
      </c>
      <c r="AF51" s="69">
        <f t="shared" si="115"/>
        <v>47.135302757336454</v>
      </c>
      <c r="AH51" t="str">
        <f t="shared" si="142"/>
        <v>31 Science, engineering and technology associate professionals</v>
      </c>
      <c r="AI51" s="18">
        <f t="shared" si="116"/>
        <v>1.363467257928046</v>
      </c>
      <c r="AJ51" s="18">
        <f t="shared" si="116"/>
        <v>1.5544663035789517</v>
      </c>
      <c r="AK51" s="18">
        <f t="shared" si="116"/>
        <v>1.735580736110937</v>
      </c>
      <c r="AL51" s="18">
        <f t="shared" si="116"/>
        <v>1.7565057212662061</v>
      </c>
      <c r="AM51" s="18">
        <f t="shared" si="116"/>
        <v>2.0631142084183329</v>
      </c>
      <c r="AO51" s="68">
        <f t="shared" si="117"/>
        <v>34.380591560316532</v>
      </c>
      <c r="AP51" s="69">
        <f t="shared" si="118"/>
        <v>54.407173434564541</v>
      </c>
      <c r="AQ51" s="69">
        <f t="shared" si="119"/>
        <v>88.787764994881073</v>
      </c>
      <c r="AS51" t="str">
        <f t="shared" si="143"/>
        <v>31 Science, engineering and technology associate professionals</v>
      </c>
      <c r="AT51" s="18">
        <f t="shared" si="120"/>
        <v>3.4772576171072482</v>
      </c>
      <c r="AU51" s="18">
        <f t="shared" si="120"/>
        <v>3.4321646845473905</v>
      </c>
      <c r="AV51" s="18">
        <f t="shared" si="120"/>
        <v>3.5270437703920123</v>
      </c>
      <c r="AW51" s="18">
        <f t="shared" si="120"/>
        <v>2.8168906442231778</v>
      </c>
      <c r="AX51" s="18">
        <f t="shared" si="120"/>
        <v>2.4306898862999149</v>
      </c>
      <c r="AZ51" s="68">
        <f t="shared" si="121"/>
        <v>-19.120081917525614</v>
      </c>
      <c r="BA51" s="69">
        <f t="shared" si="122"/>
        <v>32.46536208526836</v>
      </c>
      <c r="BB51" s="69">
        <f t="shared" si="123"/>
        <v>13.345280167742748</v>
      </c>
      <c r="BD51" t="str">
        <f t="shared" si="144"/>
        <v>31 Science, engineering and technology associate professionals</v>
      </c>
      <c r="BE51" s="18">
        <f t="shared" si="124"/>
        <v>1.5170396273509963</v>
      </c>
      <c r="BF51" s="18">
        <f t="shared" si="124"/>
        <v>1.4003616080039811</v>
      </c>
      <c r="BG51" s="18">
        <f t="shared" si="124"/>
        <v>1.5839678736385028</v>
      </c>
      <c r="BH51" s="18">
        <f t="shared" si="124"/>
        <v>1.1645294668540713</v>
      </c>
      <c r="BI51" s="18">
        <f t="shared" si="124"/>
        <v>0.87699027138802388</v>
      </c>
      <c r="BK51" s="68">
        <f t="shared" si="125"/>
        <v>-45.684419130457769</v>
      </c>
      <c r="BL51" s="69">
        <f t="shared" si="126"/>
        <v>24.507519896462547</v>
      </c>
      <c r="BM51" s="69">
        <f t="shared" si="127"/>
        <v>-21.176899233995222</v>
      </c>
      <c r="BO51" t="str">
        <f t="shared" si="145"/>
        <v>31 Science, engineering and technology associate professionals</v>
      </c>
      <c r="BP51" s="18">
        <f t="shared" si="128"/>
        <v>1.1504891745700951</v>
      </c>
      <c r="BQ51" s="18">
        <f t="shared" si="128"/>
        <v>1.2749346330956959</v>
      </c>
      <c r="BR51" s="18">
        <f t="shared" si="128"/>
        <v>1.4176819594319299</v>
      </c>
      <c r="BS51" s="18">
        <f t="shared" si="128"/>
        <v>1.2218721928287719</v>
      </c>
      <c r="BT51" s="18">
        <f t="shared" si="128"/>
        <v>1.3267344361786688</v>
      </c>
      <c r="BV51" s="68">
        <f t="shared" si="129"/>
        <v>-22.262637411313481</v>
      </c>
      <c r="BW51" s="69">
        <f t="shared" si="130"/>
        <v>31.91046751366493</v>
      </c>
      <c r="BX51" s="69">
        <f t="shared" si="131"/>
        <v>9.6478301023514526</v>
      </c>
      <c r="BZ51" t="str">
        <f t="shared" si="146"/>
        <v>31 Science, engineering and technology associate professionals</v>
      </c>
      <c r="CA51" s="18">
        <f t="shared" si="132"/>
        <v>1.4256816687402991</v>
      </c>
      <c r="CB51" s="18">
        <f t="shared" si="132"/>
        <v>1.5791765331636349</v>
      </c>
      <c r="CC51" s="18">
        <f t="shared" si="132"/>
        <v>1.8660323487292141</v>
      </c>
      <c r="CD51" s="18">
        <f t="shared" si="132"/>
        <v>1.7517140931404747</v>
      </c>
      <c r="CE51" s="18">
        <f t="shared" si="132"/>
        <v>2.0406419611421982</v>
      </c>
      <c r="CG51" s="68">
        <f t="shared" si="133"/>
        <v>-29.576642794545055</v>
      </c>
      <c r="CH51" s="69">
        <f t="shared" si="134"/>
        <v>28.450866663291169</v>
      </c>
      <c r="CI51" s="69">
        <f t="shared" si="135"/>
        <v>-1.1257761312538865</v>
      </c>
      <c r="CK51" t="str">
        <f t="shared" si="147"/>
        <v>31 Science, engineering and technology associate professionals</v>
      </c>
      <c r="CL51" s="18">
        <f t="shared" si="136"/>
        <v>0.79608420237524313</v>
      </c>
      <c r="CM51" s="18">
        <f t="shared" si="136"/>
        <v>1.0700534505939876</v>
      </c>
      <c r="CN51" s="18">
        <f t="shared" si="136"/>
        <v>1.4266975302670444</v>
      </c>
      <c r="CO51" s="18">
        <f t="shared" si="136"/>
        <v>1.9218871071681309</v>
      </c>
      <c r="CP51" s="18">
        <f t="shared" si="136"/>
        <v>3.4017424055296153</v>
      </c>
      <c r="CR51" s="68">
        <f t="shared" si="137"/>
        <v>124.84648640936533</v>
      </c>
      <c r="CS51" s="69">
        <f t="shared" si="138"/>
        <v>54.365627720321228</v>
      </c>
      <c r="CT51" s="69">
        <f t="shared" si="139"/>
        <v>179.21211412968657</v>
      </c>
    </row>
    <row r="52" spans="1:98" x14ac:dyDescent="0.2">
      <c r="A52" t="str">
        <f t="shared" si="103"/>
        <v>32 Health and social care associate professionals</v>
      </c>
      <c r="B52" s="18">
        <f t="shared" si="104"/>
        <v>0.5130737134626695</v>
      </c>
      <c r="C52" s="18">
        <f t="shared" si="104"/>
        <v>0.54247901827669154</v>
      </c>
      <c r="D52" s="18">
        <f t="shared" si="104"/>
        <v>0.49367989561281661</v>
      </c>
      <c r="E52" s="18">
        <f t="shared" si="104"/>
        <v>0.5418707133977877</v>
      </c>
      <c r="F52" s="18">
        <f t="shared" si="104"/>
        <v>0.57185476858815731</v>
      </c>
      <c r="H52" s="68">
        <f t="shared" si="105"/>
        <v>69.430457716165762</v>
      </c>
      <c r="I52" s="69">
        <f t="shared" si="106"/>
        <v>84.109535448829348</v>
      </c>
      <c r="J52" s="69">
        <f t="shared" si="107"/>
        <v>153.53999316499508</v>
      </c>
      <c r="L52" t="str">
        <f t="shared" si="140"/>
        <v>32 Health and social care associate professionals</v>
      </c>
      <c r="M52" s="18">
        <f t="shared" si="108"/>
        <v>1.4470309883128212</v>
      </c>
      <c r="N52" s="18">
        <f t="shared" si="108"/>
        <v>1.6288976170161464</v>
      </c>
      <c r="O52" s="18">
        <f t="shared" si="108"/>
        <v>1.5876450167370562</v>
      </c>
      <c r="P52" s="18">
        <f t="shared" si="108"/>
        <v>1.606560163870717</v>
      </c>
      <c r="Q52" s="18">
        <f t="shared" si="108"/>
        <v>1.6063041891873218</v>
      </c>
      <c r="S52" s="68">
        <f t="shared" si="109"/>
        <v>49.751615812034615</v>
      </c>
      <c r="T52" s="69">
        <f t="shared" si="110"/>
        <v>74.41607563088057</v>
      </c>
      <c r="U52" s="69">
        <f t="shared" si="111"/>
        <v>124.1676914429152</v>
      </c>
      <c r="W52" t="str">
        <f t="shared" si="141"/>
        <v>32 Health and social care associate professionals</v>
      </c>
      <c r="X52" s="18">
        <f t="shared" si="112"/>
        <v>2.0278791880893516</v>
      </c>
      <c r="Y52" s="18">
        <f t="shared" si="112"/>
        <v>2.292515780561895</v>
      </c>
      <c r="Z52" s="18">
        <f t="shared" si="112"/>
        <v>2.3275593078675008</v>
      </c>
      <c r="AA52" s="18">
        <f t="shared" si="112"/>
        <v>2.3716347533602606</v>
      </c>
      <c r="AB52" s="18">
        <f t="shared" si="112"/>
        <v>2.4035917928808335</v>
      </c>
      <c r="AD52" s="68">
        <f t="shared" si="113"/>
        <v>26.655318838020204</v>
      </c>
      <c r="AE52" s="69">
        <f t="shared" si="114"/>
        <v>71.4430964452269</v>
      </c>
      <c r="AF52" s="69">
        <f t="shared" si="115"/>
        <v>98.098415283247093</v>
      </c>
      <c r="AH52" t="str">
        <f t="shared" si="142"/>
        <v>32 Health and social care associate professionals</v>
      </c>
      <c r="AI52" s="18">
        <f t="shared" si="116"/>
        <v>4.9733146628497353</v>
      </c>
      <c r="AJ52" s="18">
        <f t="shared" si="116"/>
        <v>4.4090946749691611</v>
      </c>
      <c r="AK52" s="18">
        <f t="shared" si="116"/>
        <v>4.2228063600614272</v>
      </c>
      <c r="AL52" s="18">
        <f t="shared" si="116"/>
        <v>3.0361822544865777</v>
      </c>
      <c r="AM52" s="18">
        <f t="shared" si="116"/>
        <v>1.6596260402591601</v>
      </c>
      <c r="AO52" s="68">
        <f t="shared" si="117"/>
        <v>-55.570935056873616</v>
      </c>
      <c r="AP52" s="69">
        <f t="shared" si="118"/>
        <v>28.503009758091181</v>
      </c>
      <c r="AQ52" s="69">
        <f t="shared" si="119"/>
        <v>-27.067925298782434</v>
      </c>
      <c r="AS52" t="str">
        <f t="shared" si="143"/>
        <v>32 Health and social care associate professionals</v>
      </c>
      <c r="AT52" s="18">
        <f t="shared" si="120"/>
        <v>1.2023977279535345</v>
      </c>
      <c r="AU52" s="18">
        <f t="shared" si="120"/>
        <v>1.2902474803345851</v>
      </c>
      <c r="AV52" s="18">
        <f t="shared" si="120"/>
        <v>1.4492169197388043</v>
      </c>
      <c r="AW52" s="18">
        <f t="shared" si="120"/>
        <v>1.3372544114590692</v>
      </c>
      <c r="AX52" s="18">
        <f t="shared" si="120"/>
        <v>1.2694915967164122</v>
      </c>
      <c r="AZ52" s="68">
        <f t="shared" si="121"/>
        <v>2.8059930880669883</v>
      </c>
      <c r="BA52" s="69">
        <f t="shared" si="122"/>
        <v>55.913844963059454</v>
      </c>
      <c r="BB52" s="69">
        <f t="shared" si="123"/>
        <v>58.719838051126452</v>
      </c>
      <c r="BD52" t="str">
        <f t="shared" si="144"/>
        <v>32 Health and social care associate professionals</v>
      </c>
      <c r="BE52" s="18">
        <f t="shared" si="124"/>
        <v>1.249898577936998</v>
      </c>
      <c r="BF52" s="18">
        <f t="shared" si="124"/>
        <v>1.5397200960555186</v>
      </c>
      <c r="BG52" s="18">
        <f t="shared" si="124"/>
        <v>1.6335331365884103</v>
      </c>
      <c r="BH52" s="18">
        <f t="shared" si="124"/>
        <v>1.6335819921708479</v>
      </c>
      <c r="BI52" s="18">
        <f t="shared" si="124"/>
        <v>1.8622854878938406</v>
      </c>
      <c r="BK52" s="68">
        <f t="shared" si="125"/>
        <v>11.839272123849968</v>
      </c>
      <c r="BL52" s="69">
        <f t="shared" si="126"/>
        <v>61.142932381940206</v>
      </c>
      <c r="BM52" s="69">
        <f t="shared" si="127"/>
        <v>72.982204505790165</v>
      </c>
      <c r="BO52" t="str">
        <f t="shared" si="145"/>
        <v>32 Health and social care associate professionals</v>
      </c>
      <c r="BP52" s="18">
        <f t="shared" si="128"/>
        <v>1.0173019248178903</v>
      </c>
      <c r="BQ52" s="18">
        <f t="shared" si="128"/>
        <v>1.129276222952156</v>
      </c>
      <c r="BR52" s="18">
        <f t="shared" si="128"/>
        <v>1.2431617783866225</v>
      </c>
      <c r="BS52" s="18">
        <f t="shared" si="128"/>
        <v>1.1911961580167751</v>
      </c>
      <c r="BT52" s="18">
        <f t="shared" si="128"/>
        <v>1.1497028633642696</v>
      </c>
      <c r="BV52" s="68">
        <f t="shared" si="129"/>
        <v>-23.178536371439034</v>
      </c>
      <c r="BW52" s="69">
        <f t="shared" si="130"/>
        <v>45.150576651568812</v>
      </c>
      <c r="BX52" s="69">
        <f t="shared" si="131"/>
        <v>21.972040280129786</v>
      </c>
      <c r="BZ52" t="str">
        <f t="shared" si="146"/>
        <v>32 Health and social care associate professionals</v>
      </c>
      <c r="CA52" s="18">
        <f t="shared" si="132"/>
        <v>0.61618442383042893</v>
      </c>
      <c r="CB52" s="18">
        <f t="shared" si="132"/>
        <v>0.64872308822214575</v>
      </c>
      <c r="CC52" s="18">
        <f t="shared" si="132"/>
        <v>0.63278047216206113</v>
      </c>
      <c r="CD52" s="18">
        <f t="shared" si="132"/>
        <v>0.60996787707288458</v>
      </c>
      <c r="CE52" s="18">
        <f t="shared" si="132"/>
        <v>0.57028070803537056</v>
      </c>
      <c r="CG52" s="68">
        <f t="shared" si="133"/>
        <v>-41.963035131479145</v>
      </c>
      <c r="CH52" s="69">
        <f t="shared" si="134"/>
        <v>35.085204731034651</v>
      </c>
      <c r="CI52" s="69">
        <f t="shared" si="135"/>
        <v>-6.8778304004444983</v>
      </c>
      <c r="CK52" t="str">
        <f t="shared" si="147"/>
        <v>32 Health and social care associate professionals</v>
      </c>
      <c r="CL52" s="18">
        <f t="shared" si="136"/>
        <v>0.26113635981781419</v>
      </c>
      <c r="CM52" s="18">
        <f t="shared" si="136"/>
        <v>0.34010693010691651</v>
      </c>
      <c r="CN52" s="18">
        <f t="shared" si="136"/>
        <v>0.40613810816278728</v>
      </c>
      <c r="CO52" s="18">
        <f t="shared" si="136"/>
        <v>0.62610778802533651</v>
      </c>
      <c r="CP52" s="18">
        <f t="shared" si="136"/>
        <v>1.2384364320680634</v>
      </c>
      <c r="CR52" s="68">
        <f t="shared" si="137"/>
        <v>187.55211679663265</v>
      </c>
      <c r="CS52" s="69">
        <f t="shared" si="138"/>
        <v>72.9693671792689</v>
      </c>
      <c r="CT52" s="69">
        <f t="shared" si="139"/>
        <v>260.52148397590156</v>
      </c>
    </row>
    <row r="53" spans="1:98" x14ac:dyDescent="0.2">
      <c r="A53" t="str">
        <f t="shared" si="103"/>
        <v>33 Protective service occupations</v>
      </c>
      <c r="B53" s="18">
        <f t="shared" si="104"/>
        <v>0.28080048886260928</v>
      </c>
      <c r="C53" s="18">
        <f t="shared" si="104"/>
        <v>0.22636212066566591</v>
      </c>
      <c r="D53" s="18">
        <f t="shared" si="104"/>
        <v>0.2451524933112818</v>
      </c>
      <c r="E53" s="18">
        <f t="shared" si="104"/>
        <v>0.30355057159739834</v>
      </c>
      <c r="F53" s="18">
        <f t="shared" si="104"/>
        <v>0.36185827617696076</v>
      </c>
      <c r="H53" s="68">
        <f t="shared" si="105"/>
        <v>115.9003637791364</v>
      </c>
      <c r="I53" s="69">
        <f t="shared" si="106"/>
        <v>55.766358929184904</v>
      </c>
      <c r="J53" s="69">
        <f t="shared" si="107"/>
        <v>171.66672270832126</v>
      </c>
      <c r="L53" t="str">
        <f t="shared" si="140"/>
        <v>33 Protective service occupations</v>
      </c>
      <c r="M53" s="18">
        <f t="shared" si="108"/>
        <v>0.68058546752973204</v>
      </c>
      <c r="N53" s="18">
        <f t="shared" si="108"/>
        <v>0.61337765521626764</v>
      </c>
      <c r="O53" s="18">
        <f t="shared" si="108"/>
        <v>0.69459619052746757</v>
      </c>
      <c r="P53" s="18">
        <f t="shared" si="108"/>
        <v>0.80823827426272055</v>
      </c>
      <c r="Q53" s="18">
        <f t="shared" si="108"/>
        <v>0.95577926801684809</v>
      </c>
      <c r="S53" s="68">
        <f t="shared" si="109"/>
        <v>103.66778418825761</v>
      </c>
      <c r="T53" s="69">
        <f t="shared" si="110"/>
        <v>51.399317818173863</v>
      </c>
      <c r="U53" s="69">
        <f t="shared" si="111"/>
        <v>155.06710200643147</v>
      </c>
      <c r="W53" t="str">
        <f t="shared" si="141"/>
        <v>33 Protective service occupations</v>
      </c>
      <c r="X53" s="18">
        <f t="shared" si="112"/>
        <v>1.3736402007241906</v>
      </c>
      <c r="Y53" s="18">
        <f t="shared" si="112"/>
        <v>1.3608516943227758</v>
      </c>
      <c r="Z53" s="18">
        <f t="shared" si="112"/>
        <v>1.4773769174965363</v>
      </c>
      <c r="AA53" s="18">
        <f t="shared" si="112"/>
        <v>1.7891728446871338</v>
      </c>
      <c r="AB53" s="18">
        <f t="shared" si="112"/>
        <v>2.1215625081130867</v>
      </c>
      <c r="AD53" s="68">
        <f t="shared" si="113"/>
        <v>76.12783581582228</v>
      </c>
      <c r="AE53" s="69">
        <f t="shared" si="114"/>
        <v>59.567033787248668</v>
      </c>
      <c r="AF53" s="69">
        <f t="shared" si="115"/>
        <v>135.69486960307097</v>
      </c>
      <c r="AH53" t="str">
        <f t="shared" si="142"/>
        <v>33 Protective service occupations</v>
      </c>
      <c r="AI53" s="18">
        <f t="shared" si="116"/>
        <v>1.3118049871313504</v>
      </c>
      <c r="AJ53" s="18">
        <f t="shared" si="116"/>
        <v>1.3060542846484822</v>
      </c>
      <c r="AK53" s="18">
        <f t="shared" si="116"/>
        <v>1.4216554240107304</v>
      </c>
      <c r="AL53" s="18">
        <f t="shared" si="116"/>
        <v>1.7442384866901484</v>
      </c>
      <c r="AM53" s="18">
        <f t="shared" si="116"/>
        <v>2.0091409455724545</v>
      </c>
      <c r="AO53" s="68">
        <f t="shared" si="117"/>
        <v>59.762246162612897</v>
      </c>
      <c r="AP53" s="69">
        <f t="shared" si="118"/>
        <v>50.185736020756131</v>
      </c>
      <c r="AQ53" s="69">
        <f t="shared" si="119"/>
        <v>109.94798218336904</v>
      </c>
      <c r="AS53" t="str">
        <f t="shared" si="143"/>
        <v>33 Protective service occupations</v>
      </c>
      <c r="AT53" s="18">
        <f t="shared" si="120"/>
        <v>1.2635068232173059</v>
      </c>
      <c r="AU53" s="18">
        <f t="shared" si="120"/>
        <v>1.0460044176818863</v>
      </c>
      <c r="AV53" s="18">
        <f t="shared" si="120"/>
        <v>1.1096067016354485</v>
      </c>
      <c r="AW53" s="18">
        <f t="shared" si="120"/>
        <v>1.1884706053945169</v>
      </c>
      <c r="AX53" s="18">
        <f t="shared" si="120"/>
        <v>1.1608015187520202</v>
      </c>
      <c r="AZ53" s="68">
        <f t="shared" si="121"/>
        <v>22.775269074923919</v>
      </c>
      <c r="BA53" s="69">
        <f t="shared" si="122"/>
        <v>40.932836203274576</v>
      </c>
      <c r="BB53" s="69">
        <f t="shared" si="123"/>
        <v>63.708105278198502</v>
      </c>
      <c r="BD53" t="str">
        <f t="shared" si="144"/>
        <v>33 Protective service occupations</v>
      </c>
      <c r="BE53" s="18">
        <f t="shared" si="124"/>
        <v>1.2235104551998921</v>
      </c>
      <c r="BF53" s="18">
        <f t="shared" si="124"/>
        <v>1.0335072202764259</v>
      </c>
      <c r="BG53" s="18">
        <f t="shared" si="124"/>
        <v>1.1029045271986784</v>
      </c>
      <c r="BH53" s="18">
        <f t="shared" si="124"/>
        <v>1.2638656011200995</v>
      </c>
      <c r="BI53" s="18">
        <f t="shared" si="124"/>
        <v>1.271749659080339</v>
      </c>
      <c r="BK53" s="68">
        <f t="shared" si="125"/>
        <v>13.120087416463742</v>
      </c>
      <c r="BL53" s="69">
        <f t="shared" si="126"/>
        <v>28.590145488724716</v>
      </c>
      <c r="BM53" s="69">
        <f t="shared" si="127"/>
        <v>41.710232905188455</v>
      </c>
      <c r="BO53" t="str">
        <f t="shared" si="145"/>
        <v>33 Protective service occupations</v>
      </c>
      <c r="BP53" s="18">
        <f t="shared" si="128"/>
        <v>1.3634057404148678</v>
      </c>
      <c r="BQ53" s="18">
        <f t="shared" si="128"/>
        <v>1.339676362433792</v>
      </c>
      <c r="BR53" s="18">
        <f t="shared" si="128"/>
        <v>1.3909003757050729</v>
      </c>
      <c r="BS53" s="18">
        <f t="shared" si="128"/>
        <v>1.6267545693588761</v>
      </c>
      <c r="BT53" s="18">
        <f t="shared" si="128"/>
        <v>1.6754960024468128</v>
      </c>
      <c r="BV53" s="68">
        <f t="shared" si="129"/>
        <v>6.2646446674758244E-2</v>
      </c>
      <c r="BW53" s="69">
        <f t="shared" si="130"/>
        <v>31.399282668228025</v>
      </c>
      <c r="BX53" s="69">
        <f t="shared" si="131"/>
        <v>31.46192911490278</v>
      </c>
      <c r="BZ53" t="str">
        <f t="shared" si="146"/>
        <v>33 Protective service occupations</v>
      </c>
      <c r="CA53" s="18">
        <f t="shared" si="132"/>
        <v>1.1275497747837144</v>
      </c>
      <c r="CB53" s="18">
        <f t="shared" si="132"/>
        <v>1.0614198125667924</v>
      </c>
      <c r="CC53" s="18">
        <f t="shared" si="132"/>
        <v>1.1972066993400377</v>
      </c>
      <c r="CD53" s="18">
        <f t="shared" si="132"/>
        <v>1.4570755888789462</v>
      </c>
      <c r="CE53" s="18">
        <f t="shared" si="132"/>
        <v>1.699799766125603</v>
      </c>
      <c r="CG53" s="68">
        <f t="shared" si="133"/>
        <v>-8.5681079211012943</v>
      </c>
      <c r="CH53" s="69">
        <f t="shared" si="134"/>
        <v>37.791493584391695</v>
      </c>
      <c r="CI53" s="69">
        <f t="shared" si="135"/>
        <v>29.223385663290397</v>
      </c>
      <c r="CK53" t="str">
        <f t="shared" si="147"/>
        <v>33 Protective service occupations</v>
      </c>
      <c r="CL53" s="18">
        <f t="shared" si="136"/>
        <v>0.53068610900697721</v>
      </c>
      <c r="CM53" s="18">
        <f t="shared" si="136"/>
        <v>0.4524497837951601</v>
      </c>
      <c r="CN53" s="18">
        <f t="shared" si="136"/>
        <v>0.49951468107343033</v>
      </c>
      <c r="CO53" s="18">
        <f t="shared" si="136"/>
        <v>0.37976940786693719</v>
      </c>
      <c r="CP53" s="18">
        <f t="shared" si="136"/>
        <v>0.40588261568206463</v>
      </c>
      <c r="CR53" s="68">
        <f t="shared" si="137"/>
        <v>-23.375300475350215</v>
      </c>
      <c r="CS53" s="69">
        <f t="shared" si="138"/>
        <v>15.447797744859592</v>
      </c>
      <c r="CT53" s="69">
        <f t="shared" si="139"/>
        <v>-7.927502730490624</v>
      </c>
    </row>
    <row r="54" spans="1:98" x14ac:dyDescent="0.2">
      <c r="A54" t="str">
        <f t="shared" si="103"/>
        <v>34 Culture, media and sports occupations</v>
      </c>
      <c r="B54" s="18">
        <f t="shared" si="104"/>
        <v>1.7754896305683121</v>
      </c>
      <c r="C54" s="18">
        <f t="shared" si="104"/>
        <v>1.7988865522236375</v>
      </c>
      <c r="D54" s="18">
        <f t="shared" si="104"/>
        <v>1.825868239491713</v>
      </c>
      <c r="E54" s="18">
        <f t="shared" si="104"/>
        <v>1.7263420606350179</v>
      </c>
      <c r="F54" s="18">
        <f t="shared" si="104"/>
        <v>1.6910433169151171</v>
      </c>
      <c r="H54" s="68">
        <f t="shared" si="105"/>
        <v>35.467924445641067</v>
      </c>
      <c r="I54" s="69">
        <f t="shared" si="106"/>
        <v>63.214002536528156</v>
      </c>
      <c r="J54" s="69">
        <f t="shared" si="107"/>
        <v>98.681926982169216</v>
      </c>
      <c r="L54" t="str">
        <f t="shared" si="140"/>
        <v>34 Culture, media and sports occupations</v>
      </c>
      <c r="M54" s="18">
        <f t="shared" si="108"/>
        <v>4.4287608837289287</v>
      </c>
      <c r="N54" s="18">
        <f t="shared" si="108"/>
        <v>3.6815648697183843</v>
      </c>
      <c r="O54" s="18">
        <f t="shared" si="108"/>
        <v>4.0781084129824015</v>
      </c>
      <c r="P54" s="18">
        <f t="shared" si="108"/>
        <v>3.9282176617135574</v>
      </c>
      <c r="Q54" s="18">
        <f t="shared" si="108"/>
        <v>3.9998561568102318</v>
      </c>
      <c r="S54" s="68">
        <f t="shared" si="109"/>
        <v>45.171958610619008</v>
      </c>
      <c r="T54" s="69">
        <f t="shared" si="110"/>
        <v>63.56116562073143</v>
      </c>
      <c r="U54" s="69">
        <f t="shared" si="111"/>
        <v>108.73312423135044</v>
      </c>
      <c r="W54" t="str">
        <f t="shared" si="141"/>
        <v>34 Culture, media and sports occupations</v>
      </c>
      <c r="X54" s="18">
        <f t="shared" si="112"/>
        <v>4.8697323434123687</v>
      </c>
      <c r="Y54" s="18">
        <f t="shared" si="112"/>
        <v>4.056392553387715</v>
      </c>
      <c r="Z54" s="18">
        <f t="shared" si="112"/>
        <v>4.1130221713077599</v>
      </c>
      <c r="AA54" s="18">
        <f t="shared" si="112"/>
        <v>3.8669887221303587</v>
      </c>
      <c r="AB54" s="18">
        <f t="shared" si="112"/>
        <v>3.7206322820094679</v>
      </c>
      <c r="AD54" s="68">
        <f t="shared" si="113"/>
        <v>10.947922717097223</v>
      </c>
      <c r="AE54" s="69">
        <f t="shared" si="114"/>
        <v>50.481433499269833</v>
      </c>
      <c r="AF54" s="69">
        <f t="shared" si="115"/>
        <v>61.429356216367061</v>
      </c>
      <c r="AH54" t="str">
        <f t="shared" si="142"/>
        <v>34 Culture, media and sports occupations</v>
      </c>
      <c r="AI54" s="18">
        <f t="shared" si="116"/>
        <v>1.912519644330225</v>
      </c>
      <c r="AJ54" s="18">
        <f t="shared" si="116"/>
        <v>1.771391252741606</v>
      </c>
      <c r="AK54" s="18">
        <f t="shared" si="116"/>
        <v>1.9906513253082527</v>
      </c>
      <c r="AL54" s="18">
        <f t="shared" si="116"/>
        <v>1.8635426574824119</v>
      </c>
      <c r="AM54" s="18">
        <f t="shared" si="116"/>
        <v>2.0468119531970772</v>
      </c>
      <c r="AO54" s="68">
        <f t="shared" si="117"/>
        <v>16.236050999515967</v>
      </c>
      <c r="AP54" s="69">
        <f t="shared" si="118"/>
        <v>46.392946873694072</v>
      </c>
      <c r="AQ54" s="69">
        <f t="shared" si="119"/>
        <v>62.628997873210032</v>
      </c>
      <c r="AS54" t="str">
        <f t="shared" si="143"/>
        <v>34 Culture, media and sports occupations</v>
      </c>
      <c r="AT54" s="18">
        <f t="shared" si="120"/>
        <v>2.8082436369201389</v>
      </c>
      <c r="AU54" s="18">
        <f t="shared" si="120"/>
        <v>2.2667815348638998</v>
      </c>
      <c r="AV54" s="18">
        <f t="shared" si="120"/>
        <v>2.2019249859733669</v>
      </c>
      <c r="AW54" s="18">
        <f t="shared" si="120"/>
        <v>1.9583671959571263</v>
      </c>
      <c r="AX54" s="18">
        <f t="shared" si="120"/>
        <v>1.7155147064282967</v>
      </c>
      <c r="AZ54" s="68">
        <f t="shared" si="121"/>
        <v>-8.5646937387571356</v>
      </c>
      <c r="BA54" s="69">
        <f t="shared" si="122"/>
        <v>42.406529948793178</v>
      </c>
      <c r="BB54" s="69">
        <f t="shared" si="123"/>
        <v>33.84183621003605</v>
      </c>
      <c r="BD54" t="str">
        <f t="shared" si="144"/>
        <v>34 Culture, media and sports occupations</v>
      </c>
      <c r="BE54" s="18">
        <f t="shared" si="124"/>
        <v>1.9376065272265117</v>
      </c>
      <c r="BF54" s="18">
        <f t="shared" si="124"/>
        <v>1.513703657452057</v>
      </c>
      <c r="BG54" s="18">
        <f t="shared" si="124"/>
        <v>1.61645439043386</v>
      </c>
      <c r="BH54" s="18">
        <f t="shared" si="124"/>
        <v>1.4941187746361115</v>
      </c>
      <c r="BI54" s="18">
        <f t="shared" si="124"/>
        <v>1.4862761410154244</v>
      </c>
      <c r="BK54" s="68">
        <f t="shared" si="125"/>
        <v>-9.7988503929639048</v>
      </c>
      <c r="BL54" s="69">
        <f t="shared" si="126"/>
        <v>33.363796289935337</v>
      </c>
      <c r="BM54" s="69">
        <f t="shared" si="127"/>
        <v>23.56494589697143</v>
      </c>
      <c r="BO54" t="str">
        <f t="shared" si="145"/>
        <v>34 Culture, media and sports occupations</v>
      </c>
      <c r="BP54" s="18">
        <f t="shared" si="128"/>
        <v>1.2211301114018465</v>
      </c>
      <c r="BQ54" s="18">
        <f t="shared" si="128"/>
        <v>0.93609220907187995</v>
      </c>
      <c r="BR54" s="18">
        <f t="shared" si="128"/>
        <v>0.92015360198765128</v>
      </c>
      <c r="BS54" s="18">
        <f t="shared" si="128"/>
        <v>0.7692378745031313</v>
      </c>
      <c r="BT54" s="18">
        <f t="shared" si="128"/>
        <v>0.55983449997838119</v>
      </c>
      <c r="BV54" s="68">
        <f t="shared" si="129"/>
        <v>-49.461314563815542</v>
      </c>
      <c r="BW54" s="69">
        <f t="shared" si="130"/>
        <v>27.298741893491492</v>
      </c>
      <c r="BX54" s="69">
        <f t="shared" si="131"/>
        <v>-22.162572670324053</v>
      </c>
      <c r="BZ54" t="str">
        <f t="shared" si="146"/>
        <v>34 Culture, media and sports occupations</v>
      </c>
      <c r="CA54" s="18">
        <f t="shared" si="132"/>
        <v>1.292438614306503</v>
      </c>
      <c r="CB54" s="18">
        <f t="shared" si="132"/>
        <v>1.1386526893304421</v>
      </c>
      <c r="CC54" s="18">
        <f t="shared" si="132"/>
        <v>1.1869284619350777</v>
      </c>
      <c r="CD54" s="18">
        <f t="shared" si="132"/>
        <v>1.1332933186016965</v>
      </c>
      <c r="CE54" s="18">
        <f t="shared" si="132"/>
        <v>1.1324932871821281</v>
      </c>
      <c r="CG54" s="68">
        <f t="shared" si="133"/>
        <v>-38.555902072742889</v>
      </c>
      <c r="CH54" s="69">
        <f t="shared" si="134"/>
        <v>29.099271371405504</v>
      </c>
      <c r="CI54" s="69">
        <f t="shared" si="135"/>
        <v>-9.4566307013373834</v>
      </c>
      <c r="CK54" t="str">
        <f t="shared" si="147"/>
        <v>34 Culture, media and sports occupations</v>
      </c>
      <c r="CL54" s="18">
        <f t="shared" si="136"/>
        <v>1.1072652199897326</v>
      </c>
      <c r="CM54" s="18">
        <f t="shared" si="136"/>
        <v>1.1579864559921413</v>
      </c>
      <c r="CN54" s="18">
        <f t="shared" si="136"/>
        <v>1.2747922480889093</v>
      </c>
      <c r="CO54" s="18">
        <f t="shared" si="136"/>
        <v>1.5910838745809337</v>
      </c>
      <c r="CP54" s="18">
        <f t="shared" si="136"/>
        <v>2.2400872062763462</v>
      </c>
      <c r="CR54" s="68">
        <f t="shared" si="137"/>
        <v>65.70747615479155</v>
      </c>
      <c r="CS54" s="69">
        <f t="shared" si="138"/>
        <v>39.069317026418844</v>
      </c>
      <c r="CT54" s="69">
        <f t="shared" si="139"/>
        <v>104.77679318121038</v>
      </c>
    </row>
    <row r="55" spans="1:98" x14ac:dyDescent="0.2">
      <c r="A55" t="str">
        <f t="shared" si="103"/>
        <v>35 Business and public service associate professionals</v>
      </c>
      <c r="B55" s="18">
        <f t="shared" ref="B55:F64" si="148">B18/B$35*100</f>
        <v>5.9703672384011748</v>
      </c>
      <c r="C55" s="18">
        <f t="shared" si="148"/>
        <v>5.812821333708059</v>
      </c>
      <c r="D55" s="18">
        <f t="shared" si="148"/>
        <v>6.1839809526570688</v>
      </c>
      <c r="E55" s="18">
        <f t="shared" si="148"/>
        <v>6.07142163516599</v>
      </c>
      <c r="F55" s="18">
        <f t="shared" si="148"/>
        <v>6.3346682331887703</v>
      </c>
      <c r="H55" s="68">
        <f t="shared" si="105"/>
        <v>49.832804975958396</v>
      </c>
      <c r="I55" s="69">
        <f t="shared" si="106"/>
        <v>60.494389509605782</v>
      </c>
      <c r="J55" s="69">
        <f t="shared" si="107"/>
        <v>110.32719448556416</v>
      </c>
      <c r="L55" t="str">
        <f t="shared" si="140"/>
        <v>35 Business and public service associate professionals</v>
      </c>
      <c r="M55" s="18">
        <f t="shared" ref="M55:Q64" si="149">M18/M$35*100</f>
        <v>8.3395578858970651</v>
      </c>
      <c r="N55" s="18">
        <f t="shared" si="149"/>
        <v>8.1785411185123387</v>
      </c>
      <c r="O55" s="18">
        <f t="shared" si="149"/>
        <v>8.09476053519567</v>
      </c>
      <c r="P55" s="18">
        <f t="shared" si="149"/>
        <v>7.6637901675215447</v>
      </c>
      <c r="Q55" s="18">
        <f t="shared" si="149"/>
        <v>7.4560379277975377</v>
      </c>
      <c r="S55" s="68">
        <f t="shared" si="109"/>
        <v>36.333075689587666</v>
      </c>
      <c r="T55" s="69">
        <f t="shared" si="110"/>
        <v>58.096447525641217</v>
      </c>
      <c r="U55" s="69">
        <f t="shared" si="111"/>
        <v>94.429523215228897</v>
      </c>
      <c r="W55" t="str">
        <f t="shared" si="141"/>
        <v>35 Business and public service associate professionals</v>
      </c>
      <c r="X55" s="18">
        <f t="shared" ref="X55:AB64" si="150">X18/X$35*100</f>
        <v>8.9595733528478796</v>
      </c>
      <c r="Y55" s="18">
        <f t="shared" si="150"/>
        <v>8.75021108752148</v>
      </c>
      <c r="Z55" s="18">
        <f t="shared" si="150"/>
        <v>8.7474519246933475</v>
      </c>
      <c r="AA55" s="18">
        <f t="shared" si="150"/>
        <v>8.0500270228272512</v>
      </c>
      <c r="AB55" s="18">
        <f t="shared" si="150"/>
        <v>7.5224901680533831</v>
      </c>
      <c r="AD55" s="68">
        <f t="shared" si="113"/>
        <v>5.473544382788365</v>
      </c>
      <c r="AE55" s="69">
        <f t="shared" si="114"/>
        <v>50.755727528248727</v>
      </c>
      <c r="AF55" s="69">
        <f t="shared" si="115"/>
        <v>56.229271911037095</v>
      </c>
      <c r="AH55" t="str">
        <f t="shared" si="142"/>
        <v>35 Business and public service associate professionals</v>
      </c>
      <c r="AI55" s="18">
        <f t="shared" ref="AI55:AM64" si="151">AI18/AI$35*100</f>
        <v>8.175876717627613</v>
      </c>
      <c r="AJ55" s="18">
        <f t="shared" si="151"/>
        <v>8.3722491381744177</v>
      </c>
      <c r="AK55" s="18">
        <f t="shared" si="151"/>
        <v>8.7383559640022224</v>
      </c>
      <c r="AL55" s="18">
        <f t="shared" si="151"/>
        <v>8.4791360835362894</v>
      </c>
      <c r="AM55" s="18">
        <f t="shared" si="151"/>
        <v>8.4195302968145231</v>
      </c>
      <c r="AO55" s="68">
        <f t="shared" si="117"/>
        <v>8.9221566181802654</v>
      </c>
      <c r="AP55" s="69">
        <f t="shared" si="118"/>
        <v>49.427250781910509</v>
      </c>
      <c r="AQ55" s="69">
        <f t="shared" si="119"/>
        <v>58.349407400090769</v>
      </c>
      <c r="AS55" t="str">
        <f t="shared" si="143"/>
        <v>35 Business and public service associate professionals</v>
      </c>
      <c r="AT55" s="18">
        <f t="shared" ref="AT55:AX64" si="152">AT18/AT$35*100</f>
        <v>7.6649804361464593</v>
      </c>
      <c r="AU55" s="18">
        <f t="shared" si="152"/>
        <v>7.5040046766664315</v>
      </c>
      <c r="AV55" s="18">
        <f t="shared" si="152"/>
        <v>7.6684989782094179</v>
      </c>
      <c r="AW55" s="18">
        <f t="shared" si="152"/>
        <v>7.1791700729352455</v>
      </c>
      <c r="AX55" s="18">
        <f t="shared" si="152"/>
        <v>6.9062948267800559</v>
      </c>
      <c r="AZ55" s="68">
        <f t="shared" si="121"/>
        <v>5.6955610080050816</v>
      </c>
      <c r="BA55" s="69">
        <f t="shared" si="122"/>
        <v>47.926218864476446</v>
      </c>
      <c r="BB55" s="69">
        <f t="shared" si="123"/>
        <v>53.621779872481525</v>
      </c>
      <c r="BD55" t="str">
        <f t="shared" si="144"/>
        <v>35 Business and public service associate professionals</v>
      </c>
      <c r="BE55" s="18">
        <f t="shared" ref="BE55:BI64" si="153">BE18/BE$35*100</f>
        <v>6.0804595641819459</v>
      </c>
      <c r="BF55" s="18">
        <f t="shared" si="153"/>
        <v>6.0483883659972362</v>
      </c>
      <c r="BG55" s="18">
        <f t="shared" si="153"/>
        <v>6.4283527613307596</v>
      </c>
      <c r="BH55" s="18">
        <f t="shared" si="153"/>
        <v>5.8741147310086648</v>
      </c>
      <c r="BI55" s="18">
        <f t="shared" si="153"/>
        <v>5.7468382157356999</v>
      </c>
      <c r="BK55" s="68">
        <f t="shared" si="125"/>
        <v>-12.298849294136364</v>
      </c>
      <c r="BL55" s="69">
        <f t="shared" si="126"/>
        <v>39.220060715311988</v>
      </c>
      <c r="BM55" s="69">
        <f t="shared" si="127"/>
        <v>26.921211421175624</v>
      </c>
      <c r="BO55" t="str">
        <f t="shared" si="145"/>
        <v>35 Business and public service associate professionals</v>
      </c>
      <c r="BP55" s="18">
        <f t="shared" ref="BP55:BT64" si="154">BP18/BP$35*100</f>
        <v>5.1223924830903762</v>
      </c>
      <c r="BQ55" s="18">
        <f t="shared" si="154"/>
        <v>5.1148497711417154</v>
      </c>
      <c r="BR55" s="18">
        <f t="shared" si="154"/>
        <v>5.3906277935990508</v>
      </c>
      <c r="BS55" s="18">
        <f t="shared" si="154"/>
        <v>4.9336273664400672</v>
      </c>
      <c r="BT55" s="18">
        <f t="shared" si="154"/>
        <v>4.7965563494570436</v>
      </c>
      <c r="BV55" s="68">
        <f t="shared" si="129"/>
        <v>-26.088023155137225</v>
      </c>
      <c r="BW55" s="69">
        <f t="shared" si="130"/>
        <v>32.920073815941123</v>
      </c>
      <c r="BX55" s="69">
        <f t="shared" si="131"/>
        <v>6.8320506608039029</v>
      </c>
      <c r="BZ55" t="str">
        <f t="shared" si="146"/>
        <v>35 Business and public service associate professionals</v>
      </c>
      <c r="CA55" s="18">
        <f t="shared" ref="CA55:CE64" si="155">CA18/CA$35*100</f>
        <v>4.5630496235098557</v>
      </c>
      <c r="CB55" s="18">
        <f t="shared" si="155"/>
        <v>4.5949415112537677</v>
      </c>
      <c r="CC55" s="18">
        <f t="shared" si="155"/>
        <v>4.8604079382302139</v>
      </c>
      <c r="CD55" s="18">
        <f t="shared" si="155"/>
        <v>4.5130332827115129</v>
      </c>
      <c r="CE55" s="18">
        <f t="shared" si="155"/>
        <v>4.1378324616631481</v>
      </c>
      <c r="CG55" s="68">
        <f t="shared" si="133"/>
        <v>-45.176184002950727</v>
      </c>
      <c r="CH55" s="69">
        <f t="shared" si="134"/>
        <v>27.149206027041632</v>
      </c>
      <c r="CI55" s="69">
        <f t="shared" si="135"/>
        <v>-18.026977975909094</v>
      </c>
      <c r="CK55" t="str">
        <f t="shared" si="147"/>
        <v>35 Business and public service associate professionals</v>
      </c>
      <c r="CL55" s="18">
        <f t="shared" ref="CL55:CP64" si="156">CL18/CL$35*100</f>
        <v>2.6302206231884626</v>
      </c>
      <c r="CM55" s="18">
        <f t="shared" si="156"/>
        <v>2.9306050938099419</v>
      </c>
      <c r="CN55" s="18">
        <f t="shared" si="156"/>
        <v>3.3637554228594984</v>
      </c>
      <c r="CO55" s="18">
        <f t="shared" si="156"/>
        <v>3.8270872877169091</v>
      </c>
      <c r="CP55" s="18">
        <f t="shared" si="156"/>
        <v>5.5626954591973137</v>
      </c>
      <c r="CR55" s="68">
        <f t="shared" si="137"/>
        <v>55.947157923848486</v>
      </c>
      <c r="CS55" s="69">
        <f t="shared" si="138"/>
        <v>36.005856262224469</v>
      </c>
      <c r="CT55" s="69">
        <f t="shared" si="139"/>
        <v>91.953014186072963</v>
      </c>
    </row>
    <row r="56" spans="1:98" x14ac:dyDescent="0.2">
      <c r="A56" t="str">
        <f t="shared" si="103"/>
        <v>41 Administrative occupations</v>
      </c>
      <c r="B56" s="18">
        <f t="shared" si="148"/>
        <v>3.038719870191716</v>
      </c>
      <c r="C56" s="18">
        <f t="shared" si="148"/>
        <v>2.8033645921600354</v>
      </c>
      <c r="D56" s="18">
        <f t="shared" si="148"/>
        <v>3.1427374030873869</v>
      </c>
      <c r="E56" s="18">
        <f t="shared" si="148"/>
        <v>3.1157586357487816</v>
      </c>
      <c r="F56" s="18">
        <f t="shared" si="148"/>
        <v>3.3582649508639935</v>
      </c>
      <c r="H56" s="68">
        <f t="shared" si="105"/>
        <v>56.299662878618051</v>
      </c>
      <c r="I56" s="69">
        <f t="shared" si="106"/>
        <v>68.051352082696752</v>
      </c>
      <c r="J56" s="69">
        <f t="shared" si="107"/>
        <v>124.3510149613148</v>
      </c>
      <c r="L56" t="str">
        <f t="shared" si="140"/>
        <v>41 Administrative occupations</v>
      </c>
      <c r="M56" s="18">
        <f t="shared" si="149"/>
        <v>4.9439435076648515</v>
      </c>
      <c r="N56" s="18">
        <f t="shared" si="149"/>
        <v>4.7325109399183374</v>
      </c>
      <c r="O56" s="18">
        <f t="shared" si="149"/>
        <v>4.7599715836063501</v>
      </c>
      <c r="P56" s="18">
        <f t="shared" si="149"/>
        <v>4.5924880271005799</v>
      </c>
      <c r="Q56" s="18">
        <f t="shared" si="149"/>
        <v>4.6617736112589032</v>
      </c>
      <c r="S56" s="68">
        <f t="shared" si="109"/>
        <v>44.958587589027196</v>
      </c>
      <c r="T56" s="69">
        <f t="shared" si="110"/>
        <v>65.447989245057485</v>
      </c>
      <c r="U56" s="69">
        <f t="shared" si="111"/>
        <v>110.40657683408467</v>
      </c>
      <c r="W56" t="str">
        <f t="shared" si="141"/>
        <v>41 Administrative occupations</v>
      </c>
      <c r="X56" s="18">
        <f t="shared" si="150"/>
        <v>7.6867948013716383</v>
      </c>
      <c r="Y56" s="18">
        <f t="shared" si="150"/>
        <v>7.3248680906763637</v>
      </c>
      <c r="Z56" s="18">
        <f t="shared" si="150"/>
        <v>7.654101419094256</v>
      </c>
      <c r="AA56" s="18">
        <f t="shared" si="150"/>
        <v>7.3141210848104556</v>
      </c>
      <c r="AB56" s="18">
        <f t="shared" si="150"/>
        <v>7.3142733345426549</v>
      </c>
      <c r="AD56" s="68">
        <f t="shared" si="113"/>
        <v>17.203464492630502</v>
      </c>
      <c r="AE56" s="69">
        <f t="shared" si="114"/>
        <v>59.096028669835519</v>
      </c>
      <c r="AF56" s="69">
        <f t="shared" si="115"/>
        <v>76.299493162466021</v>
      </c>
      <c r="AH56" t="str">
        <f t="shared" si="142"/>
        <v>41 Administrative occupations</v>
      </c>
      <c r="AI56" s="18">
        <f t="shared" si="151"/>
        <v>10.318977489387333</v>
      </c>
      <c r="AJ56" s="18">
        <f t="shared" si="151"/>
        <v>10.428695009323963</v>
      </c>
      <c r="AK56" s="18">
        <f t="shared" si="151"/>
        <v>11.129622539118008</v>
      </c>
      <c r="AL56" s="18">
        <f t="shared" si="151"/>
        <v>11.060516801545393</v>
      </c>
      <c r="AM56" s="18">
        <f t="shared" si="151"/>
        <v>11.037959934404633</v>
      </c>
      <c r="AO56" s="68">
        <f t="shared" si="117"/>
        <v>12.115711533048156</v>
      </c>
      <c r="AP56" s="69">
        <f t="shared" si="118"/>
        <v>60.485427532226289</v>
      </c>
      <c r="AQ56" s="69">
        <f t="shared" si="119"/>
        <v>72.601139065274438</v>
      </c>
      <c r="AS56" t="str">
        <f t="shared" si="143"/>
        <v>41 Administrative occupations</v>
      </c>
      <c r="AT56" s="18">
        <f t="shared" si="152"/>
        <v>9.6305550996547939</v>
      </c>
      <c r="AU56" s="18">
        <f t="shared" si="152"/>
        <v>9.2642385764662851</v>
      </c>
      <c r="AV56" s="18">
        <f t="shared" si="152"/>
        <v>9.755709425032002</v>
      </c>
      <c r="AW56" s="18">
        <f t="shared" si="152"/>
        <v>9.1451490161901212</v>
      </c>
      <c r="AX56" s="18">
        <f t="shared" si="152"/>
        <v>9.1041067373264362</v>
      </c>
      <c r="AZ56" s="68">
        <f t="shared" si="121"/>
        <v>9.5217772113903454</v>
      </c>
      <c r="BA56" s="69">
        <f t="shared" si="122"/>
        <v>55.381779806371021</v>
      </c>
      <c r="BB56" s="69">
        <f t="shared" si="123"/>
        <v>64.903557017761372</v>
      </c>
      <c r="BD56" t="str">
        <f t="shared" si="144"/>
        <v>41 Administrative occupations</v>
      </c>
      <c r="BE56" s="18">
        <f t="shared" si="153"/>
        <v>8.8187491989921707</v>
      </c>
      <c r="BF56" s="18">
        <f t="shared" si="153"/>
        <v>8.2594119457302533</v>
      </c>
      <c r="BG56" s="18">
        <f t="shared" si="153"/>
        <v>8.6362321182892092</v>
      </c>
      <c r="BH56" s="18">
        <f t="shared" si="153"/>
        <v>7.434221804685599</v>
      </c>
      <c r="BI56" s="18">
        <f t="shared" si="153"/>
        <v>5.6052473162680698</v>
      </c>
      <c r="BK56" s="68">
        <f t="shared" si="125"/>
        <v>-36.328292801255408</v>
      </c>
      <c r="BL56" s="69">
        <f t="shared" si="126"/>
        <v>39.206141344423067</v>
      </c>
      <c r="BM56" s="69">
        <f t="shared" si="127"/>
        <v>2.8778485431676559</v>
      </c>
      <c r="BO56" t="str">
        <f t="shared" si="145"/>
        <v>41 Administrative occupations</v>
      </c>
      <c r="BP56" s="18">
        <f t="shared" si="154"/>
        <v>10.292633589945947</v>
      </c>
      <c r="BQ56" s="18">
        <f t="shared" si="154"/>
        <v>9.0504642874745809</v>
      </c>
      <c r="BR56" s="18">
        <f t="shared" si="154"/>
        <v>9.8846995831535285</v>
      </c>
      <c r="BS56" s="18">
        <f t="shared" si="154"/>
        <v>8.3875318740879479</v>
      </c>
      <c r="BT56" s="18">
        <f t="shared" si="154"/>
        <v>6.441540667742979</v>
      </c>
      <c r="BV56" s="68">
        <f t="shared" si="129"/>
        <v>-45.868396559629119</v>
      </c>
      <c r="BW56" s="69">
        <f t="shared" si="130"/>
        <v>31.314445832731629</v>
      </c>
      <c r="BX56" s="69">
        <f t="shared" si="131"/>
        <v>-14.55395072689749</v>
      </c>
      <c r="BZ56" t="str">
        <f t="shared" si="146"/>
        <v>41 Administrative occupations</v>
      </c>
      <c r="CA56" s="18">
        <f t="shared" si="155"/>
        <v>8.385493980328885</v>
      </c>
      <c r="CB56" s="18">
        <f t="shared" si="155"/>
        <v>8.1348257911601465</v>
      </c>
      <c r="CC56" s="18">
        <f t="shared" si="155"/>
        <v>8.0330956534966518</v>
      </c>
      <c r="CD56" s="18">
        <f t="shared" si="155"/>
        <v>5.9668948900914671</v>
      </c>
      <c r="CE56" s="18">
        <f t="shared" si="155"/>
        <v>2.8849149179065456</v>
      </c>
      <c r="CG56" s="68">
        <f t="shared" si="133"/>
        <v>-76.873007930776197</v>
      </c>
      <c r="CH56" s="69">
        <f t="shared" si="134"/>
        <v>21.026081018454544</v>
      </c>
      <c r="CI56" s="69">
        <f t="shared" si="135"/>
        <v>-55.846926912321656</v>
      </c>
      <c r="CK56" t="str">
        <f t="shared" si="147"/>
        <v>41 Administrative occupations</v>
      </c>
      <c r="CL56" s="18">
        <f t="shared" si="156"/>
        <v>5.21970923922912</v>
      </c>
      <c r="CM56" s="18">
        <f t="shared" si="156"/>
        <v>5.4340564430383553</v>
      </c>
      <c r="CN56" s="18">
        <f t="shared" si="156"/>
        <v>5.8703677414549045</v>
      </c>
      <c r="CO56" s="18">
        <f t="shared" si="156"/>
        <v>4.5362394920612132</v>
      </c>
      <c r="CP56" s="18">
        <f t="shared" si="156"/>
        <v>4.2615208148857358</v>
      </c>
      <c r="CR56" s="68">
        <f t="shared" si="137"/>
        <v>-31.543309893064688</v>
      </c>
      <c r="CS56" s="69">
        <f t="shared" si="138"/>
        <v>20.661132602877693</v>
      </c>
      <c r="CT56" s="69">
        <f t="shared" si="139"/>
        <v>-10.882177290186993</v>
      </c>
    </row>
    <row r="57" spans="1:98" x14ac:dyDescent="0.2">
      <c r="A57" t="str">
        <f t="shared" si="103"/>
        <v>42 Secretarial and related occupations</v>
      </c>
      <c r="B57" s="18">
        <f t="shared" si="148"/>
        <v>0.30685155516309393</v>
      </c>
      <c r="C57" s="18">
        <f t="shared" si="148"/>
        <v>0.31797011028644023</v>
      </c>
      <c r="D57" s="18">
        <f t="shared" si="148"/>
        <v>0.29897734185110286</v>
      </c>
      <c r="E57" s="18">
        <f t="shared" si="148"/>
        <v>0.41317723597239758</v>
      </c>
      <c r="F57" s="18">
        <f t="shared" si="148"/>
        <v>0.62512236699315138</v>
      </c>
      <c r="H57" s="68">
        <f t="shared" si="105"/>
        <v>205.82849016757368</v>
      </c>
      <c r="I57" s="69">
        <f t="shared" si="106"/>
        <v>129.68497184263731</v>
      </c>
      <c r="J57" s="69">
        <f t="shared" si="107"/>
        <v>335.51346201021096</v>
      </c>
      <c r="L57" t="str">
        <f t="shared" si="140"/>
        <v>42 Secretarial and related occupations</v>
      </c>
      <c r="M57" s="18">
        <f t="shared" si="149"/>
        <v>0.99854819735118394</v>
      </c>
      <c r="N57" s="18">
        <f t="shared" si="149"/>
        <v>0.91327991757222926</v>
      </c>
      <c r="O57" s="18">
        <f t="shared" si="149"/>
        <v>0.89104875000598371</v>
      </c>
      <c r="P57" s="18">
        <f t="shared" si="149"/>
        <v>1.1552411746500055</v>
      </c>
      <c r="Q57" s="18">
        <f t="shared" si="149"/>
        <v>1.1132480639097171</v>
      </c>
      <c r="S57" s="68">
        <f t="shared" si="109"/>
        <v>84.921587424695062</v>
      </c>
      <c r="T57" s="69">
        <f t="shared" si="110"/>
        <v>91.736161593500285</v>
      </c>
      <c r="U57" s="69">
        <f t="shared" si="111"/>
        <v>176.65774901819532</v>
      </c>
      <c r="W57" t="str">
        <f t="shared" si="141"/>
        <v>42 Secretarial and related occupations</v>
      </c>
      <c r="X57" s="18">
        <f t="shared" si="150"/>
        <v>1.6761486351941999</v>
      </c>
      <c r="Y57" s="18">
        <f t="shared" si="150"/>
        <v>1.5141079652982068</v>
      </c>
      <c r="Z57" s="18">
        <f t="shared" si="150"/>
        <v>1.5476662541510093</v>
      </c>
      <c r="AA57" s="18">
        <f t="shared" si="150"/>
        <v>2.06289860799175</v>
      </c>
      <c r="AB57" s="18">
        <f t="shared" si="150"/>
        <v>2.7447107047628507</v>
      </c>
      <c r="AD57" s="68">
        <f t="shared" si="113"/>
        <v>117.51175822132936</v>
      </c>
      <c r="AE57" s="69">
        <f t="shared" si="114"/>
        <v>97.658256163280839</v>
      </c>
      <c r="AF57" s="69">
        <f t="shared" si="115"/>
        <v>215.17001438461017</v>
      </c>
      <c r="AH57" t="str">
        <f t="shared" si="142"/>
        <v>42 Secretarial and related occupations</v>
      </c>
      <c r="AI57" s="18">
        <f t="shared" si="151"/>
        <v>2.9886204244929595</v>
      </c>
      <c r="AJ57" s="18">
        <f t="shared" si="151"/>
        <v>2.8582382893094787</v>
      </c>
      <c r="AK57" s="18">
        <f t="shared" si="151"/>
        <v>2.9571955716423433</v>
      </c>
      <c r="AL57" s="18">
        <f t="shared" si="151"/>
        <v>3.9369837861139274</v>
      </c>
      <c r="AM57" s="18">
        <f t="shared" si="151"/>
        <v>4.3330295140564017</v>
      </c>
      <c r="AO57" s="68">
        <f t="shared" si="117"/>
        <v>65.641707861025978</v>
      </c>
      <c r="AP57" s="69">
        <f t="shared" si="118"/>
        <v>83.112795985836755</v>
      </c>
      <c r="AQ57" s="69">
        <f t="shared" si="119"/>
        <v>148.75450384686275</v>
      </c>
      <c r="AS57" t="str">
        <f t="shared" si="143"/>
        <v>42 Secretarial and related occupations</v>
      </c>
      <c r="AT57" s="18">
        <f t="shared" si="152"/>
        <v>2.3940580887412053</v>
      </c>
      <c r="AU57" s="18">
        <f t="shared" si="152"/>
        <v>2.1194372742701049</v>
      </c>
      <c r="AV57" s="18">
        <f t="shared" si="152"/>
        <v>2.1775289035182968</v>
      </c>
      <c r="AW57" s="18">
        <f t="shared" si="152"/>
        <v>2.6819690122088526</v>
      </c>
      <c r="AX57" s="18">
        <f t="shared" si="152"/>
        <v>2.4637106071334061</v>
      </c>
      <c r="AZ57" s="68">
        <f t="shared" si="121"/>
        <v>32.784616305904571</v>
      </c>
      <c r="BA57" s="69">
        <f t="shared" si="122"/>
        <v>71.437432515783257</v>
      </c>
      <c r="BB57" s="69">
        <f t="shared" si="123"/>
        <v>104.22204882168782</v>
      </c>
      <c r="BD57" t="str">
        <f t="shared" si="144"/>
        <v>42 Secretarial and related occupations</v>
      </c>
      <c r="BE57" s="18">
        <f t="shared" si="153"/>
        <v>2.4147204569242868</v>
      </c>
      <c r="BF57" s="18">
        <f t="shared" si="153"/>
        <v>2.1631387764162362</v>
      </c>
      <c r="BG57" s="18">
        <f t="shared" si="153"/>
        <v>2.1645168386672937</v>
      </c>
      <c r="BH57" s="18">
        <f t="shared" si="153"/>
        <v>2.267061821623376</v>
      </c>
      <c r="BI57" s="18">
        <f t="shared" si="153"/>
        <v>0.48482350948792236</v>
      </c>
      <c r="BK57" s="68">
        <f t="shared" si="125"/>
        <v>-78.026526017098334</v>
      </c>
      <c r="BL57" s="69">
        <f t="shared" si="126"/>
        <v>36.508052183108283</v>
      </c>
      <c r="BM57" s="69">
        <f t="shared" si="127"/>
        <v>-41.518473833990051</v>
      </c>
      <c r="BO57" t="str">
        <f t="shared" si="145"/>
        <v>42 Secretarial and related occupations</v>
      </c>
      <c r="BP57" s="18">
        <f t="shared" si="154"/>
        <v>3.4351907378279889</v>
      </c>
      <c r="BQ57" s="18">
        <f t="shared" si="154"/>
        <v>2.5807957044352245</v>
      </c>
      <c r="BR57" s="18">
        <f t="shared" si="154"/>
        <v>2.731253037916102</v>
      </c>
      <c r="BS57" s="18">
        <f t="shared" si="154"/>
        <v>2.2815284570965426</v>
      </c>
      <c r="BT57" s="18">
        <f t="shared" si="154"/>
        <v>0.56071650273065521</v>
      </c>
      <c r="BV57" s="68">
        <f t="shared" si="129"/>
        <v>-82.946794947304525</v>
      </c>
      <c r="BW57" s="69">
        <f t="shared" si="130"/>
        <v>26.881676072161941</v>
      </c>
      <c r="BX57" s="69">
        <f t="shared" si="131"/>
        <v>-56.065118875142581</v>
      </c>
      <c r="BZ57" t="str">
        <f t="shared" si="146"/>
        <v>42 Secretarial and related occupations</v>
      </c>
      <c r="CA57" s="18">
        <f t="shared" si="155"/>
        <v>3.909583335025542</v>
      </c>
      <c r="CB57" s="18">
        <f t="shared" si="155"/>
        <v>3.7708761578011951</v>
      </c>
      <c r="CC57" s="18">
        <f t="shared" si="155"/>
        <v>3.5345473699858956</v>
      </c>
      <c r="CD57" s="18">
        <f t="shared" si="155"/>
        <v>1.6330486993118416</v>
      </c>
      <c r="CE57" s="18">
        <f t="shared" si="155"/>
        <v>0.27800608168157048</v>
      </c>
      <c r="CG57" s="68">
        <f t="shared" si="133"/>
        <v>-94.93488196291618</v>
      </c>
      <c r="CH57" s="69">
        <f t="shared" si="134"/>
        <v>16.314079921207782</v>
      </c>
      <c r="CI57" s="69">
        <f t="shared" si="135"/>
        <v>-78.620802041708401</v>
      </c>
      <c r="CK57" t="str">
        <f t="shared" si="147"/>
        <v>42 Secretarial and related occupations</v>
      </c>
      <c r="CL57" s="18">
        <f t="shared" si="156"/>
        <v>2.5620243366140523</v>
      </c>
      <c r="CM57" s="18">
        <f t="shared" si="156"/>
        <v>2.6904960615585707</v>
      </c>
      <c r="CN57" s="18">
        <f t="shared" si="156"/>
        <v>2.8934130112733976</v>
      </c>
      <c r="CO57" s="18">
        <f t="shared" si="156"/>
        <v>2.7786924606693773</v>
      </c>
      <c r="CP57" s="18">
        <f t="shared" si="156"/>
        <v>1.8458579297396982</v>
      </c>
      <c r="CR57" s="68">
        <f t="shared" si="137"/>
        <v>-39.840470301158753</v>
      </c>
      <c r="CS57" s="69">
        <f t="shared" si="138"/>
        <v>28.364271982712431</v>
      </c>
      <c r="CT57" s="69">
        <f t="shared" si="139"/>
        <v>-11.476198318446322</v>
      </c>
    </row>
    <row r="58" spans="1:98" x14ac:dyDescent="0.2">
      <c r="A58" t="str">
        <f t="shared" si="103"/>
        <v>51 Skilled agricultural and related trades</v>
      </c>
      <c r="B58" s="18">
        <f t="shared" si="148"/>
        <v>0.19963802608364395</v>
      </c>
      <c r="C58" s="18">
        <f t="shared" si="148"/>
        <v>0.20443017014059967</v>
      </c>
      <c r="D58" s="18">
        <f t="shared" si="148"/>
        <v>0.17482560505853995</v>
      </c>
      <c r="E58" s="18">
        <f t="shared" si="148"/>
        <v>0.18239468948097443</v>
      </c>
      <c r="F58" s="18">
        <f t="shared" si="148"/>
        <v>0.18768845924500596</v>
      </c>
      <c r="H58" s="68">
        <f t="shared" si="105"/>
        <v>57.030389488303179</v>
      </c>
      <c r="I58" s="69">
        <f t="shared" si="106"/>
        <v>92.071089652186245</v>
      </c>
      <c r="J58" s="69">
        <f t="shared" si="107"/>
        <v>149.1014791404894</v>
      </c>
      <c r="L58" t="str">
        <f t="shared" si="140"/>
        <v>51 Skilled agricultural and related trades</v>
      </c>
      <c r="M58" s="18">
        <f t="shared" si="149"/>
        <v>0.18297018382168317</v>
      </c>
      <c r="N58" s="18">
        <f t="shared" si="149"/>
        <v>0.18265118758361054</v>
      </c>
      <c r="O58" s="18">
        <f t="shared" si="149"/>
        <v>0.13738335234667795</v>
      </c>
      <c r="P58" s="18">
        <f t="shared" si="149"/>
        <v>0.13391081653786607</v>
      </c>
      <c r="Q58" s="18">
        <f t="shared" si="149"/>
        <v>0.13972253799510628</v>
      </c>
      <c r="S58" s="68">
        <f t="shared" si="109"/>
        <v>50.532226726680463</v>
      </c>
      <c r="T58" s="69">
        <f t="shared" si="110"/>
        <v>72.451450909537783</v>
      </c>
      <c r="U58" s="69">
        <f t="shared" si="111"/>
        <v>122.98367763621825</v>
      </c>
      <c r="W58" t="str">
        <f t="shared" si="141"/>
        <v>51 Skilled agricultural and related trades</v>
      </c>
      <c r="X58" s="18">
        <f t="shared" si="150"/>
        <v>0.65807671640222809</v>
      </c>
      <c r="Y58" s="18">
        <f t="shared" si="150"/>
        <v>0.64392756866879419</v>
      </c>
      <c r="Z58" s="18">
        <f t="shared" si="150"/>
        <v>0.62580177200865084</v>
      </c>
      <c r="AA58" s="18">
        <f t="shared" si="150"/>
        <v>0.68938147139109562</v>
      </c>
      <c r="AB58" s="18">
        <f t="shared" si="150"/>
        <v>0.8717046657030032</v>
      </c>
      <c r="AD58" s="68">
        <f t="shared" si="113"/>
        <v>70.842555066433604</v>
      </c>
      <c r="AE58" s="69">
        <f t="shared" si="114"/>
        <v>90.917267918393861</v>
      </c>
      <c r="AF58" s="69">
        <f t="shared" si="115"/>
        <v>161.75982298482748</v>
      </c>
      <c r="AH58" t="str">
        <f t="shared" si="142"/>
        <v>51 Skilled agricultural and related trades</v>
      </c>
      <c r="AI58" s="18">
        <f t="shared" si="151"/>
        <v>1.1069182281995347</v>
      </c>
      <c r="AJ58" s="18">
        <f t="shared" si="151"/>
        <v>1.2076999769777079</v>
      </c>
      <c r="AK58" s="18">
        <f t="shared" si="151"/>
        <v>0.97312929629457501</v>
      </c>
      <c r="AL58" s="18">
        <f t="shared" si="151"/>
        <v>1.1198023842500253</v>
      </c>
      <c r="AM58" s="18">
        <f t="shared" si="151"/>
        <v>1.3514697166746499</v>
      </c>
      <c r="AO58" s="68">
        <f t="shared" si="117"/>
        <v>56.997909986314468</v>
      </c>
      <c r="AP58" s="69">
        <f t="shared" si="118"/>
        <v>92.067887564537415</v>
      </c>
      <c r="AQ58" s="69">
        <f t="shared" si="119"/>
        <v>149.06579755085187</v>
      </c>
      <c r="AS58" t="str">
        <f t="shared" si="143"/>
        <v>51 Skilled agricultural and related trades</v>
      </c>
      <c r="AT58" s="18">
        <f t="shared" si="152"/>
        <v>1.4281053607070886</v>
      </c>
      <c r="AU58" s="18">
        <f t="shared" si="152"/>
        <v>1.7200351533791385</v>
      </c>
      <c r="AV58" s="18">
        <f t="shared" si="152"/>
        <v>1.3500410247997536</v>
      </c>
      <c r="AW58" s="18">
        <f t="shared" si="152"/>
        <v>1.3985989318966676</v>
      </c>
      <c r="AX58" s="18">
        <f t="shared" si="152"/>
        <v>1.6772019906011011</v>
      </c>
      <c r="AZ58" s="68">
        <f t="shared" si="121"/>
        <v>45.800965947909134</v>
      </c>
      <c r="BA58" s="69">
        <f t="shared" si="122"/>
        <v>77.190189000618517</v>
      </c>
      <c r="BB58" s="69">
        <f t="shared" si="123"/>
        <v>122.99115494852764</v>
      </c>
      <c r="BD58" t="str">
        <f t="shared" si="144"/>
        <v>51 Skilled agricultural and related trades</v>
      </c>
      <c r="BE58" s="18">
        <f t="shared" si="153"/>
        <v>0.76726234577417962</v>
      </c>
      <c r="BF58" s="18">
        <f t="shared" si="153"/>
        <v>0.78101821517030301</v>
      </c>
      <c r="BG58" s="18">
        <f t="shared" si="153"/>
        <v>0.60937426861488353</v>
      </c>
      <c r="BH58" s="18">
        <f t="shared" si="153"/>
        <v>0.59967935304881159</v>
      </c>
      <c r="BI58" s="18">
        <f t="shared" si="153"/>
        <v>0.61241106652999866</v>
      </c>
      <c r="BK58" s="68">
        <f t="shared" si="125"/>
        <v>-1.4095293629586076</v>
      </c>
      <c r="BL58" s="69">
        <f t="shared" si="126"/>
        <v>52.110854293639505</v>
      </c>
      <c r="BM58" s="69">
        <f t="shared" si="127"/>
        <v>50.701324930680904</v>
      </c>
      <c r="BO58" t="str">
        <f t="shared" si="145"/>
        <v>51 Skilled agricultural and related trades</v>
      </c>
      <c r="BP58" s="18">
        <f t="shared" si="154"/>
        <v>1.1752808878661867</v>
      </c>
      <c r="BQ58" s="18">
        <f t="shared" si="154"/>
        <v>1.2919872765667786</v>
      </c>
      <c r="BR58" s="18">
        <f t="shared" si="154"/>
        <v>1.0040578626713057</v>
      </c>
      <c r="BS58" s="18">
        <f t="shared" si="154"/>
        <v>1.0698729689016258</v>
      </c>
      <c r="BT58" s="18">
        <f t="shared" si="154"/>
        <v>1.2982728809161366</v>
      </c>
      <c r="BV58" s="68">
        <f t="shared" si="129"/>
        <v>7.4068196804845456</v>
      </c>
      <c r="BW58" s="69">
        <f t="shared" si="130"/>
        <v>55.029154808830206</v>
      </c>
      <c r="BX58" s="69">
        <f t="shared" si="131"/>
        <v>62.435974489314752</v>
      </c>
      <c r="BZ58" t="str">
        <f t="shared" si="146"/>
        <v>51 Skilled agricultural and related trades</v>
      </c>
      <c r="CA58" s="18">
        <f t="shared" si="155"/>
        <v>1.4491101520397538</v>
      </c>
      <c r="CB58" s="18">
        <f t="shared" si="155"/>
        <v>1.4705269660415228</v>
      </c>
      <c r="CC58" s="18">
        <f t="shared" si="155"/>
        <v>1.4022720880615609</v>
      </c>
      <c r="CD58" s="18">
        <f t="shared" si="155"/>
        <v>1.5286966561682234</v>
      </c>
      <c r="CE58" s="18">
        <f t="shared" si="155"/>
        <v>2.7428833341657062</v>
      </c>
      <c r="CG58" s="68">
        <f t="shared" si="133"/>
        <v>25.963328038275762</v>
      </c>
      <c r="CH58" s="69">
        <f t="shared" si="134"/>
        <v>49.799088781057655</v>
      </c>
      <c r="CI58" s="69">
        <f t="shared" si="135"/>
        <v>75.762416819333424</v>
      </c>
      <c r="CK58" t="str">
        <f t="shared" si="147"/>
        <v>51 Skilled agricultural and related trades</v>
      </c>
      <c r="CL58" s="18">
        <f t="shared" si="156"/>
        <v>2.5617083491151509</v>
      </c>
      <c r="CM58" s="18">
        <f t="shared" si="156"/>
        <v>3.0089938969719863</v>
      </c>
      <c r="CN58" s="18">
        <f t="shared" si="156"/>
        <v>2.249947375597328</v>
      </c>
      <c r="CO58" s="18">
        <f t="shared" si="156"/>
        <v>2.6345308533611371</v>
      </c>
      <c r="CP58" s="18">
        <f t="shared" si="156"/>
        <v>1.8054534840943444</v>
      </c>
      <c r="CR58" s="68">
        <f t="shared" si="137"/>
        <v>-24.328815139508816</v>
      </c>
      <c r="CS58" s="69">
        <f t="shared" si="138"/>
        <v>31.165467616259164</v>
      </c>
      <c r="CT58" s="69">
        <f t="shared" si="139"/>
        <v>6.8366524767503449</v>
      </c>
    </row>
    <row r="59" spans="1:98" x14ac:dyDescent="0.2">
      <c r="A59" t="str">
        <f t="shared" si="103"/>
        <v>52 Skilled metal, electrical and electronic trades</v>
      </c>
      <c r="B59" s="18">
        <f t="shared" si="148"/>
        <v>0.28828305564700663</v>
      </c>
      <c r="C59" s="18">
        <f t="shared" si="148"/>
        <v>0.22252007162500642</v>
      </c>
      <c r="D59" s="18">
        <f t="shared" si="148"/>
        <v>0.2291167961677327</v>
      </c>
      <c r="E59" s="18">
        <f t="shared" si="148"/>
        <v>0.21347439552996061</v>
      </c>
      <c r="F59" s="18">
        <f t="shared" si="148"/>
        <v>0.22923566949710977</v>
      </c>
      <c r="H59" s="68">
        <f t="shared" si="105"/>
        <v>46.344513934617957</v>
      </c>
      <c r="I59" s="69">
        <f t="shared" si="106"/>
        <v>53.839871287530762</v>
      </c>
      <c r="J59" s="69">
        <f t="shared" si="107"/>
        <v>100.18438522214872</v>
      </c>
      <c r="L59" t="str">
        <f t="shared" si="140"/>
        <v>52 Skilled metal, electrical and electronic trades</v>
      </c>
      <c r="M59" s="18">
        <f t="shared" si="149"/>
        <v>0.75948213318773405</v>
      </c>
      <c r="N59" s="18">
        <f t="shared" si="149"/>
        <v>0.72424122669703983</v>
      </c>
      <c r="O59" s="18">
        <f t="shared" si="149"/>
        <v>0.6265611822771151</v>
      </c>
      <c r="P59" s="18">
        <f t="shared" si="149"/>
        <v>0.77576408732162261</v>
      </c>
      <c r="Q59" s="18">
        <f t="shared" si="149"/>
        <v>0.93340963754689343</v>
      </c>
      <c r="S59" s="68">
        <f t="shared" si="109"/>
        <v>120.49864506146932</v>
      </c>
      <c r="T59" s="69">
        <f t="shared" si="110"/>
        <v>83.378842072586707</v>
      </c>
      <c r="U59" s="69">
        <f t="shared" si="111"/>
        <v>203.87748713405608</v>
      </c>
      <c r="W59" t="str">
        <f t="shared" si="141"/>
        <v>52 Skilled metal, electrical and electronic trades</v>
      </c>
      <c r="X59" s="18">
        <f t="shared" si="150"/>
        <v>1.0110396109198483</v>
      </c>
      <c r="Y59" s="18">
        <f t="shared" si="150"/>
        <v>0.98864737534116609</v>
      </c>
      <c r="Z59" s="18">
        <f t="shared" si="150"/>
        <v>0.82612264717909467</v>
      </c>
      <c r="AA59" s="18">
        <f t="shared" si="150"/>
        <v>0.91967876576790342</v>
      </c>
      <c r="AB59" s="18">
        <f t="shared" si="150"/>
        <v>1.0073799121395244</v>
      </c>
      <c r="AD59" s="68">
        <f t="shared" si="113"/>
        <v>49.558890433195465</v>
      </c>
      <c r="AE59" s="69">
        <f t="shared" si="114"/>
        <v>64.4748466882793</v>
      </c>
      <c r="AF59" s="69">
        <f t="shared" si="115"/>
        <v>114.03373712147477</v>
      </c>
      <c r="AH59" t="str">
        <f t="shared" si="142"/>
        <v>52 Skilled metal, electrical and electronic trades</v>
      </c>
      <c r="AI59" s="18">
        <f t="shared" si="151"/>
        <v>1.216374890081821</v>
      </c>
      <c r="AJ59" s="18">
        <f t="shared" si="151"/>
        <v>1.3404600983974415</v>
      </c>
      <c r="AK59" s="18">
        <f t="shared" si="151"/>
        <v>1.1463670642687784</v>
      </c>
      <c r="AL59" s="18">
        <f t="shared" si="151"/>
        <v>1.1899512669848253</v>
      </c>
      <c r="AM59" s="18">
        <f t="shared" si="151"/>
        <v>1.311392803395609</v>
      </c>
      <c r="AO59" s="68">
        <f t="shared" si="117"/>
        <v>29.320446563192505</v>
      </c>
      <c r="AP59" s="69">
        <f t="shared" si="118"/>
        <v>52.196019097644793</v>
      </c>
      <c r="AQ59" s="69">
        <f t="shared" si="119"/>
        <v>81.516465660837298</v>
      </c>
      <c r="AS59" t="str">
        <f t="shared" si="143"/>
        <v>52 Skilled metal, electrical and electronic trades</v>
      </c>
      <c r="AT59" s="18">
        <f t="shared" si="152"/>
        <v>4.8677965790315403</v>
      </c>
      <c r="AU59" s="18">
        <f t="shared" si="152"/>
        <v>4.9379396255090828</v>
      </c>
      <c r="AV59" s="18">
        <f t="shared" si="152"/>
        <v>4.3515153343140316</v>
      </c>
      <c r="AW59" s="18">
        <f t="shared" si="152"/>
        <v>4.3572690481555636</v>
      </c>
      <c r="AX59" s="18">
        <f t="shared" si="152"/>
        <v>4.5858254726315568</v>
      </c>
      <c r="AZ59" s="68">
        <f t="shared" si="121"/>
        <v>23.679864870465842</v>
      </c>
      <c r="BA59" s="69">
        <f t="shared" si="122"/>
        <v>51.085429655452316</v>
      </c>
      <c r="BB59" s="69">
        <f t="shared" si="123"/>
        <v>74.765294525918165</v>
      </c>
      <c r="BD59" t="str">
        <f t="shared" si="144"/>
        <v>52 Skilled metal, electrical and electronic trades</v>
      </c>
      <c r="BE59" s="18">
        <f t="shared" si="153"/>
        <v>6.653633657226651</v>
      </c>
      <c r="BF59" s="18">
        <f t="shared" si="153"/>
        <v>6.7513155137227834</v>
      </c>
      <c r="BG59" s="18">
        <f t="shared" si="153"/>
        <v>6.0853525854303054</v>
      </c>
      <c r="BH59" s="18">
        <f t="shared" si="153"/>
        <v>6.1839363428072787</v>
      </c>
      <c r="BI59" s="18">
        <f t="shared" si="153"/>
        <v>6.0819575265771642</v>
      </c>
      <c r="BK59" s="68">
        <f t="shared" si="125"/>
        <v>-1.9531471191349645</v>
      </c>
      <c r="BL59" s="69">
        <f t="shared" si="126"/>
        <v>34.403185143444112</v>
      </c>
      <c r="BM59" s="69">
        <f t="shared" si="127"/>
        <v>32.450038024309144</v>
      </c>
      <c r="BO59" t="str">
        <f t="shared" si="145"/>
        <v>52 Skilled metal, electrical and electronic trades</v>
      </c>
      <c r="BP59" s="18">
        <f t="shared" si="154"/>
        <v>4.0758319708774486</v>
      </c>
      <c r="BQ59" s="18">
        <f t="shared" si="154"/>
        <v>4.4947526403367979</v>
      </c>
      <c r="BR59" s="18">
        <f t="shared" si="154"/>
        <v>3.9286686851140762</v>
      </c>
      <c r="BS59" s="18">
        <f t="shared" si="154"/>
        <v>3.8806972680197447</v>
      </c>
      <c r="BT59" s="18">
        <f t="shared" si="154"/>
        <v>3.9182796173416921</v>
      </c>
      <c r="BV59" s="68">
        <f t="shared" si="129"/>
        <v>-17.153410806484796</v>
      </c>
      <c r="BW59" s="69">
        <f t="shared" si="130"/>
        <v>33.419729501593068</v>
      </c>
      <c r="BX59" s="69">
        <f t="shared" si="131"/>
        <v>16.266318695108271</v>
      </c>
      <c r="BZ59" t="str">
        <f t="shared" si="146"/>
        <v>52 Skilled metal, electrical and electronic trades</v>
      </c>
      <c r="CA59" s="18">
        <f t="shared" si="155"/>
        <v>3.4935326317406332</v>
      </c>
      <c r="CB59" s="18">
        <f t="shared" si="155"/>
        <v>3.2856786544194478</v>
      </c>
      <c r="CC59" s="18">
        <f t="shared" si="155"/>
        <v>3.1293481727487507</v>
      </c>
      <c r="CD59" s="18">
        <f t="shared" si="155"/>
        <v>3.4144953859596532</v>
      </c>
      <c r="CE59" s="18">
        <f t="shared" si="155"/>
        <v>2.9314261923219176</v>
      </c>
      <c r="CG59" s="68">
        <f t="shared" si="133"/>
        <v>-39.675440589093597</v>
      </c>
      <c r="CH59" s="69">
        <f t="shared" si="134"/>
        <v>32.245555013435393</v>
      </c>
      <c r="CI59" s="69">
        <f t="shared" si="135"/>
        <v>-7.4298855756582043</v>
      </c>
      <c r="CK59" t="str">
        <f t="shared" si="147"/>
        <v>52 Skilled metal, electrical and electronic trades</v>
      </c>
      <c r="CL59" s="18">
        <f t="shared" si="156"/>
        <v>3.1790527282180308</v>
      </c>
      <c r="CM59" s="18">
        <f t="shared" si="156"/>
        <v>3.641724792424387</v>
      </c>
      <c r="CN59" s="18">
        <f t="shared" si="156"/>
        <v>3.2698040058726918</v>
      </c>
      <c r="CO59" s="18">
        <f t="shared" si="156"/>
        <v>4.0234486063802972</v>
      </c>
      <c r="CP59" s="18">
        <f t="shared" si="156"/>
        <v>3.1529837977180044</v>
      </c>
      <c r="CR59" s="68">
        <f t="shared" si="137"/>
        <v>-9.0680282287901726</v>
      </c>
      <c r="CS59" s="69">
        <f t="shared" si="138"/>
        <v>33.677863157962548</v>
      </c>
      <c r="CT59" s="69">
        <f t="shared" si="139"/>
        <v>24.609834929172379</v>
      </c>
    </row>
    <row r="60" spans="1:98" x14ac:dyDescent="0.2">
      <c r="A60" t="str">
        <f t="shared" si="103"/>
        <v>53 Skilled construction and building trades</v>
      </c>
      <c r="B60" s="18">
        <f t="shared" si="148"/>
        <v>0.16745213836799613</v>
      </c>
      <c r="C60" s="18">
        <f t="shared" si="148"/>
        <v>8.8653125704322364E-2</v>
      </c>
      <c r="D60" s="18">
        <f t="shared" si="148"/>
        <v>7.0354765880798836E-2</v>
      </c>
      <c r="E60" s="18">
        <f t="shared" si="148"/>
        <v>9.566333639543613E-2</v>
      </c>
      <c r="F60" s="18">
        <f t="shared" si="148"/>
        <v>8.1897170957905399E-2</v>
      </c>
      <c r="H60" s="68">
        <f t="shared" si="105"/>
        <v>70.265460118631367</v>
      </c>
      <c r="I60" s="69">
        <f t="shared" si="106"/>
        <v>72.467376427282403</v>
      </c>
      <c r="J60" s="69">
        <f t="shared" si="107"/>
        <v>142.73283654591378</v>
      </c>
      <c r="L60" t="str">
        <f t="shared" si="140"/>
        <v>53 Skilled construction and building trades</v>
      </c>
      <c r="M60" s="18">
        <f t="shared" si="149"/>
        <v>0.34260189482931674</v>
      </c>
      <c r="N60" s="18">
        <f t="shared" si="149"/>
        <v>0.29339405291849979</v>
      </c>
      <c r="O60" s="18">
        <f t="shared" si="149"/>
        <v>0.27151022184241086</v>
      </c>
      <c r="P60" s="18">
        <f t="shared" si="149"/>
        <v>0.28013456563839073</v>
      </c>
      <c r="Q60" s="18">
        <f t="shared" si="149"/>
        <v>0.27412923453884752</v>
      </c>
      <c r="S60" s="68">
        <f t="shared" si="109"/>
        <v>49.439807166249359</v>
      </c>
      <c r="T60" s="69">
        <f t="shared" si="110"/>
        <v>64.288704877045575</v>
      </c>
      <c r="U60" s="69">
        <f t="shared" si="111"/>
        <v>113.72851204329496</v>
      </c>
      <c r="W60" t="str">
        <f t="shared" si="141"/>
        <v>53 Skilled construction and building trades</v>
      </c>
      <c r="X60" s="18">
        <f t="shared" si="150"/>
        <v>0.57483266459364379</v>
      </c>
      <c r="Y60" s="18">
        <f t="shared" si="150"/>
        <v>0.50232396511702981</v>
      </c>
      <c r="Z60" s="18">
        <f t="shared" si="150"/>
        <v>0.45520846363533984</v>
      </c>
      <c r="AA60" s="18">
        <f t="shared" si="150"/>
        <v>0.50647898715316175</v>
      </c>
      <c r="AB60" s="18">
        <f t="shared" si="150"/>
        <v>0.50395780889483888</v>
      </c>
      <c r="AD60" s="68">
        <f t="shared" si="113"/>
        <v>35.783602492645478</v>
      </c>
      <c r="AE60" s="69">
        <f t="shared" si="114"/>
        <v>65.029812232760037</v>
      </c>
      <c r="AF60" s="69">
        <f t="shared" si="115"/>
        <v>100.81341472540551</v>
      </c>
      <c r="AH60" t="str">
        <f t="shared" si="142"/>
        <v>53 Skilled construction and building trades</v>
      </c>
      <c r="AI60" s="18">
        <f t="shared" si="151"/>
        <v>1.2412295621064759</v>
      </c>
      <c r="AJ60" s="18">
        <f t="shared" si="151"/>
        <v>1.3281408147127529</v>
      </c>
      <c r="AK60" s="18">
        <f t="shared" si="151"/>
        <v>1.183655263298367</v>
      </c>
      <c r="AL60" s="18">
        <f t="shared" si="151"/>
        <v>1.3562666411324813</v>
      </c>
      <c r="AM60" s="18">
        <f t="shared" si="151"/>
        <v>1.4109557666526944</v>
      </c>
      <c r="AO60" s="68">
        <f t="shared" si="117"/>
        <v>34.755427121085511</v>
      </c>
      <c r="AP60" s="69">
        <f t="shared" si="118"/>
        <v>69.512147181119133</v>
      </c>
      <c r="AQ60" s="69">
        <f t="shared" si="119"/>
        <v>104.26757430220465</v>
      </c>
      <c r="AS60" t="str">
        <f t="shared" si="143"/>
        <v>53 Skilled construction and building trades</v>
      </c>
      <c r="AT60" s="18">
        <f t="shared" si="152"/>
        <v>1.7584788089857517</v>
      </c>
      <c r="AU60" s="18">
        <f t="shared" si="152"/>
        <v>1.5956088537405777</v>
      </c>
      <c r="AV60" s="18">
        <f t="shared" si="152"/>
        <v>1.513664869061385</v>
      </c>
      <c r="AW60" s="18">
        <f t="shared" si="152"/>
        <v>1.7569581582881924</v>
      </c>
      <c r="AX60" s="18">
        <f t="shared" si="152"/>
        <v>1.6598078024576901</v>
      </c>
      <c r="AZ60" s="68">
        <f t="shared" si="121"/>
        <v>28.691560878819512</v>
      </c>
      <c r="BA60" s="69">
        <f t="shared" si="122"/>
        <v>67.116481390000786</v>
      </c>
      <c r="BB60" s="69">
        <f t="shared" si="123"/>
        <v>95.808042268820302</v>
      </c>
      <c r="BD60" t="str">
        <f t="shared" si="144"/>
        <v>53 Skilled construction and building trades</v>
      </c>
      <c r="BE60" s="18">
        <f t="shared" si="153"/>
        <v>4.9847622437036154</v>
      </c>
      <c r="BF60" s="18">
        <f t="shared" si="153"/>
        <v>4.4375364570052174</v>
      </c>
      <c r="BG60" s="18">
        <f t="shared" si="153"/>
        <v>4.1462250732384698</v>
      </c>
      <c r="BH60" s="18">
        <f t="shared" si="153"/>
        <v>4.2122880906080304</v>
      </c>
      <c r="BI60" s="18">
        <f t="shared" si="153"/>
        <v>3.6830876110191606</v>
      </c>
      <c r="BK60" s="68">
        <f t="shared" si="125"/>
        <v>-12.856460086038963</v>
      </c>
      <c r="BL60" s="69">
        <f t="shared" si="126"/>
        <v>35.812063346418817</v>
      </c>
      <c r="BM60" s="69">
        <f t="shared" si="127"/>
        <v>22.955603260379853</v>
      </c>
      <c r="BO60" t="str">
        <f t="shared" si="145"/>
        <v>53 Skilled construction and building trades</v>
      </c>
      <c r="BP60" s="18">
        <f t="shared" si="154"/>
        <v>4.2921513497610722</v>
      </c>
      <c r="BQ60" s="18">
        <f t="shared" si="154"/>
        <v>4.7504777244376291</v>
      </c>
      <c r="BR60" s="18">
        <f t="shared" si="154"/>
        <v>4.3507578543492578</v>
      </c>
      <c r="BS60" s="18">
        <f t="shared" si="154"/>
        <v>4.942711195729304</v>
      </c>
      <c r="BT60" s="18">
        <f t="shared" si="154"/>
        <v>5.7541023982904225</v>
      </c>
      <c r="BV60" s="68">
        <f t="shared" si="129"/>
        <v>9.8594161514487411</v>
      </c>
      <c r="BW60" s="69">
        <f t="shared" si="130"/>
        <v>47.994654300908316</v>
      </c>
      <c r="BX60" s="69">
        <f t="shared" si="131"/>
        <v>57.854070452357064</v>
      </c>
      <c r="BZ60" t="str">
        <f t="shared" si="146"/>
        <v>53 Skilled construction and building trades</v>
      </c>
      <c r="CA60" s="18">
        <f t="shared" si="155"/>
        <v>3.6076100556736157</v>
      </c>
      <c r="CB60" s="18">
        <f t="shared" si="155"/>
        <v>3.2996300985954843</v>
      </c>
      <c r="CC60" s="18">
        <f t="shared" si="155"/>
        <v>3.4100320000070088</v>
      </c>
      <c r="CD60" s="18">
        <f t="shared" si="155"/>
        <v>4.0281174474687695</v>
      </c>
      <c r="CE60" s="18">
        <f t="shared" si="155"/>
        <v>5.6741728638482449</v>
      </c>
      <c r="CG60" s="68">
        <f t="shared" si="133"/>
        <v>7.1551844842713415</v>
      </c>
      <c r="CH60" s="69">
        <f t="shared" si="134"/>
        <v>43.018903265005434</v>
      </c>
      <c r="CI60" s="69">
        <f t="shared" si="135"/>
        <v>50.174087749276772</v>
      </c>
      <c r="CK60" t="str">
        <f t="shared" si="147"/>
        <v>53 Skilled construction and building trades</v>
      </c>
      <c r="CL60" s="18">
        <f t="shared" si="156"/>
        <v>5.5571853635457895</v>
      </c>
      <c r="CM60" s="18">
        <f t="shared" si="156"/>
        <v>5.1083314231514727</v>
      </c>
      <c r="CN60" s="18">
        <f t="shared" si="156"/>
        <v>4.6957582698334699</v>
      </c>
      <c r="CO60" s="18">
        <f t="shared" si="156"/>
        <v>4.4146392632998559</v>
      </c>
      <c r="CP60" s="18">
        <f t="shared" si="156"/>
        <v>1.4855640684286753</v>
      </c>
      <c r="CR60" s="68">
        <f t="shared" si="137"/>
        <v>-70.166634734686312</v>
      </c>
      <c r="CS60" s="69">
        <f t="shared" si="138"/>
        <v>18.409042355794366</v>
      </c>
      <c r="CT60" s="69">
        <f t="shared" si="139"/>
        <v>-51.757592378891957</v>
      </c>
    </row>
    <row r="61" spans="1:98" x14ac:dyDescent="0.2">
      <c r="A61" t="str">
        <f t="shared" si="103"/>
        <v>54 Textiles, printing and other skilled trades</v>
      </c>
      <c r="B61" s="18">
        <f t="shared" si="148"/>
        <v>0.46689271072030336</v>
      </c>
      <c r="C61" s="18">
        <f t="shared" si="148"/>
        <v>0.41382760540849395</v>
      </c>
      <c r="D61" s="18">
        <f t="shared" si="148"/>
        <v>0.41952302390939444</v>
      </c>
      <c r="E61" s="18">
        <f t="shared" si="148"/>
        <v>0.46611830719256281</v>
      </c>
      <c r="F61" s="18">
        <f t="shared" si="148"/>
        <v>0.5026028367978197</v>
      </c>
      <c r="H61" s="68">
        <f t="shared" si="105"/>
        <v>75.234782479875861</v>
      </c>
      <c r="I61" s="69">
        <f t="shared" si="106"/>
        <v>73.901211914210137</v>
      </c>
      <c r="J61" s="69">
        <f t="shared" si="107"/>
        <v>149.13599439408597</v>
      </c>
      <c r="L61" t="str">
        <f t="shared" si="140"/>
        <v>54 Textiles, printing and other skilled trades</v>
      </c>
      <c r="M61" s="18">
        <f t="shared" si="149"/>
        <v>0.64695548506723299</v>
      </c>
      <c r="N61" s="18">
        <f t="shared" si="149"/>
        <v>0.58262891327481947</v>
      </c>
      <c r="O61" s="18">
        <f t="shared" si="149"/>
        <v>0.58764680815475567</v>
      </c>
      <c r="P61" s="18">
        <f t="shared" si="149"/>
        <v>0.63649462152815162</v>
      </c>
      <c r="Q61" s="18">
        <f t="shared" si="149"/>
        <v>0.72854343243876662</v>
      </c>
      <c r="S61" s="68">
        <f t="shared" si="109"/>
        <v>83.500053678330119</v>
      </c>
      <c r="T61" s="69">
        <f t="shared" si="110"/>
        <v>80.101172497927777</v>
      </c>
      <c r="U61" s="69">
        <f t="shared" si="111"/>
        <v>163.60122617625791</v>
      </c>
      <c r="W61" t="str">
        <f t="shared" si="141"/>
        <v>54 Textiles, printing and other skilled trades</v>
      </c>
      <c r="X61" s="18">
        <f t="shared" si="150"/>
        <v>0.95841683213054862</v>
      </c>
      <c r="Y61" s="18">
        <f t="shared" si="150"/>
        <v>0.88245642455312912</v>
      </c>
      <c r="Z61" s="18">
        <f t="shared" si="150"/>
        <v>0.83431370142028483</v>
      </c>
      <c r="AA61" s="18">
        <f t="shared" si="150"/>
        <v>0.94988199469362333</v>
      </c>
      <c r="AB61" s="18">
        <f t="shared" si="150"/>
        <v>1.0795690879300468</v>
      </c>
      <c r="AD61" s="68">
        <f t="shared" si="113"/>
        <v>58.702782360007291</v>
      </c>
      <c r="AE61" s="69">
        <f t="shared" si="114"/>
        <v>73.820137353486388</v>
      </c>
      <c r="AF61" s="69">
        <f t="shared" si="115"/>
        <v>132.52291971349368</v>
      </c>
      <c r="AH61" t="str">
        <f t="shared" si="142"/>
        <v>54 Textiles, printing and other skilled trades</v>
      </c>
      <c r="AI61" s="18">
        <f t="shared" si="151"/>
        <v>1.2878978464530486</v>
      </c>
      <c r="AJ61" s="18">
        <f t="shared" si="151"/>
        <v>1.1855712522136601</v>
      </c>
      <c r="AK61" s="18">
        <f t="shared" si="151"/>
        <v>1.1440574734426079</v>
      </c>
      <c r="AL61" s="18">
        <f t="shared" si="151"/>
        <v>1.2144045395056053</v>
      </c>
      <c r="AM61" s="18">
        <f t="shared" si="151"/>
        <v>1.3597665933941228</v>
      </c>
      <c r="AO61" s="68">
        <f t="shared" si="117"/>
        <v>34.36143220162036</v>
      </c>
      <c r="AP61" s="69">
        <f t="shared" si="118"/>
        <v>63.236655420048272</v>
      </c>
      <c r="AQ61" s="69">
        <f t="shared" si="119"/>
        <v>97.598087621668626</v>
      </c>
      <c r="AS61" t="str">
        <f t="shared" si="143"/>
        <v>54 Textiles, printing and other skilled trades</v>
      </c>
      <c r="AT61" s="18">
        <f t="shared" si="152"/>
        <v>1.5547245617489709</v>
      </c>
      <c r="AU61" s="18">
        <f t="shared" si="152"/>
        <v>1.4002428491390055</v>
      </c>
      <c r="AV61" s="18">
        <f t="shared" si="152"/>
        <v>1.3453763877366893</v>
      </c>
      <c r="AW61" s="18">
        <f t="shared" si="152"/>
        <v>1.5196647733910924</v>
      </c>
      <c r="AX61" s="18">
        <f t="shared" si="152"/>
        <v>1.6646962260089671</v>
      </c>
      <c r="AZ61" s="68">
        <f t="shared" si="121"/>
        <v>45.215572624837804</v>
      </c>
      <c r="BA61" s="69">
        <f t="shared" si="122"/>
        <v>67.127203405511978</v>
      </c>
      <c r="BB61" s="69">
        <f t="shared" si="123"/>
        <v>112.34277603034977</v>
      </c>
      <c r="BD61" t="str">
        <f t="shared" si="144"/>
        <v>54 Textiles, printing and other skilled trades</v>
      </c>
      <c r="BE61" s="18">
        <f t="shared" si="153"/>
        <v>2.8936714376383903</v>
      </c>
      <c r="BF61" s="18">
        <f t="shared" si="153"/>
        <v>2.7192738206515759</v>
      </c>
      <c r="BG61" s="18">
        <f t="shared" si="153"/>
        <v>2.5203202933150224</v>
      </c>
      <c r="BH61" s="18">
        <f t="shared" si="153"/>
        <v>2.7878990521485552</v>
      </c>
      <c r="BI61" s="18">
        <f t="shared" si="153"/>
        <v>3.0989245589848062</v>
      </c>
      <c r="BK61" s="68">
        <f t="shared" si="125"/>
        <v>20.623323158569772</v>
      </c>
      <c r="BL61" s="69">
        <f t="shared" si="126"/>
        <v>46.307249156953098</v>
      </c>
      <c r="BM61" s="69">
        <f t="shared" si="127"/>
        <v>66.93057231552288</v>
      </c>
      <c r="BO61" t="str">
        <f t="shared" si="145"/>
        <v>54 Textiles, printing and other skilled trades</v>
      </c>
      <c r="BP61" s="18">
        <f t="shared" si="154"/>
        <v>2.9744112882812654</v>
      </c>
      <c r="BQ61" s="18">
        <f t="shared" si="154"/>
        <v>2.5396700624633373</v>
      </c>
      <c r="BR61" s="18">
        <f t="shared" si="154"/>
        <v>2.5153844297313013</v>
      </c>
      <c r="BS61" s="18">
        <f t="shared" si="154"/>
        <v>2.3117548163763937</v>
      </c>
      <c r="BT61" s="18">
        <f t="shared" si="154"/>
        <v>2.4550866848793884</v>
      </c>
      <c r="BV61" s="68">
        <f t="shared" si="129"/>
        <v>-18.924977861006976</v>
      </c>
      <c r="BW61" s="69">
        <f t="shared" si="130"/>
        <v>34.489720908834812</v>
      </c>
      <c r="BX61" s="69">
        <f t="shared" si="131"/>
        <v>15.564743047827836</v>
      </c>
      <c r="BZ61" t="str">
        <f t="shared" si="146"/>
        <v>54 Textiles, printing and other skilled trades</v>
      </c>
      <c r="CA61" s="18">
        <f t="shared" si="155"/>
        <v>3.8851576295551014</v>
      </c>
      <c r="CB61" s="18">
        <f t="shared" si="155"/>
        <v>3.5675978190842095</v>
      </c>
      <c r="CC61" s="18">
        <f t="shared" si="155"/>
        <v>3.5176163229211603</v>
      </c>
      <c r="CD61" s="18">
        <f t="shared" si="155"/>
        <v>3.863771154886491</v>
      </c>
      <c r="CE61" s="18">
        <f t="shared" si="155"/>
        <v>4.8726930815621214</v>
      </c>
      <c r="CG61" s="68">
        <f t="shared" si="133"/>
        <v>-10.794903040152024</v>
      </c>
      <c r="CH61" s="69">
        <f t="shared" si="134"/>
        <v>36.293596658552126</v>
      </c>
      <c r="CI61" s="69">
        <f t="shared" si="135"/>
        <v>25.498693618400104</v>
      </c>
      <c r="CK61" t="str">
        <f t="shared" si="147"/>
        <v>54 Textiles, printing and other skilled trades</v>
      </c>
      <c r="CL61" s="18">
        <f t="shared" si="156"/>
        <v>4.5271642813378108</v>
      </c>
      <c r="CM61" s="18">
        <f t="shared" si="156"/>
        <v>4.1905372325169203</v>
      </c>
      <c r="CN61" s="18">
        <f t="shared" si="156"/>
        <v>4.1417490580217038</v>
      </c>
      <c r="CO61" s="18">
        <f t="shared" si="156"/>
        <v>3.3718833861804223</v>
      </c>
      <c r="CP61" s="18">
        <f t="shared" si="156"/>
        <v>2.4225049574169812</v>
      </c>
      <c r="CR61" s="68">
        <f t="shared" si="137"/>
        <v>-44.843400505501577</v>
      </c>
      <c r="CS61" s="69">
        <f t="shared" si="138"/>
        <v>19.645153465784968</v>
      </c>
      <c r="CT61" s="69">
        <f t="shared" si="139"/>
        <v>-25.198247039716616</v>
      </c>
    </row>
    <row r="62" spans="1:98" x14ac:dyDescent="0.2">
      <c r="A62" t="str">
        <f t="shared" si="103"/>
        <v>61 Caring personal service occupations</v>
      </c>
      <c r="B62" s="18">
        <f t="shared" si="148"/>
        <v>0.39917671210796507</v>
      </c>
      <c r="C62" s="18">
        <f t="shared" si="148"/>
        <v>0.41073068226151527</v>
      </c>
      <c r="D62" s="18">
        <f t="shared" si="148"/>
        <v>0.38368947086034638</v>
      </c>
      <c r="E62" s="18">
        <f t="shared" si="148"/>
        <v>0.45525038873765589</v>
      </c>
      <c r="F62" s="18">
        <f t="shared" si="148"/>
        <v>0.50146436111067161</v>
      </c>
      <c r="H62" s="68">
        <f t="shared" si="105"/>
        <v>91.166315829001604</v>
      </c>
      <c r="I62" s="69">
        <f t="shared" si="106"/>
        <v>83.413221184641714</v>
      </c>
      <c r="J62" s="69">
        <f t="shared" si="107"/>
        <v>174.57953701364332</v>
      </c>
      <c r="L62" t="str">
        <f t="shared" si="140"/>
        <v>61 Caring personal service occupations</v>
      </c>
      <c r="M62" s="18">
        <f t="shared" si="149"/>
        <v>2.5615421636888085</v>
      </c>
      <c r="N62" s="18">
        <f t="shared" si="149"/>
        <v>2.8442316017159359</v>
      </c>
      <c r="O62" s="18">
        <f t="shared" si="149"/>
        <v>2.6728798266841904</v>
      </c>
      <c r="P62" s="18">
        <f t="shared" si="149"/>
        <v>3.0315800083024982</v>
      </c>
      <c r="Q62" s="18">
        <f t="shared" si="149"/>
        <v>3.2066012509951816</v>
      </c>
      <c r="S62" s="68">
        <f t="shared" si="109"/>
        <v>77.567162239686127</v>
      </c>
      <c r="T62" s="69">
        <f t="shared" si="110"/>
        <v>84.972872737521399</v>
      </c>
      <c r="U62" s="69">
        <f t="shared" si="111"/>
        <v>162.54003497720754</v>
      </c>
      <c r="W62" t="str">
        <f t="shared" si="141"/>
        <v>61 Caring personal service occupations</v>
      </c>
      <c r="X62" s="18">
        <f t="shared" si="150"/>
        <v>3.8803701066212608</v>
      </c>
      <c r="Y62" s="18">
        <f t="shared" si="150"/>
        <v>4.2252095819828446</v>
      </c>
      <c r="Z62" s="18">
        <f t="shared" si="150"/>
        <v>4.0199358433501127</v>
      </c>
      <c r="AA62" s="18">
        <f t="shared" si="150"/>
        <v>4.4704110263670005</v>
      </c>
      <c r="AB62" s="18">
        <f t="shared" si="150"/>
        <v>4.6305332348250827</v>
      </c>
      <c r="AD62" s="68">
        <f t="shared" si="113"/>
        <v>41.278267231861797</v>
      </c>
      <c r="AE62" s="69">
        <f t="shared" si="114"/>
        <v>79.190404505718305</v>
      </c>
      <c r="AF62" s="69">
        <f t="shared" si="115"/>
        <v>120.46867173758011</v>
      </c>
      <c r="AH62" t="str">
        <f t="shared" si="142"/>
        <v>61 Caring personal service occupations</v>
      </c>
      <c r="AI62" s="18">
        <f t="shared" si="151"/>
        <v>12.503377589287181</v>
      </c>
      <c r="AJ62" s="18">
        <f t="shared" si="151"/>
        <v>12.642039484957346</v>
      </c>
      <c r="AK62" s="18">
        <f t="shared" si="151"/>
        <v>12.163421007713559</v>
      </c>
      <c r="AL62" s="18">
        <f t="shared" si="151"/>
        <v>12.79873380123154</v>
      </c>
      <c r="AM62" s="18">
        <f t="shared" si="151"/>
        <v>11.986223638439707</v>
      </c>
      <c r="AO62" s="68">
        <f t="shared" si="117"/>
        <v>11.399883604526423</v>
      </c>
      <c r="AP62" s="69">
        <f t="shared" si="118"/>
        <v>61.697637796604454</v>
      </c>
      <c r="AQ62" s="69">
        <f t="shared" si="119"/>
        <v>73.097521401130876</v>
      </c>
      <c r="AS62" t="str">
        <f t="shared" si="143"/>
        <v>61 Caring personal service occupations</v>
      </c>
      <c r="AT62" s="18">
        <f t="shared" si="152"/>
        <v>6.6948689336770579</v>
      </c>
      <c r="AU62" s="18">
        <f t="shared" si="152"/>
        <v>7.0803245808794104</v>
      </c>
      <c r="AV62" s="18">
        <f t="shared" si="152"/>
        <v>6.8226369311211803</v>
      </c>
      <c r="AW62" s="18">
        <f t="shared" si="152"/>
        <v>7.1065033002163851</v>
      </c>
      <c r="AX62" s="18">
        <f t="shared" si="152"/>
        <v>6.715266482959235</v>
      </c>
      <c r="AZ62" s="68">
        <f t="shared" si="121"/>
        <v>15.513565382468006</v>
      </c>
      <c r="BA62" s="69">
        <f t="shared" si="122"/>
        <v>64.077096113862382</v>
      </c>
      <c r="BB62" s="69">
        <f t="shared" si="123"/>
        <v>79.590661496330384</v>
      </c>
      <c r="BD62" t="str">
        <f t="shared" si="144"/>
        <v>61 Caring personal service occupations</v>
      </c>
      <c r="BE62" s="18">
        <f t="shared" si="153"/>
        <v>11.066690236508277</v>
      </c>
      <c r="BF62" s="18">
        <f t="shared" si="153"/>
        <v>12.460296844365478</v>
      </c>
      <c r="BG62" s="18">
        <f t="shared" si="153"/>
        <v>11.946687764376309</v>
      </c>
      <c r="BH62" s="18">
        <f t="shared" si="153"/>
        <v>13.023444582006535</v>
      </c>
      <c r="BI62" s="18">
        <f t="shared" si="153"/>
        <v>14.79711564947079</v>
      </c>
      <c r="BK62" s="68">
        <f t="shared" si="125"/>
        <v>21.50819696154359</v>
      </c>
      <c r="BL62" s="69">
        <f t="shared" si="126"/>
        <v>62.931097277912784</v>
      </c>
      <c r="BM62" s="69">
        <f t="shared" si="127"/>
        <v>84.439294239456387</v>
      </c>
      <c r="BO62" t="str">
        <f t="shared" si="145"/>
        <v>61 Caring personal service occupations</v>
      </c>
      <c r="BP62" s="18">
        <f t="shared" si="154"/>
        <v>8.8640310726911551</v>
      </c>
      <c r="BQ62" s="18">
        <f t="shared" si="154"/>
        <v>8.7267893309783844</v>
      </c>
      <c r="BR62" s="18">
        <f t="shared" si="154"/>
        <v>8.6907570804953398</v>
      </c>
      <c r="BS62" s="18">
        <f t="shared" si="154"/>
        <v>8.9497241612968654</v>
      </c>
      <c r="BT62" s="18">
        <f t="shared" si="154"/>
        <v>8.7670144783424391</v>
      </c>
      <c r="BV62" s="68">
        <f t="shared" si="129"/>
        <v>-16.204880205826075</v>
      </c>
      <c r="BW62" s="69">
        <f t="shared" si="130"/>
        <v>44.349354008644831</v>
      </c>
      <c r="BX62" s="69">
        <f t="shared" si="131"/>
        <v>28.144473802818755</v>
      </c>
      <c r="BZ62" t="str">
        <f t="shared" si="146"/>
        <v>61 Caring personal service occupations</v>
      </c>
      <c r="CA62" s="18">
        <f t="shared" si="155"/>
        <v>4.1563271213156536</v>
      </c>
      <c r="CB62" s="18">
        <f t="shared" si="155"/>
        <v>2.8474992209838232</v>
      </c>
      <c r="CC62" s="18">
        <f t="shared" si="155"/>
        <v>2.7226732160524647</v>
      </c>
      <c r="CD62" s="18">
        <f t="shared" si="155"/>
        <v>2.4045048163264102</v>
      </c>
      <c r="CE62" s="18">
        <f t="shared" si="155"/>
        <v>3.023837145405786</v>
      </c>
      <c r="CG62" s="68">
        <f t="shared" si="133"/>
        <v>-28.479266640616689</v>
      </c>
      <c r="CH62" s="69">
        <f t="shared" si="134"/>
        <v>26.353274175084639</v>
      </c>
      <c r="CI62" s="69">
        <f t="shared" si="135"/>
        <v>-2.1259924655320521</v>
      </c>
      <c r="CK62" t="str">
        <f t="shared" si="147"/>
        <v>61 Caring personal service occupations</v>
      </c>
      <c r="CL62" s="18">
        <f t="shared" si="156"/>
        <v>1.9668275683929279</v>
      </c>
      <c r="CM62" s="18">
        <f t="shared" si="156"/>
        <v>1.638624370823017</v>
      </c>
      <c r="CN62" s="18">
        <f t="shared" si="156"/>
        <v>1.8349510078735378</v>
      </c>
      <c r="CO62" s="18">
        <f t="shared" si="156"/>
        <v>2.416304176636856</v>
      </c>
      <c r="CP62" s="18">
        <f t="shared" si="156"/>
        <v>3.1255397979618107</v>
      </c>
      <c r="CR62" s="68">
        <f t="shared" si="137"/>
        <v>60.626483175270529</v>
      </c>
      <c r="CS62" s="69">
        <f t="shared" si="138"/>
        <v>34.832957607075649</v>
      </c>
      <c r="CT62" s="69">
        <f t="shared" si="139"/>
        <v>95.459440782346178</v>
      </c>
    </row>
    <row r="63" spans="1:98" x14ac:dyDescent="0.2">
      <c r="A63" t="str">
        <f t="shared" si="103"/>
        <v>62 Leisure, travel and related personal service occupations</v>
      </c>
      <c r="B63" s="18">
        <f t="shared" si="148"/>
        <v>0.22340846510577952</v>
      </c>
      <c r="C63" s="18">
        <f t="shared" si="148"/>
        <v>0.25513318078105252</v>
      </c>
      <c r="D63" s="18">
        <f t="shared" si="148"/>
        <v>0.26001371713565535</v>
      </c>
      <c r="E63" s="18">
        <f t="shared" si="148"/>
        <v>0.27441170174137069</v>
      </c>
      <c r="F63" s="18">
        <f t="shared" si="148"/>
        <v>0.29609376940099641</v>
      </c>
      <c r="H63" s="68">
        <f t="shared" si="105"/>
        <v>66.565168126474717</v>
      </c>
      <c r="I63" s="69">
        <f t="shared" si="106"/>
        <v>74.815772685287698</v>
      </c>
      <c r="J63" s="69">
        <f t="shared" si="107"/>
        <v>141.3809408117624</v>
      </c>
      <c r="L63" t="str">
        <f t="shared" si="140"/>
        <v>62 Leisure, travel and related personal service occupations</v>
      </c>
      <c r="M63" s="18">
        <f t="shared" si="149"/>
        <v>0.56192189709071272</v>
      </c>
      <c r="N63" s="18">
        <f t="shared" si="149"/>
        <v>0.57474716337193088</v>
      </c>
      <c r="O63" s="18">
        <f t="shared" si="149"/>
        <v>0.51277402208232703</v>
      </c>
      <c r="P63" s="18">
        <f t="shared" si="149"/>
        <v>0.54489034361559141</v>
      </c>
      <c r="Q63" s="18">
        <f t="shared" si="149"/>
        <v>0.56806124965395177</v>
      </c>
      <c r="S63" s="68">
        <f t="shared" si="109"/>
        <v>63.970710872828654</v>
      </c>
      <c r="T63" s="69">
        <f t="shared" si="110"/>
        <v>75.728455793602151</v>
      </c>
      <c r="U63" s="69">
        <f t="shared" si="111"/>
        <v>139.69916666643081</v>
      </c>
      <c r="W63" t="str">
        <f t="shared" si="141"/>
        <v>62 Leisure, travel and related personal service occupations</v>
      </c>
      <c r="X63" s="18">
        <f t="shared" si="150"/>
        <v>1.2304710844598941</v>
      </c>
      <c r="Y63" s="18">
        <f t="shared" si="150"/>
        <v>1.36112691874628</v>
      </c>
      <c r="Z63" s="18">
        <f t="shared" si="150"/>
        <v>1.2552809854780329</v>
      </c>
      <c r="AA63" s="18">
        <f t="shared" si="150"/>
        <v>1.4395458398499026</v>
      </c>
      <c r="AB63" s="18">
        <f t="shared" si="150"/>
        <v>1.6923597242292667</v>
      </c>
      <c r="AD63" s="68">
        <f t="shared" si="113"/>
        <v>65.354191007607582</v>
      </c>
      <c r="AE63" s="69">
        <f t="shared" si="114"/>
        <v>81.748217022396105</v>
      </c>
      <c r="AF63" s="69">
        <f t="shared" si="115"/>
        <v>147.10240803000369</v>
      </c>
      <c r="AH63" t="str">
        <f t="shared" si="142"/>
        <v>62 Leisure, travel and related personal service occupations</v>
      </c>
      <c r="AI63" s="18">
        <f t="shared" si="151"/>
        <v>2.7723594352375169</v>
      </c>
      <c r="AJ63" s="18">
        <f t="shared" si="151"/>
        <v>3.175162480516093</v>
      </c>
      <c r="AK63" s="18">
        <f t="shared" si="151"/>
        <v>2.9549211375291944</v>
      </c>
      <c r="AL63" s="18">
        <f t="shared" si="151"/>
        <v>3.2618748859098732</v>
      </c>
      <c r="AM63" s="18">
        <f t="shared" si="151"/>
        <v>3.8493798934847994</v>
      </c>
      <c r="AO63" s="68">
        <f t="shared" si="117"/>
        <v>47.266165373728263</v>
      </c>
      <c r="AP63" s="69">
        <f t="shared" si="118"/>
        <v>74.649804482061498</v>
      </c>
      <c r="AQ63" s="69">
        <f t="shared" si="119"/>
        <v>121.91596985578977</v>
      </c>
      <c r="AS63" t="str">
        <f t="shared" si="143"/>
        <v>62 Leisure, travel and related personal service occupations</v>
      </c>
      <c r="AT63" s="18">
        <f t="shared" si="152"/>
        <v>3.3375583225476255</v>
      </c>
      <c r="AU63" s="18">
        <f t="shared" si="152"/>
        <v>3.8172505414755658</v>
      </c>
      <c r="AV63" s="18">
        <f t="shared" si="152"/>
        <v>3.7830688493842115</v>
      </c>
      <c r="AW63" s="18">
        <f t="shared" si="152"/>
        <v>4.2494027246226933</v>
      </c>
      <c r="AX63" s="18">
        <f t="shared" si="152"/>
        <v>5.1972242578042689</v>
      </c>
      <c r="AZ63" s="68">
        <f t="shared" si="121"/>
        <v>61.231245767280384</v>
      </c>
      <c r="BA63" s="69">
        <f t="shared" si="122"/>
        <v>80.594850346470409</v>
      </c>
      <c r="BB63" s="69">
        <f t="shared" si="123"/>
        <v>141.82609611375079</v>
      </c>
      <c r="BD63" t="str">
        <f t="shared" si="144"/>
        <v>62 Leisure, travel and related personal service occupations</v>
      </c>
      <c r="BE63" s="18">
        <f t="shared" si="153"/>
        <v>3.5400094727532605</v>
      </c>
      <c r="BF63" s="18">
        <f t="shared" si="153"/>
        <v>3.4608593934124987</v>
      </c>
      <c r="BG63" s="18">
        <f t="shared" si="153"/>
        <v>3.2795305798574095</v>
      </c>
      <c r="BH63" s="18">
        <f t="shared" si="153"/>
        <v>3.1101938371270137</v>
      </c>
      <c r="BI63" s="18">
        <f t="shared" si="153"/>
        <v>2.7994931217776142</v>
      </c>
      <c r="BK63" s="68">
        <f t="shared" si="125"/>
        <v>-16.257920423667812</v>
      </c>
      <c r="BL63" s="69">
        <f t="shared" si="126"/>
        <v>42.26951184238137</v>
      </c>
      <c r="BM63" s="69">
        <f t="shared" si="127"/>
        <v>26.011591418713557</v>
      </c>
      <c r="BO63" t="str">
        <f t="shared" si="145"/>
        <v>62 Leisure, travel and related personal service occupations</v>
      </c>
      <c r="BP63" s="18">
        <f t="shared" si="154"/>
        <v>3.5584276570276909</v>
      </c>
      <c r="BQ63" s="18">
        <f t="shared" si="154"/>
        <v>3.3433349377880948</v>
      </c>
      <c r="BR63" s="18">
        <f t="shared" si="154"/>
        <v>3.3363381084755761</v>
      </c>
      <c r="BS63" s="18">
        <f t="shared" si="154"/>
        <v>3.0816105595478529</v>
      </c>
      <c r="BT63" s="18">
        <f t="shared" si="154"/>
        <v>2.9289517125960263</v>
      </c>
      <c r="BV63" s="68">
        <f t="shared" si="129"/>
        <v>-27.076623517473031</v>
      </c>
      <c r="BW63" s="69">
        <f t="shared" si="130"/>
        <v>38.460957569316093</v>
      </c>
      <c r="BX63" s="69">
        <f t="shared" si="131"/>
        <v>11.384334051843057</v>
      </c>
      <c r="BZ63" t="str">
        <f t="shared" si="146"/>
        <v>62 Leisure, travel and related personal service occupations</v>
      </c>
      <c r="CA63" s="18">
        <f t="shared" si="155"/>
        <v>3.150922497391099</v>
      </c>
      <c r="CB63" s="18">
        <f t="shared" si="155"/>
        <v>3.5427881157603465</v>
      </c>
      <c r="CC63" s="18">
        <f t="shared" si="155"/>
        <v>3.3439491805338699</v>
      </c>
      <c r="CD63" s="18">
        <f t="shared" si="155"/>
        <v>3.5294024902841206</v>
      </c>
      <c r="CE63" s="18">
        <f t="shared" si="155"/>
        <v>3.8470537331614145</v>
      </c>
      <c r="CG63" s="68">
        <f t="shared" si="133"/>
        <v>-25.913741267177095</v>
      </c>
      <c r="CH63" s="69">
        <f t="shared" si="134"/>
        <v>38.195694917197031</v>
      </c>
      <c r="CI63" s="69">
        <f t="shared" si="135"/>
        <v>12.281953650019938</v>
      </c>
      <c r="CK63" t="str">
        <f t="shared" si="147"/>
        <v>62 Leisure, travel and related personal service occupations</v>
      </c>
      <c r="CL63" s="18">
        <f t="shared" si="156"/>
        <v>3.2742653032396882</v>
      </c>
      <c r="CM63" s="18">
        <f t="shared" si="156"/>
        <v>3.3043317786920108</v>
      </c>
      <c r="CN63" s="18">
        <f t="shared" si="156"/>
        <v>3.1843577120039352</v>
      </c>
      <c r="CO63" s="18">
        <f t="shared" si="156"/>
        <v>2.9000764951655986</v>
      </c>
      <c r="CP63" s="18">
        <f t="shared" si="156"/>
        <v>2.9381207523725634</v>
      </c>
      <c r="CR63" s="68">
        <f t="shared" si="137"/>
        <v>-12.990958642640882</v>
      </c>
      <c r="CS63" s="69">
        <f t="shared" si="138"/>
        <v>26.078311097068617</v>
      </c>
      <c r="CT63" s="69">
        <f t="shared" si="139"/>
        <v>13.087352454427734</v>
      </c>
    </row>
    <row r="64" spans="1:98" x14ac:dyDescent="0.2">
      <c r="A64" t="str">
        <f t="shared" si="103"/>
        <v>63 Community and civil enforcement occupations</v>
      </c>
      <c r="B64" s="18">
        <f t="shared" si="148"/>
        <v>1.6308296123795456E-2</v>
      </c>
      <c r="C64" s="18">
        <f t="shared" si="148"/>
        <v>1.2631647651690654E-2</v>
      </c>
      <c r="D64" s="18">
        <f t="shared" si="148"/>
        <v>1.4167153220780566E-2</v>
      </c>
      <c r="E64" s="18">
        <f t="shared" si="148"/>
        <v>1.2856054728864382E-2</v>
      </c>
      <c r="F64" s="18">
        <f t="shared" si="148"/>
        <v>1.4290453512740591E-2</v>
      </c>
      <c r="H64" s="68">
        <f t="shared" si="105"/>
        <v>47.541637533492171</v>
      </c>
      <c r="I64" s="69">
        <f t="shared" si="106"/>
        <v>65.051906939272868</v>
      </c>
      <c r="J64" s="69">
        <f t="shared" si="107"/>
        <v>112.59354447276505</v>
      </c>
      <c r="L64" t="str">
        <f t="shared" si="140"/>
        <v>63 Community and civil enforcement occupations</v>
      </c>
      <c r="M64" s="18">
        <f t="shared" si="149"/>
        <v>4.2610773673173591E-2</v>
      </c>
      <c r="N64" s="18">
        <f t="shared" si="149"/>
        <v>3.236361175073664E-2</v>
      </c>
      <c r="O64" s="18">
        <f t="shared" si="149"/>
        <v>4.4426667520640353E-2</v>
      </c>
      <c r="P64" s="18">
        <f t="shared" si="149"/>
        <v>3.3838947598246377E-2</v>
      </c>
      <c r="Q64" s="18">
        <f t="shared" si="149"/>
        <v>3.7578704115990118E-2</v>
      </c>
      <c r="S64" s="68">
        <f t="shared" si="109"/>
        <v>25.197365894549744</v>
      </c>
      <c r="T64" s="69">
        <f t="shared" si="110"/>
        <v>54.232811554903094</v>
      </c>
      <c r="U64" s="69">
        <f t="shared" si="111"/>
        <v>79.430177449452827</v>
      </c>
      <c r="W64" t="str">
        <f t="shared" si="141"/>
        <v>63 Community and civil enforcement occupations</v>
      </c>
      <c r="X64" s="18">
        <f t="shared" si="150"/>
        <v>9.074853110919559E-2</v>
      </c>
      <c r="Y64" s="18">
        <f t="shared" si="150"/>
        <v>8.3556489150893212E-2</v>
      </c>
      <c r="Z64" s="18">
        <f t="shared" si="150"/>
        <v>9.2973039474194316E-2</v>
      </c>
      <c r="AA64" s="18">
        <f t="shared" si="150"/>
        <v>9.2302731710174488E-2</v>
      </c>
      <c r="AB64" s="18">
        <f t="shared" si="150"/>
        <v>9.7291210688775664E-2</v>
      </c>
      <c r="AD64" s="68">
        <f t="shared" si="113"/>
        <v>28.345325177872265</v>
      </c>
      <c r="AE64" s="69">
        <f t="shared" si="114"/>
        <v>70.813353630221243</v>
      </c>
      <c r="AF64" s="69">
        <f t="shared" si="115"/>
        <v>99.158678808093512</v>
      </c>
      <c r="AH64" t="str">
        <f t="shared" si="142"/>
        <v>63 Community and civil enforcement occupations</v>
      </c>
      <c r="AI64" s="18">
        <f t="shared" si="151"/>
        <v>9.2273760816427547E-2</v>
      </c>
      <c r="AJ64" s="18">
        <f t="shared" si="151"/>
        <v>8.1718273266004712E-2</v>
      </c>
      <c r="AK64" s="18">
        <f t="shared" si="151"/>
        <v>0.10690124016857039</v>
      </c>
      <c r="AL64" s="18">
        <f t="shared" si="151"/>
        <v>8.8497510776148786E-2</v>
      </c>
      <c r="AM64" s="18">
        <f t="shared" si="151"/>
        <v>9.2987480346642351E-2</v>
      </c>
      <c r="AO64" s="68">
        <f t="shared" si="117"/>
        <v>-1.6668761508234677</v>
      </c>
      <c r="AP64" s="69">
        <f t="shared" si="118"/>
        <v>52.982391791833635</v>
      </c>
      <c r="AQ64" s="69">
        <f t="shared" si="119"/>
        <v>51.315515641010165</v>
      </c>
      <c r="AS64" t="str">
        <f t="shared" si="143"/>
        <v>63 Community and civil enforcement occupations</v>
      </c>
      <c r="AT64" s="18">
        <f t="shared" si="152"/>
        <v>9.2364192331653966E-2</v>
      </c>
      <c r="AU64" s="18">
        <f t="shared" si="152"/>
        <v>7.1963459679437985E-2</v>
      </c>
      <c r="AV64" s="18">
        <f t="shared" si="152"/>
        <v>9.0734970521966787E-2</v>
      </c>
      <c r="AW64" s="18">
        <f t="shared" si="152"/>
        <v>6.9224242490557003E-2</v>
      </c>
      <c r="AX64" s="18">
        <f t="shared" si="152"/>
        <v>6.4706809368999765E-2</v>
      </c>
      <c r="AZ64" s="68">
        <f t="shared" si="121"/>
        <v>-16.305430224348985</v>
      </c>
      <c r="BA64" s="69">
        <f t="shared" si="122"/>
        <v>48.279192482268598</v>
      </c>
      <c r="BB64" s="69">
        <f t="shared" si="123"/>
        <v>31.973762257919613</v>
      </c>
      <c r="BD64" t="str">
        <f t="shared" si="144"/>
        <v>63 Community and civil enforcement occupations</v>
      </c>
      <c r="BE64" s="18">
        <f t="shared" si="153"/>
        <v>9.9974790662653829E-2</v>
      </c>
      <c r="BF64" s="18">
        <f t="shared" si="153"/>
        <v>6.5441774308262493E-2</v>
      </c>
      <c r="BG64" s="18">
        <f t="shared" si="153"/>
        <v>9.5432675852630405E-2</v>
      </c>
      <c r="BH64" s="18">
        <f t="shared" si="153"/>
        <v>6.2727764707251041E-2</v>
      </c>
      <c r="BI64" s="18">
        <f t="shared" si="153"/>
        <v>6.5724042290631585E-2</v>
      </c>
      <c r="BK64" s="68">
        <f t="shared" si="125"/>
        <v>-32.437892734968521</v>
      </c>
      <c r="BL64" s="69">
        <f t="shared" si="126"/>
        <v>25.775764220038333</v>
      </c>
      <c r="BM64" s="69">
        <f t="shared" si="127"/>
        <v>-6.662128514930191</v>
      </c>
      <c r="BO64" t="str">
        <f t="shared" si="145"/>
        <v>63 Community and civil enforcement occupations</v>
      </c>
      <c r="BP64" s="18">
        <f t="shared" si="154"/>
        <v>0.13243718554455972</v>
      </c>
      <c r="BQ64" s="18">
        <f t="shared" si="154"/>
        <v>0.11241988533284139</v>
      </c>
      <c r="BR64" s="18">
        <f t="shared" si="154"/>
        <v>0.14846362380185651</v>
      </c>
      <c r="BS64" s="18">
        <f t="shared" si="154"/>
        <v>0.11210712880903487</v>
      </c>
      <c r="BT64" s="18">
        <f t="shared" si="154"/>
        <v>0.12515348120598713</v>
      </c>
      <c r="BV64" s="68">
        <f t="shared" si="129"/>
        <v>-29.97590725971061</v>
      </c>
      <c r="BW64" s="69">
        <f t="shared" si="130"/>
        <v>30.822272277463618</v>
      </c>
      <c r="BX64" s="69">
        <f t="shared" si="131"/>
        <v>0.84636501775301065</v>
      </c>
      <c r="BZ64" t="str">
        <f t="shared" si="146"/>
        <v>63 Community and civil enforcement occupations</v>
      </c>
      <c r="CA64" s="18">
        <f t="shared" si="155"/>
        <v>0.16175561616555917</v>
      </c>
      <c r="CB64" s="18">
        <f t="shared" si="155"/>
        <v>0.14033210416652936</v>
      </c>
      <c r="CC64" s="18">
        <f t="shared" si="155"/>
        <v>0.19404271116935215</v>
      </c>
      <c r="CD64" s="18">
        <f t="shared" si="155"/>
        <v>0.16624251747146326</v>
      </c>
      <c r="CE64" s="18">
        <f t="shared" si="155"/>
        <v>0.20645108357740999</v>
      </c>
      <c r="CG64" s="68">
        <f t="shared" si="133"/>
        <v>-31.484487120769057</v>
      </c>
      <c r="CH64" s="69">
        <f t="shared" si="134"/>
        <v>31.135390107759971</v>
      </c>
      <c r="CI64" s="69">
        <f t="shared" si="135"/>
        <v>-0.34909701300908313</v>
      </c>
      <c r="CK64" t="str">
        <f t="shared" si="147"/>
        <v>63 Community and civil enforcement occupations</v>
      </c>
      <c r="CL64" s="18">
        <f t="shared" si="156"/>
        <v>0.15421466071192153</v>
      </c>
      <c r="CM64" s="18">
        <f t="shared" si="156"/>
        <v>0.11192918368029593</v>
      </c>
      <c r="CN64" s="18">
        <f t="shared" si="156"/>
        <v>0.17297239134480286</v>
      </c>
      <c r="CO64" s="18">
        <f t="shared" si="156"/>
        <v>0.10294669076113053</v>
      </c>
      <c r="CP64" s="18">
        <f t="shared" si="156"/>
        <v>8.8013709490686681E-2</v>
      </c>
      <c r="CR64" s="68">
        <f t="shared" si="137"/>
        <v>-52.016698447534502</v>
      </c>
      <c r="CS64" s="69">
        <f t="shared" si="138"/>
        <v>13.99900650395417</v>
      </c>
      <c r="CT64" s="69">
        <f t="shared" si="139"/>
        <v>-38.017691943580331</v>
      </c>
    </row>
    <row r="65" spans="1:98" x14ac:dyDescent="0.2">
      <c r="A65" t="str">
        <f t="shared" si="103"/>
        <v>71 Sales occupations</v>
      </c>
      <c r="B65" s="18">
        <f t="shared" ref="B65:F70" si="157">B28/B$35*100</f>
        <v>1.229631319569074</v>
      </c>
      <c r="C65" s="18">
        <f t="shared" si="157"/>
        <v>1.1495751265321712</v>
      </c>
      <c r="D65" s="18">
        <f t="shared" si="157"/>
        <v>0.98810545057824961</v>
      </c>
      <c r="E65" s="18">
        <f t="shared" si="157"/>
        <v>0.94322425353729633</v>
      </c>
      <c r="F65" s="18">
        <f t="shared" si="157"/>
        <v>0.94183825561994783</v>
      </c>
      <c r="H65" s="68">
        <f t="shared" si="105"/>
        <v>39.419721351454562</v>
      </c>
      <c r="I65" s="69">
        <f t="shared" si="106"/>
        <v>56.511742665732136</v>
      </c>
      <c r="J65" s="69">
        <f t="shared" si="107"/>
        <v>95.931464017186713</v>
      </c>
      <c r="L65" t="str">
        <f t="shared" si="140"/>
        <v>71 Sales occupations</v>
      </c>
      <c r="M65" s="18">
        <f t="shared" ref="M65:Q70" si="158">M28/M$35*100</f>
        <v>2.0752458900459967</v>
      </c>
      <c r="N65" s="18">
        <f t="shared" si="158"/>
        <v>1.9946436461926069</v>
      </c>
      <c r="O65" s="18">
        <f t="shared" si="158"/>
        <v>2.0326392632648038</v>
      </c>
      <c r="P65" s="18">
        <f t="shared" si="158"/>
        <v>1.9796813853297321</v>
      </c>
      <c r="Q65" s="18">
        <f t="shared" si="158"/>
        <v>2.1545411444152101</v>
      </c>
      <c r="S65" s="68">
        <f t="shared" si="109"/>
        <v>56.888680858331789</v>
      </c>
      <c r="T65" s="69">
        <f t="shared" si="110"/>
        <v>60.90589422268129</v>
      </c>
      <c r="U65" s="69">
        <f t="shared" si="111"/>
        <v>117.79457508101308</v>
      </c>
      <c r="W65" t="str">
        <f t="shared" si="141"/>
        <v>71 Sales occupations</v>
      </c>
      <c r="X65" s="18">
        <f t="shared" ref="X65:AB70" si="159">X28/X$35*100</f>
        <v>3.8434057382760933</v>
      </c>
      <c r="Y65" s="18">
        <f t="shared" si="159"/>
        <v>3.8488274144130452</v>
      </c>
      <c r="Z65" s="18">
        <f t="shared" si="159"/>
        <v>3.9964258058658046</v>
      </c>
      <c r="AA65" s="18">
        <f t="shared" si="159"/>
        <v>3.9418114443494958</v>
      </c>
      <c r="AB65" s="18">
        <f t="shared" si="159"/>
        <v>4.2983245350096784</v>
      </c>
      <c r="AD65" s="68">
        <f t="shared" si="113"/>
        <v>31.914010509636835</v>
      </c>
      <c r="AE65" s="69">
        <f t="shared" si="114"/>
        <v>59.973868092968353</v>
      </c>
      <c r="AF65" s="69">
        <f t="shared" si="115"/>
        <v>91.887878602605184</v>
      </c>
      <c r="AH65" t="str">
        <f t="shared" si="142"/>
        <v>71 Sales occupations</v>
      </c>
      <c r="AI65" s="18">
        <f t="shared" ref="AI65:AM70" si="160">AI28/AI$35*100</f>
        <v>4.6121238016226345</v>
      </c>
      <c r="AJ65" s="18">
        <f t="shared" si="160"/>
        <v>4.4639618658394689</v>
      </c>
      <c r="AK65" s="18">
        <f t="shared" si="160"/>
        <v>4.6565340615068775</v>
      </c>
      <c r="AL65" s="18">
        <f t="shared" si="160"/>
        <v>4.5823656958807479</v>
      </c>
      <c r="AM65" s="18">
        <f t="shared" si="160"/>
        <v>4.7924914998807946</v>
      </c>
      <c r="AO65" s="68">
        <f t="shared" si="117"/>
        <v>16.347395778869121</v>
      </c>
      <c r="AP65" s="69">
        <f t="shared" si="118"/>
        <v>54.941014678366592</v>
      </c>
      <c r="AQ65" s="69">
        <f t="shared" si="119"/>
        <v>71.288410457235713</v>
      </c>
      <c r="AS65" t="str">
        <f t="shared" si="143"/>
        <v>71 Sales occupations</v>
      </c>
      <c r="AT65" s="18">
        <f t="shared" ref="AT65:AX70" si="161">AT28/AT$35*100</f>
        <v>3.8967346753615582</v>
      </c>
      <c r="AU65" s="18">
        <f t="shared" si="161"/>
        <v>3.5932139778880052</v>
      </c>
      <c r="AV65" s="18">
        <f t="shared" si="161"/>
        <v>3.668059056863985</v>
      </c>
      <c r="AW65" s="18">
        <f t="shared" si="161"/>
        <v>3.4226739981387206</v>
      </c>
      <c r="AX65" s="18">
        <f t="shared" si="161"/>
        <v>3.5011760685171818</v>
      </c>
      <c r="AZ65" s="68">
        <f t="shared" si="121"/>
        <v>12.02104764800038</v>
      </c>
      <c r="BA65" s="69">
        <f t="shared" si="122"/>
        <v>45.889944307788319</v>
      </c>
      <c r="BB65" s="69">
        <f t="shared" si="123"/>
        <v>57.910991955788695</v>
      </c>
      <c r="BD65" t="str">
        <f t="shared" si="144"/>
        <v>71 Sales occupations</v>
      </c>
      <c r="BE65" s="18">
        <f t="shared" ref="BE65:BI70" si="162">BE28/BE$35*100</f>
        <v>8.2021790194454116</v>
      </c>
      <c r="BF65" s="18">
        <f t="shared" si="162"/>
        <v>8.2187563754405684</v>
      </c>
      <c r="BG65" s="18">
        <f t="shared" si="162"/>
        <v>8.6692586508302831</v>
      </c>
      <c r="BH65" s="18">
        <f t="shared" si="162"/>
        <v>8.2501675236238672</v>
      </c>
      <c r="BI65" s="18">
        <f t="shared" si="162"/>
        <v>8.5253238227791535</v>
      </c>
      <c r="BK65" s="68">
        <f t="shared" si="125"/>
        <v>-3.5271863132934693</v>
      </c>
      <c r="BL65" s="69">
        <f t="shared" si="126"/>
        <v>41.851560197855903</v>
      </c>
      <c r="BM65" s="69">
        <f t="shared" si="127"/>
        <v>38.324373884562434</v>
      </c>
      <c r="BO65" t="str">
        <f t="shared" si="145"/>
        <v>71 Sales occupations</v>
      </c>
      <c r="BP65" s="18">
        <f t="shared" ref="BP65:BT70" si="163">BP28/BP$35*100</f>
        <v>8.5595666661241836</v>
      </c>
      <c r="BQ65" s="18">
        <f t="shared" si="163"/>
        <v>7.9725119855507245</v>
      </c>
      <c r="BR65" s="18">
        <f t="shared" si="163"/>
        <v>8.3396957347129881</v>
      </c>
      <c r="BS65" s="18">
        <f t="shared" si="163"/>
        <v>7.4286422400915653</v>
      </c>
      <c r="BT65" s="18">
        <f t="shared" si="163"/>
        <v>6.8529796023161103</v>
      </c>
      <c r="BV65" s="68">
        <f t="shared" si="129"/>
        <v>-31.741954846050994</v>
      </c>
      <c r="BW65" s="69">
        <f t="shared" si="130"/>
        <v>34.826928514855496</v>
      </c>
      <c r="BX65" s="69">
        <f t="shared" si="131"/>
        <v>3.0849736688044955</v>
      </c>
      <c r="BZ65" t="str">
        <f t="shared" si="146"/>
        <v>71 Sales occupations</v>
      </c>
      <c r="CA65" s="18">
        <f t="shared" ref="CA65:CE70" si="164">CA28/CA$35*100</f>
        <v>8.4525454255127066</v>
      </c>
      <c r="CB65" s="18">
        <f t="shared" si="164"/>
        <v>8.7960538389285361</v>
      </c>
      <c r="CC65" s="18">
        <f t="shared" si="164"/>
        <v>8.8875748750251997</v>
      </c>
      <c r="CD65" s="18">
        <f t="shared" si="164"/>
        <v>7.6549818673139187</v>
      </c>
      <c r="CE65" s="18">
        <f t="shared" si="164"/>
        <v>4.6192774589159216</v>
      </c>
      <c r="CG65" s="68">
        <f t="shared" si="133"/>
        <v>-66.529680587745048</v>
      </c>
      <c r="CH65" s="69">
        <f t="shared" si="134"/>
        <v>22.484960733386163</v>
      </c>
      <c r="CI65" s="69">
        <f t="shared" si="135"/>
        <v>-44.044719854358881</v>
      </c>
      <c r="CK65" t="str">
        <f t="shared" si="147"/>
        <v>71 Sales occupations</v>
      </c>
      <c r="CL65" s="18">
        <f t="shared" ref="CL65:CP70" si="165">CL28/CL$35*100</f>
        <v>10.07792063684791</v>
      </c>
      <c r="CM65" s="18">
        <f t="shared" si="165"/>
        <v>9.8268836669214217</v>
      </c>
      <c r="CN65" s="18">
        <f t="shared" si="165"/>
        <v>10.022153317741687</v>
      </c>
      <c r="CO65" s="18">
        <f t="shared" si="165"/>
        <v>9.0365915849570175</v>
      </c>
      <c r="CP65" s="18">
        <f t="shared" si="165"/>
        <v>7.4964950174068496</v>
      </c>
      <c r="CR65" s="68">
        <f t="shared" si="137"/>
        <v>-29.463516390796912</v>
      </c>
      <c r="CS65" s="69">
        <f t="shared" si="138"/>
        <v>20.130465279851613</v>
      </c>
      <c r="CT65" s="69">
        <f t="shared" si="139"/>
        <v>-9.3330511109452985</v>
      </c>
    </row>
    <row r="66" spans="1:98" x14ac:dyDescent="0.2">
      <c r="A66" t="str">
        <f t="shared" si="103"/>
        <v>72 Customer service occupations</v>
      </c>
      <c r="B66" s="18">
        <f t="shared" si="157"/>
        <v>0.38122679983444702</v>
      </c>
      <c r="C66" s="18">
        <f t="shared" si="157"/>
        <v>0.36415745632058361</v>
      </c>
      <c r="D66" s="18">
        <f t="shared" si="157"/>
        <v>0.39158419460160648</v>
      </c>
      <c r="E66" s="18">
        <f t="shared" si="157"/>
        <v>0.50421665927187453</v>
      </c>
      <c r="F66" s="18">
        <f t="shared" si="157"/>
        <v>0.55041890783862568</v>
      </c>
      <c r="H66" s="68">
        <f t="shared" si="105"/>
        <v>105.59822871339767</v>
      </c>
      <c r="I66" s="69">
        <f t="shared" si="106"/>
        <v>74.559783852333496</v>
      </c>
      <c r="J66" s="69">
        <f t="shared" si="107"/>
        <v>180.15801256573116</v>
      </c>
      <c r="L66" t="str">
        <f t="shared" si="140"/>
        <v>72 Customer service occupations</v>
      </c>
      <c r="M66" s="18">
        <f t="shared" si="158"/>
        <v>0.64534488957646152</v>
      </c>
      <c r="N66" s="18">
        <f t="shared" si="158"/>
        <v>0.66125740489249951</v>
      </c>
      <c r="O66" s="18">
        <f t="shared" si="158"/>
        <v>0.64763180523142239</v>
      </c>
      <c r="P66" s="18">
        <f t="shared" si="158"/>
        <v>0.83845012945709418</v>
      </c>
      <c r="Q66" s="18">
        <f t="shared" si="158"/>
        <v>0.91666640869023475</v>
      </c>
      <c r="S66" s="68">
        <f t="shared" si="109"/>
        <v>109.49819125359429</v>
      </c>
      <c r="T66" s="69">
        <f t="shared" si="110"/>
        <v>80.377448343048513</v>
      </c>
      <c r="U66" s="69">
        <f t="shared" si="111"/>
        <v>189.87563959664277</v>
      </c>
      <c r="W66" t="str">
        <f t="shared" si="141"/>
        <v>72 Customer service occupations</v>
      </c>
      <c r="X66" s="18">
        <f t="shared" si="159"/>
        <v>1.2021673040834979</v>
      </c>
      <c r="Y66" s="18">
        <f t="shared" si="159"/>
        <v>1.226458344048863</v>
      </c>
      <c r="Z66" s="18">
        <f t="shared" si="159"/>
        <v>1.2751256727631219</v>
      </c>
      <c r="AA66" s="18">
        <f t="shared" si="159"/>
        <v>1.6134766434564907</v>
      </c>
      <c r="AB66" s="18">
        <f t="shared" si="159"/>
        <v>1.8429947511370319</v>
      </c>
      <c r="AD66" s="68">
        <f t="shared" si="113"/>
        <v>77.269730584442541</v>
      </c>
      <c r="AE66" s="69">
        <f t="shared" si="114"/>
        <v>73.90133442592122</v>
      </c>
      <c r="AF66" s="69">
        <f t="shared" si="115"/>
        <v>151.17106501036375</v>
      </c>
      <c r="AH66" t="str">
        <f t="shared" si="142"/>
        <v>72 Customer service occupations</v>
      </c>
      <c r="AI66" s="18">
        <f t="shared" si="160"/>
        <v>1.3273673744209478</v>
      </c>
      <c r="AJ66" s="18">
        <f t="shared" si="160"/>
        <v>1.5110274274518185</v>
      </c>
      <c r="AK66" s="18">
        <f t="shared" si="160"/>
        <v>1.6819127016422144</v>
      </c>
      <c r="AL66" s="18">
        <f t="shared" si="160"/>
        <v>2.2580062938649235</v>
      </c>
      <c r="AM66" s="18">
        <f t="shared" si="160"/>
        <v>2.5546471035938172</v>
      </c>
      <c r="AO66" s="68">
        <f t="shared" si="117"/>
        <v>71.706037066355449</v>
      </c>
      <c r="AP66" s="69">
        <f t="shared" si="118"/>
        <v>78.535179006297156</v>
      </c>
      <c r="AQ66" s="69">
        <f t="shared" si="119"/>
        <v>150.24121607265258</v>
      </c>
      <c r="AS66" t="str">
        <f t="shared" si="143"/>
        <v>72 Customer service occupations</v>
      </c>
      <c r="AT66" s="18">
        <f t="shared" si="161"/>
        <v>1.6410082921439073</v>
      </c>
      <c r="AU66" s="18">
        <f t="shared" si="161"/>
        <v>1.6798797222765123</v>
      </c>
      <c r="AV66" s="18">
        <f t="shared" si="161"/>
        <v>1.7295636959787013</v>
      </c>
      <c r="AW66" s="18">
        <f t="shared" si="161"/>
        <v>2.1375329606047875</v>
      </c>
      <c r="AX66" s="18">
        <f t="shared" si="161"/>
        <v>2.1996104313010498</v>
      </c>
      <c r="AZ66" s="68">
        <f t="shared" si="121"/>
        <v>49.255797004928951</v>
      </c>
      <c r="BA66" s="69">
        <f t="shared" si="122"/>
        <v>66.097860386800846</v>
      </c>
      <c r="BB66" s="69">
        <f t="shared" si="123"/>
        <v>115.35365739172978</v>
      </c>
      <c r="BD66" t="str">
        <f t="shared" si="144"/>
        <v>72 Customer service occupations</v>
      </c>
      <c r="BE66" s="18">
        <f t="shared" si="162"/>
        <v>1.8859286811754756</v>
      </c>
      <c r="BF66" s="18">
        <f t="shared" si="162"/>
        <v>1.8992116833813906</v>
      </c>
      <c r="BG66" s="18">
        <f t="shared" si="162"/>
        <v>1.9620351260585034</v>
      </c>
      <c r="BH66" s="18">
        <f t="shared" si="162"/>
        <v>2.3670185278567515</v>
      </c>
      <c r="BI66" s="18">
        <f t="shared" si="162"/>
        <v>2.5904249908870463</v>
      </c>
      <c r="BK66" s="68">
        <f t="shared" si="125"/>
        <v>29.521022598574586</v>
      </c>
      <c r="BL66" s="69">
        <f t="shared" si="126"/>
        <v>54.192849909566412</v>
      </c>
      <c r="BM66" s="69">
        <f t="shared" si="127"/>
        <v>83.71387250814098</v>
      </c>
      <c r="BO66" t="str">
        <f t="shared" si="145"/>
        <v>72 Customer service occupations</v>
      </c>
      <c r="BP66" s="18">
        <f t="shared" si="163"/>
        <v>2.0723951827425022</v>
      </c>
      <c r="BQ66" s="18">
        <f t="shared" si="163"/>
        <v>2.0898956077398623</v>
      </c>
      <c r="BR66" s="18">
        <f t="shared" si="163"/>
        <v>2.2369132257769566</v>
      </c>
      <c r="BS66" s="18">
        <f t="shared" si="163"/>
        <v>2.7866683942951784</v>
      </c>
      <c r="BT66" s="18">
        <f t="shared" si="163"/>
        <v>3.1217447494211839</v>
      </c>
      <c r="BV66" s="68">
        <f t="shared" si="129"/>
        <v>15.92386860507585</v>
      </c>
      <c r="BW66" s="69">
        <f t="shared" si="130"/>
        <v>53.221108529282724</v>
      </c>
      <c r="BX66" s="69">
        <f t="shared" si="131"/>
        <v>69.14497713435857</v>
      </c>
      <c r="BZ66" t="str">
        <f t="shared" si="146"/>
        <v>72 Customer service occupations</v>
      </c>
      <c r="CA66" s="18">
        <f t="shared" si="164"/>
        <v>1.5549082819267459</v>
      </c>
      <c r="CB66" s="18">
        <f t="shared" si="164"/>
        <v>1.5849910134091212</v>
      </c>
      <c r="CC66" s="18">
        <f t="shared" si="164"/>
        <v>1.6640802395102139</v>
      </c>
      <c r="CD66" s="18">
        <f t="shared" si="164"/>
        <v>2.0032159839511152</v>
      </c>
      <c r="CE66" s="18">
        <f t="shared" si="164"/>
        <v>2.5836209434809652</v>
      </c>
      <c r="CG66" s="68">
        <f t="shared" si="133"/>
        <v>-1.7587157646276257E-2</v>
      </c>
      <c r="CH66" s="69">
        <f t="shared" si="134"/>
        <v>35.708506488276157</v>
      </c>
      <c r="CI66" s="69">
        <f t="shared" si="135"/>
        <v>35.690919330629882</v>
      </c>
      <c r="CK66" t="str">
        <f t="shared" si="147"/>
        <v>72 Customer service occupations</v>
      </c>
      <c r="CL66" s="18">
        <f t="shared" si="165"/>
        <v>1.3046936592069789</v>
      </c>
      <c r="CM66" s="18">
        <f t="shared" si="165"/>
        <v>1.7499278145131785</v>
      </c>
      <c r="CN66" s="18">
        <f t="shared" si="165"/>
        <v>1.9959182738462835</v>
      </c>
      <c r="CO66" s="18">
        <f t="shared" si="165"/>
        <v>3.4433180699683019</v>
      </c>
      <c r="CP66" s="18">
        <f t="shared" si="165"/>
        <v>4.7946658590222322</v>
      </c>
      <c r="CR66" s="68">
        <f t="shared" si="137"/>
        <v>126.53336858377664</v>
      </c>
      <c r="CS66" s="69">
        <f t="shared" si="138"/>
        <v>51.459147941886073</v>
      </c>
      <c r="CT66" s="69">
        <f t="shared" si="139"/>
        <v>177.99251652566272</v>
      </c>
    </row>
    <row r="67" spans="1:98" x14ac:dyDescent="0.2">
      <c r="A67" t="str">
        <f t="shared" si="103"/>
        <v>81 Process, plant and machine operatives</v>
      </c>
      <c r="B67" s="18">
        <f t="shared" si="157"/>
        <v>0.24014962585446492</v>
      </c>
      <c r="C67" s="18">
        <f t="shared" si="157"/>
        <v>0.254703750238499</v>
      </c>
      <c r="D67" s="18">
        <f t="shared" si="157"/>
        <v>0.22342787923518911</v>
      </c>
      <c r="E67" s="18">
        <f t="shared" si="157"/>
        <v>0.28195362222748083</v>
      </c>
      <c r="F67" s="18">
        <f t="shared" si="157"/>
        <v>0.3500072385940588</v>
      </c>
      <c r="H67" s="68">
        <f t="shared" si="105"/>
        <v>129.13468852184903</v>
      </c>
      <c r="I67" s="69">
        <f t="shared" si="106"/>
        <v>85.025742442847829</v>
      </c>
      <c r="J67" s="69">
        <f t="shared" si="107"/>
        <v>214.16043096469684</v>
      </c>
      <c r="L67" t="str">
        <f t="shared" si="140"/>
        <v>81 Process, plant and machine operatives</v>
      </c>
      <c r="M67" s="18">
        <f t="shared" si="158"/>
        <v>0.19413280365521368</v>
      </c>
      <c r="N67" s="18">
        <f t="shared" si="158"/>
        <v>0.19808311502279397</v>
      </c>
      <c r="O67" s="18">
        <f t="shared" si="158"/>
        <v>0.18437799689758019</v>
      </c>
      <c r="P67" s="18">
        <f t="shared" si="158"/>
        <v>0.24292668737093298</v>
      </c>
      <c r="Q67" s="18">
        <f t="shared" si="158"/>
        <v>0.30503584530944788</v>
      </c>
      <c r="S67" s="68">
        <f t="shared" si="109"/>
        <v>144.87187931038369</v>
      </c>
      <c r="T67" s="69">
        <f t="shared" si="110"/>
        <v>82.382985745299393</v>
      </c>
      <c r="U67" s="69">
        <f t="shared" si="111"/>
        <v>227.2548650556831</v>
      </c>
      <c r="W67" t="str">
        <f t="shared" si="141"/>
        <v>81 Process, plant and machine operatives</v>
      </c>
      <c r="X67" s="18">
        <f t="shared" si="159"/>
        <v>0.28334773634558613</v>
      </c>
      <c r="Y67" s="18">
        <f t="shared" si="159"/>
        <v>0.26755177333835933</v>
      </c>
      <c r="Z67" s="18">
        <f t="shared" si="159"/>
        <v>0.25108483683795213</v>
      </c>
      <c r="AA67" s="18">
        <f t="shared" si="159"/>
        <v>0.35880498529469856</v>
      </c>
      <c r="AB67" s="18">
        <f t="shared" si="159"/>
        <v>0.47888221445635182</v>
      </c>
      <c r="AD67" s="68">
        <f t="shared" si="113"/>
        <v>133.92233887047283</v>
      </c>
      <c r="AE67" s="69">
        <f t="shared" si="114"/>
        <v>84.130691580527724</v>
      </c>
      <c r="AF67" s="69">
        <f t="shared" si="115"/>
        <v>218.05303045100058</v>
      </c>
      <c r="AH67" t="str">
        <f t="shared" si="142"/>
        <v>81 Process, plant and machine operatives</v>
      </c>
      <c r="AI67" s="18">
        <f t="shared" si="160"/>
        <v>0.4588972052168781</v>
      </c>
      <c r="AJ67" s="18">
        <f t="shared" si="160"/>
        <v>0.49068892244146467</v>
      </c>
      <c r="AK67" s="18">
        <f t="shared" si="160"/>
        <v>0.47035532437121064</v>
      </c>
      <c r="AL67" s="18">
        <f t="shared" si="160"/>
        <v>0.6979181676180618</v>
      </c>
      <c r="AM67" s="18">
        <f t="shared" si="160"/>
        <v>0.97368535671230383</v>
      </c>
      <c r="AO67" s="68">
        <f t="shared" si="117"/>
        <v>134.01875998393396</v>
      </c>
      <c r="AP67" s="69">
        <f t="shared" si="118"/>
        <v>83.529890993011009</v>
      </c>
      <c r="AQ67" s="69">
        <f t="shared" si="119"/>
        <v>217.54865097694491</v>
      </c>
      <c r="AS67" t="str">
        <f t="shared" si="143"/>
        <v>81 Process, plant and machine operatives</v>
      </c>
      <c r="AT67" s="18">
        <f t="shared" si="161"/>
        <v>1.0248547279326892</v>
      </c>
      <c r="AU67" s="18">
        <f t="shared" si="161"/>
        <v>1.041188624410567</v>
      </c>
      <c r="AV67" s="18">
        <f t="shared" si="161"/>
        <v>0.96895212022587962</v>
      </c>
      <c r="AW67" s="18">
        <f t="shared" si="161"/>
        <v>1.3142622797608585</v>
      </c>
      <c r="AX67" s="18">
        <f t="shared" si="161"/>
        <v>1.5369125813992812</v>
      </c>
      <c r="AZ67" s="68">
        <f t="shared" si="121"/>
        <v>86.152488582759489</v>
      </c>
      <c r="BA67" s="69">
        <f t="shared" si="122"/>
        <v>72.435532824111235</v>
      </c>
      <c r="BB67" s="69">
        <f t="shared" si="123"/>
        <v>158.58802140687075</v>
      </c>
      <c r="BD67" t="str">
        <f t="shared" si="144"/>
        <v>81 Process, plant and machine operatives</v>
      </c>
      <c r="BE67" s="18">
        <f t="shared" si="162"/>
        <v>1.7366459115519861</v>
      </c>
      <c r="BF67" s="18">
        <f t="shared" si="162"/>
        <v>1.8080391719087305</v>
      </c>
      <c r="BG67" s="18">
        <f t="shared" si="162"/>
        <v>1.6665050038921005</v>
      </c>
      <c r="BH67" s="18">
        <f t="shared" si="162"/>
        <v>2.204142793062529</v>
      </c>
      <c r="BI67" s="18">
        <f t="shared" si="162"/>
        <v>2.5677903167314073</v>
      </c>
      <c r="BK67" s="68">
        <f t="shared" si="125"/>
        <v>51.157241001873956</v>
      </c>
      <c r="BL67" s="69">
        <f t="shared" si="126"/>
        <v>48.921682941956163</v>
      </c>
      <c r="BM67" s="69">
        <f t="shared" si="127"/>
        <v>100.07892394383011</v>
      </c>
      <c r="BO67" t="str">
        <f t="shared" si="145"/>
        <v>81 Process, plant and machine operatives</v>
      </c>
      <c r="BP67" s="18">
        <f t="shared" si="163"/>
        <v>2.2208473636281694</v>
      </c>
      <c r="BQ67" s="18">
        <f t="shared" si="163"/>
        <v>2.5195845039075579</v>
      </c>
      <c r="BR67" s="18">
        <f t="shared" si="163"/>
        <v>2.26220866154623</v>
      </c>
      <c r="BS67" s="18">
        <f t="shared" si="163"/>
        <v>3.0006803426789754</v>
      </c>
      <c r="BT67" s="18">
        <f t="shared" si="163"/>
        <v>3.5382719349941825</v>
      </c>
      <c r="BV67" s="68">
        <f t="shared" si="129"/>
        <v>29.922138424972822</v>
      </c>
      <c r="BW67" s="69">
        <f t="shared" si="130"/>
        <v>48.288564674846782</v>
      </c>
      <c r="BX67" s="69">
        <f t="shared" si="131"/>
        <v>78.210703099819597</v>
      </c>
      <c r="BZ67" t="str">
        <f t="shared" si="146"/>
        <v>81 Process, plant and machine operatives</v>
      </c>
      <c r="CA67" s="18">
        <f t="shared" si="164"/>
        <v>2.916286679778251</v>
      </c>
      <c r="CB67" s="18">
        <f t="shared" si="164"/>
        <v>2.7846029362905793</v>
      </c>
      <c r="CC67" s="18">
        <f t="shared" si="164"/>
        <v>2.7439579321553884</v>
      </c>
      <c r="CD67" s="18">
        <f t="shared" si="164"/>
        <v>3.1577881026629671</v>
      </c>
      <c r="CE67" s="18">
        <f t="shared" si="164"/>
        <v>2.0188290053561486</v>
      </c>
      <c r="CG67" s="68">
        <f t="shared" si="133"/>
        <v>-52.620424288205378</v>
      </c>
      <c r="CH67" s="69">
        <f t="shared" si="134"/>
        <v>28.780700372493079</v>
      </c>
      <c r="CI67" s="69">
        <f t="shared" si="135"/>
        <v>-23.839723915712298</v>
      </c>
      <c r="CK67" t="str">
        <f t="shared" si="147"/>
        <v>81 Process, plant and machine operatives</v>
      </c>
      <c r="CL67" s="18">
        <f t="shared" si="165"/>
        <v>3.9406335251964073</v>
      </c>
      <c r="CM67" s="18">
        <f t="shared" si="165"/>
        <v>3.3260913693315568</v>
      </c>
      <c r="CN67" s="18">
        <f t="shared" si="165"/>
        <v>3.0425425128962114</v>
      </c>
      <c r="CO67" s="18">
        <f t="shared" si="165"/>
        <v>2.1249347577114088</v>
      </c>
      <c r="CP67" s="18">
        <f t="shared" si="165"/>
        <v>1.4246307723706471</v>
      </c>
      <c r="CR67" s="68">
        <f t="shared" si="137"/>
        <v>-55.844759287101361</v>
      </c>
      <c r="CS67" s="69">
        <f t="shared" si="138"/>
        <v>14.456187893085415</v>
      </c>
      <c r="CT67" s="69">
        <f t="shared" si="139"/>
        <v>-41.388571394015948</v>
      </c>
    </row>
    <row r="68" spans="1:98" x14ac:dyDescent="0.2">
      <c r="A68" t="str">
        <f t="shared" si="103"/>
        <v>82 Transport and mobile machine drivers and operatives</v>
      </c>
      <c r="B68" s="18">
        <f t="shared" si="157"/>
        <v>0.46214383267933368</v>
      </c>
      <c r="C68" s="18">
        <f t="shared" si="157"/>
        <v>0.51728260035326457</v>
      </c>
      <c r="D68" s="18">
        <f t="shared" si="157"/>
        <v>0.44901250624032502</v>
      </c>
      <c r="E68" s="18">
        <f t="shared" si="157"/>
        <v>0.5366823045350777</v>
      </c>
      <c r="F68" s="18">
        <f t="shared" si="157"/>
        <v>0.59019438223907861</v>
      </c>
      <c r="H68" s="68">
        <f t="shared" si="105"/>
        <v>92.259501796115501</v>
      </c>
      <c r="I68" s="69">
        <f t="shared" si="106"/>
        <v>99.468785221971785</v>
      </c>
      <c r="J68" s="69">
        <f t="shared" si="107"/>
        <v>191.72828701808729</v>
      </c>
      <c r="L68" t="str">
        <f t="shared" si="140"/>
        <v>82 Transport and mobile machine drivers and operatives</v>
      </c>
      <c r="M68" s="18">
        <f t="shared" si="158"/>
        <v>0.53187007619810622</v>
      </c>
      <c r="N68" s="18">
        <f t="shared" si="158"/>
        <v>0.6001961291119936</v>
      </c>
      <c r="O68" s="18">
        <f t="shared" si="158"/>
        <v>0.54506407497400811</v>
      </c>
      <c r="P68" s="18">
        <f t="shared" si="158"/>
        <v>0.58206044549749236</v>
      </c>
      <c r="Q68" s="18">
        <f t="shared" si="158"/>
        <v>0.63757751163564624</v>
      </c>
      <c r="S68" s="68">
        <f t="shared" si="109"/>
        <v>73.134079130347629</v>
      </c>
      <c r="T68" s="69">
        <f t="shared" si="110"/>
        <v>88.118680903315791</v>
      </c>
      <c r="U68" s="69">
        <f t="shared" si="111"/>
        <v>161.25276003366344</v>
      </c>
      <c r="W68" t="str">
        <f t="shared" si="141"/>
        <v>82 Transport and mobile machine drivers and operatives</v>
      </c>
      <c r="X68" s="18">
        <f t="shared" si="159"/>
        <v>0.69425117224657096</v>
      </c>
      <c r="Y68" s="18">
        <f t="shared" si="159"/>
        <v>0.81768725562915123</v>
      </c>
      <c r="Z68" s="18">
        <f t="shared" si="159"/>
        <v>0.73044465580109996</v>
      </c>
      <c r="AA68" s="18">
        <f t="shared" si="159"/>
        <v>0.77897832465520078</v>
      </c>
      <c r="AB68" s="18">
        <f t="shared" si="159"/>
        <v>0.9000484536157094</v>
      </c>
      <c r="AD68" s="68">
        <f t="shared" si="113"/>
        <v>51.126996104295245</v>
      </c>
      <c r="AE68" s="69">
        <f t="shared" si="114"/>
        <v>83.263388761673269</v>
      </c>
      <c r="AF68" s="69">
        <f t="shared" si="115"/>
        <v>134.39038486596851</v>
      </c>
      <c r="AH68" t="str">
        <f t="shared" si="142"/>
        <v>82 Transport and mobile machine drivers and operatives</v>
      </c>
      <c r="AI68" s="18">
        <f t="shared" si="160"/>
        <v>1.1292838627864581</v>
      </c>
      <c r="AJ68" s="18">
        <f t="shared" si="160"/>
        <v>1.3983352169255094</v>
      </c>
      <c r="AK68" s="18">
        <f t="shared" si="160"/>
        <v>1.2421158398582823</v>
      </c>
      <c r="AL68" s="18">
        <f t="shared" si="160"/>
        <v>1.4436211672658477</v>
      </c>
      <c r="AM68" s="18">
        <f t="shared" si="160"/>
        <v>1.5982802161298812</v>
      </c>
      <c r="AO68" s="68">
        <f t="shared" si="117"/>
        <v>45.461788569094651</v>
      </c>
      <c r="AP68" s="69">
        <f t="shared" si="118"/>
        <v>83.966141582899652</v>
      </c>
      <c r="AQ68" s="69">
        <f t="shared" si="119"/>
        <v>129.4279301519943</v>
      </c>
      <c r="AS68" t="str">
        <f t="shared" si="143"/>
        <v>82 Transport and mobile machine drivers and operatives</v>
      </c>
      <c r="AT68" s="18">
        <f t="shared" si="161"/>
        <v>1.8934095506282236</v>
      </c>
      <c r="AU68" s="18">
        <f t="shared" si="161"/>
        <v>2.1857425624839775</v>
      </c>
      <c r="AV68" s="18">
        <f t="shared" si="161"/>
        <v>2.0552052186726022</v>
      </c>
      <c r="AW68" s="18">
        <f t="shared" si="161"/>
        <v>2.2517307801335784</v>
      </c>
      <c r="AX68" s="18">
        <f t="shared" si="161"/>
        <v>2.3638182685625395</v>
      </c>
      <c r="AZ68" s="68">
        <f t="shared" si="121"/>
        <v>34.983563373965779</v>
      </c>
      <c r="BA68" s="69">
        <f t="shared" si="122"/>
        <v>80.935850055786986</v>
      </c>
      <c r="BB68" s="69">
        <f t="shared" si="123"/>
        <v>115.91941342975277</v>
      </c>
      <c r="BD68" t="str">
        <f t="shared" si="144"/>
        <v>82 Transport and mobile machine drivers and operatives</v>
      </c>
      <c r="BE68" s="18">
        <f t="shared" si="162"/>
        <v>2.9341482275028756</v>
      </c>
      <c r="BF68" s="18">
        <f t="shared" si="162"/>
        <v>3.2577042973286146</v>
      </c>
      <c r="BG68" s="18">
        <f t="shared" si="162"/>
        <v>2.9435620824494309</v>
      </c>
      <c r="BH68" s="18">
        <f t="shared" si="162"/>
        <v>3.3229771859647692</v>
      </c>
      <c r="BI68" s="18">
        <f t="shared" si="162"/>
        <v>3.7469921561425314</v>
      </c>
      <c r="BK68" s="68">
        <f t="shared" si="125"/>
        <v>24.877905406278845</v>
      </c>
      <c r="BL68" s="69">
        <f t="shared" si="126"/>
        <v>58.176143388032365</v>
      </c>
      <c r="BM68" s="69">
        <f t="shared" si="127"/>
        <v>83.054048794311214</v>
      </c>
      <c r="BO68" t="str">
        <f t="shared" si="145"/>
        <v>82 Transport and mobile machine drivers and operatives</v>
      </c>
      <c r="BP68" s="18">
        <f t="shared" si="163"/>
        <v>4.2606333870874833</v>
      </c>
      <c r="BQ68" s="18">
        <f t="shared" si="163"/>
        <v>5.1462183499293452</v>
      </c>
      <c r="BR68" s="18">
        <f t="shared" si="163"/>
        <v>4.3878340292180065</v>
      </c>
      <c r="BS68" s="18">
        <f t="shared" si="163"/>
        <v>4.8651342049322794</v>
      </c>
      <c r="BT68" s="18">
        <f t="shared" si="163"/>
        <v>5.5649908093708556</v>
      </c>
      <c r="BV68" s="68">
        <f t="shared" si="129"/>
        <v>5.3510510622109857</v>
      </c>
      <c r="BW68" s="69">
        <f t="shared" si="130"/>
        <v>57.044869615455184</v>
      </c>
      <c r="BX68" s="69">
        <f t="shared" si="131"/>
        <v>62.395920677666169</v>
      </c>
      <c r="BZ68" t="str">
        <f t="shared" si="146"/>
        <v>82 Transport and mobile machine drivers and operatives</v>
      </c>
      <c r="CA68" s="18">
        <f t="shared" si="164"/>
        <v>6.3059537660495231</v>
      </c>
      <c r="CB68" s="18">
        <f t="shared" si="164"/>
        <v>6.3637929256917722</v>
      </c>
      <c r="CC68" s="18">
        <f t="shared" si="164"/>
        <v>5.6849521025222094</v>
      </c>
      <c r="CD68" s="18">
        <f t="shared" si="164"/>
        <v>5.9233108354906321</v>
      </c>
      <c r="CE68" s="18">
        <f t="shared" si="164"/>
        <v>6.6463882520806052</v>
      </c>
      <c r="CG68" s="68">
        <f t="shared" si="133"/>
        <v>-24.711615636376902</v>
      </c>
      <c r="CH68" s="69">
        <f t="shared" si="134"/>
        <v>41.090617070022823</v>
      </c>
      <c r="CI68" s="69">
        <f t="shared" si="135"/>
        <v>16.379001433645922</v>
      </c>
      <c r="CK68" t="str">
        <f t="shared" si="147"/>
        <v>82 Transport and mobile machine drivers and operatives</v>
      </c>
      <c r="CL68" s="18">
        <f t="shared" si="165"/>
        <v>7.712834492836981</v>
      </c>
      <c r="CM68" s="18">
        <f t="shared" si="165"/>
        <v>9.1709523538446458</v>
      </c>
      <c r="CN68" s="18">
        <f t="shared" si="165"/>
        <v>8.3906850576286462</v>
      </c>
      <c r="CO68" s="18">
        <f t="shared" si="165"/>
        <v>9.3141259726342707</v>
      </c>
      <c r="CP68" s="18">
        <f t="shared" si="165"/>
        <v>7.5571511998832124</v>
      </c>
      <c r="CR68" s="68">
        <f t="shared" si="137"/>
        <v>-15.066840090988871</v>
      </c>
      <c r="CS68" s="69">
        <f t="shared" si="138"/>
        <v>37.281526728779738</v>
      </c>
      <c r="CT68" s="69">
        <f t="shared" si="139"/>
        <v>22.214686637790866</v>
      </c>
    </row>
    <row r="69" spans="1:98" x14ac:dyDescent="0.2">
      <c r="A69" t="str">
        <f t="shared" si="103"/>
        <v>91 Elementary trades and related occupations</v>
      </c>
      <c r="B69" s="18">
        <f t="shared" si="157"/>
        <v>7.3688951301857566E-3</v>
      </c>
      <c r="C69" s="18">
        <f t="shared" si="157"/>
        <v>4.7428521492353624E-3</v>
      </c>
      <c r="D69" s="18">
        <f t="shared" si="157"/>
        <v>4.4655104099842295E-3</v>
      </c>
      <c r="E69" s="18">
        <f t="shared" si="157"/>
        <v>3.4882378038758903E-3</v>
      </c>
      <c r="F69" s="18">
        <f t="shared" si="157"/>
        <v>3.1849354687885243E-3</v>
      </c>
      <c r="H69" s="68">
        <f t="shared" si="105"/>
        <v>4.323154318163442</v>
      </c>
      <c r="I69" s="69">
        <f t="shared" si="106"/>
        <v>56.944765085459593</v>
      </c>
      <c r="J69" s="69">
        <f t="shared" si="107"/>
        <v>61.26791940362304</v>
      </c>
      <c r="L69" t="str">
        <f t="shared" si="140"/>
        <v>91 Elementary trades and related occupations</v>
      </c>
      <c r="M69" s="18">
        <f t="shared" si="158"/>
        <v>0.12536915372376697</v>
      </c>
      <c r="N69" s="18">
        <f t="shared" si="158"/>
        <v>0.1258869208633914</v>
      </c>
      <c r="O69" s="18">
        <f t="shared" si="158"/>
        <v>0.10941854253296648</v>
      </c>
      <c r="P69" s="18">
        <f t="shared" si="158"/>
        <v>9.7226609465032129E-2</v>
      </c>
      <c r="Q69" s="18">
        <f t="shared" si="158"/>
        <v>0.10766006669375863</v>
      </c>
      <c r="S69" s="68">
        <f t="shared" si="109"/>
        <v>45.633352979572713</v>
      </c>
      <c r="T69" s="69">
        <f t="shared" si="110"/>
        <v>55.630004446446826</v>
      </c>
      <c r="U69" s="69">
        <f t="shared" si="111"/>
        <v>101.26335742601952</v>
      </c>
      <c r="W69" t="str">
        <f t="shared" si="141"/>
        <v>91 Elementary trades and related occupations</v>
      </c>
      <c r="X69" s="18">
        <f t="shared" si="159"/>
        <v>0.25590182560119079</v>
      </c>
      <c r="Y69" s="18">
        <f t="shared" si="159"/>
        <v>0.24056413566821921</v>
      </c>
      <c r="Z69" s="18">
        <f t="shared" si="159"/>
        <v>0.21330187353381688</v>
      </c>
      <c r="AA69" s="18">
        <f t="shared" si="159"/>
        <v>0.17281447665086047</v>
      </c>
      <c r="AB69" s="18">
        <f t="shared" si="159"/>
        <v>0.16691642836148762</v>
      </c>
      <c r="AD69" s="68">
        <f t="shared" si="113"/>
        <v>-4.0228412616436753</v>
      </c>
      <c r="AE69" s="69">
        <f t="shared" si="114"/>
        <v>50.57276056683088</v>
      </c>
      <c r="AF69" s="69">
        <f t="shared" si="115"/>
        <v>46.549919305187196</v>
      </c>
      <c r="AH69" t="str">
        <f t="shared" si="142"/>
        <v>91 Elementary trades and related occupations</v>
      </c>
      <c r="AI69" s="18">
        <f t="shared" si="160"/>
        <v>0.68240006354073546</v>
      </c>
      <c r="AJ69" s="18">
        <f t="shared" si="160"/>
        <v>0.7075658168598471</v>
      </c>
      <c r="AK69" s="18">
        <f t="shared" si="160"/>
        <v>0.59896530538441484</v>
      </c>
      <c r="AL69" s="18">
        <f t="shared" si="160"/>
        <v>0.57642990978200925</v>
      </c>
      <c r="AM69" s="18">
        <f t="shared" si="160"/>
        <v>0.6803742334319326</v>
      </c>
      <c r="AO69" s="68">
        <f t="shared" si="117"/>
        <v>28.411609887284232</v>
      </c>
      <c r="AP69" s="69">
        <f t="shared" si="118"/>
        <v>56.80758108839521</v>
      </c>
      <c r="AQ69" s="69">
        <f t="shared" si="119"/>
        <v>85.219190975679439</v>
      </c>
      <c r="AS69" t="str">
        <f t="shared" si="143"/>
        <v>91 Elementary trades and related occupations</v>
      </c>
      <c r="AT69" s="18">
        <f t="shared" si="161"/>
        <v>0.75222944585376328</v>
      </c>
      <c r="AU69" s="18">
        <f t="shared" si="161"/>
        <v>0.67889482632185072</v>
      </c>
      <c r="AV69" s="18">
        <f t="shared" si="161"/>
        <v>0.6895758196056333</v>
      </c>
      <c r="AW69" s="18">
        <f t="shared" si="161"/>
        <v>0.58630499038925443</v>
      </c>
      <c r="AX69" s="18">
        <f t="shared" si="161"/>
        <v>0.57257895036759232</v>
      </c>
      <c r="AZ69" s="68">
        <f t="shared" si="121"/>
        <v>-2.5514566281749014</v>
      </c>
      <c r="BA69" s="69">
        <f t="shared" si="122"/>
        <v>45.096684301986819</v>
      </c>
      <c r="BB69" s="69">
        <f t="shared" si="123"/>
        <v>42.545227673811922</v>
      </c>
      <c r="BD69" t="str">
        <f t="shared" si="144"/>
        <v>91 Elementary trades and related occupations</v>
      </c>
      <c r="BE69" s="18">
        <f t="shared" si="162"/>
        <v>1.1078993222131917</v>
      </c>
      <c r="BF69" s="18">
        <f t="shared" si="162"/>
        <v>0.98188788367542024</v>
      </c>
      <c r="BG69" s="18">
        <f t="shared" si="162"/>
        <v>0.93082042525253672</v>
      </c>
      <c r="BH69" s="18">
        <f t="shared" si="162"/>
        <v>0.89482504258783846</v>
      </c>
      <c r="BI69" s="18">
        <f t="shared" si="162"/>
        <v>1.0436564202825578</v>
      </c>
      <c r="BK69" s="68">
        <f t="shared" si="125"/>
        <v>9.9936632585897094</v>
      </c>
      <c r="BL69" s="69">
        <f t="shared" si="126"/>
        <v>34.150431369475797</v>
      </c>
      <c r="BM69" s="69">
        <f t="shared" si="127"/>
        <v>44.144094628065503</v>
      </c>
      <c r="BO69" t="str">
        <f t="shared" si="145"/>
        <v>91 Elementary trades and related occupations</v>
      </c>
      <c r="BP69" s="18">
        <f t="shared" si="163"/>
        <v>1.7437470079961632</v>
      </c>
      <c r="BQ69" s="18">
        <f t="shared" si="163"/>
        <v>1.6883591382144156</v>
      </c>
      <c r="BR69" s="18">
        <f t="shared" si="163"/>
        <v>1.5726141327841381</v>
      </c>
      <c r="BS69" s="18">
        <f t="shared" si="163"/>
        <v>1.3542072221011212</v>
      </c>
      <c r="BT69" s="18">
        <f t="shared" si="163"/>
        <v>1.5084297117735033</v>
      </c>
      <c r="BV69" s="68">
        <f t="shared" si="129"/>
        <v>-20.324001046785082</v>
      </c>
      <c r="BW69" s="69">
        <f t="shared" si="130"/>
        <v>29.996334315067909</v>
      </c>
      <c r="BX69" s="69">
        <f t="shared" si="131"/>
        <v>9.6723332682828289</v>
      </c>
      <c r="BZ69" t="str">
        <f t="shared" si="146"/>
        <v>91 Elementary trades and related occupations</v>
      </c>
      <c r="CA69" s="18">
        <f t="shared" si="164"/>
        <v>3.209765279807486</v>
      </c>
      <c r="CB69" s="18">
        <f t="shared" si="164"/>
        <v>2.827241141238217</v>
      </c>
      <c r="CC69" s="18">
        <f t="shared" si="164"/>
        <v>2.7851520736773865</v>
      </c>
      <c r="CD69" s="18">
        <f t="shared" si="164"/>
        <v>2.3569720990223297</v>
      </c>
      <c r="CE69" s="18">
        <f t="shared" si="164"/>
        <v>2.575301168215165</v>
      </c>
      <c r="CG69" s="68">
        <f t="shared" si="133"/>
        <v>-40.454603445285045</v>
      </c>
      <c r="CH69" s="69">
        <f t="shared" si="134"/>
        <v>25.8633801875514</v>
      </c>
      <c r="CI69" s="69">
        <f t="shared" si="135"/>
        <v>-14.591223257733645</v>
      </c>
      <c r="CK69" t="str">
        <f t="shared" si="147"/>
        <v>91 Elementary trades and related occupations</v>
      </c>
      <c r="CL69" s="18">
        <f t="shared" si="165"/>
        <v>4.4843853417573118</v>
      </c>
      <c r="CM69" s="18">
        <f t="shared" si="165"/>
        <v>3.896967158145253</v>
      </c>
      <c r="CN69" s="18">
        <f t="shared" si="165"/>
        <v>4.0590411434770362</v>
      </c>
      <c r="CO69" s="18">
        <f t="shared" si="165"/>
        <v>3.2084532783461435</v>
      </c>
      <c r="CP69" s="18">
        <f t="shared" si="165"/>
        <v>2.5272490454430478</v>
      </c>
      <c r="CR69" s="68">
        <f t="shared" si="137"/>
        <v>-41.286066221069298</v>
      </c>
      <c r="CS69" s="69">
        <f t="shared" si="138"/>
        <v>20.737044010730294</v>
      </c>
      <c r="CT69" s="69">
        <f t="shared" si="139"/>
        <v>-20.549022210339004</v>
      </c>
    </row>
    <row r="70" spans="1:98" x14ac:dyDescent="0.2">
      <c r="A70" t="str">
        <f t="shared" si="103"/>
        <v>92 Elementary administration and service occupations</v>
      </c>
      <c r="B70" s="18">
        <f t="shared" si="157"/>
        <v>0.44003780894008554</v>
      </c>
      <c r="C70" s="18">
        <f t="shared" si="157"/>
        <v>0.43110670013567098</v>
      </c>
      <c r="D70" s="18">
        <f t="shared" si="157"/>
        <v>0.42989654398662752</v>
      </c>
      <c r="E70" s="18">
        <f t="shared" si="157"/>
        <v>0.45459081785136424</v>
      </c>
      <c r="F70" s="18">
        <f t="shared" si="157"/>
        <v>0.4616383176510499</v>
      </c>
      <c r="H70" s="68">
        <f t="shared" si="105"/>
        <v>57.068492168116336</v>
      </c>
      <c r="I70" s="69">
        <f t="shared" si="106"/>
        <v>74.853167295699635</v>
      </c>
      <c r="J70" s="69">
        <f t="shared" si="107"/>
        <v>131.92165946381598</v>
      </c>
      <c r="L70" t="str">
        <f t="shared" ref="L70" si="166">A70</f>
        <v>92 Elementary administration and service occupations</v>
      </c>
      <c r="M70" s="18">
        <f t="shared" si="158"/>
        <v>1.8441651236523742</v>
      </c>
      <c r="N70" s="18">
        <f t="shared" si="158"/>
        <v>1.9726739176980739</v>
      </c>
      <c r="O70" s="18">
        <f t="shared" si="158"/>
        <v>1.97364698897096</v>
      </c>
      <c r="P70" s="18">
        <f t="shared" si="158"/>
        <v>2.2092703559264408</v>
      </c>
      <c r="Q70" s="18">
        <f t="shared" si="158"/>
        <v>2.5211736252351322</v>
      </c>
      <c r="S70" s="68">
        <f t="shared" si="109"/>
        <v>89.073388925688477</v>
      </c>
      <c r="T70" s="69">
        <f t="shared" si="110"/>
        <v>83.236632870841518</v>
      </c>
      <c r="U70" s="69">
        <f t="shared" si="111"/>
        <v>172.31002179653001</v>
      </c>
      <c r="W70" t="str">
        <f t="shared" ref="W70" si="167">A70</f>
        <v>92 Elementary administration and service occupations</v>
      </c>
      <c r="X70" s="18">
        <f t="shared" si="159"/>
        <v>3.28257253628867</v>
      </c>
      <c r="Y70" s="18">
        <f t="shared" si="159"/>
        <v>3.5796295639797573</v>
      </c>
      <c r="Z70" s="18">
        <f t="shared" si="159"/>
        <v>3.5320420266708683</v>
      </c>
      <c r="AA70" s="18">
        <f t="shared" si="159"/>
        <v>3.9298181626228925</v>
      </c>
      <c r="AB70" s="18">
        <f t="shared" si="159"/>
        <v>4.5680087618807947</v>
      </c>
      <c r="AD70" s="68">
        <f t="shared" si="113"/>
        <v>58.622409211466696</v>
      </c>
      <c r="AE70" s="69">
        <f t="shared" si="114"/>
        <v>82.055430597620827</v>
      </c>
      <c r="AF70" s="69">
        <f t="shared" si="115"/>
        <v>140.67783980908752</v>
      </c>
      <c r="AH70" t="str">
        <f t="shared" ref="AH70" si="168">L70</f>
        <v>92 Elementary administration and service occupations</v>
      </c>
      <c r="AI70" s="18">
        <f t="shared" si="160"/>
        <v>5.9495805287323229</v>
      </c>
      <c r="AJ70" s="18">
        <f t="shared" si="160"/>
        <v>6.891173847713528</v>
      </c>
      <c r="AK70" s="18">
        <f t="shared" si="160"/>
        <v>6.8913763418546035</v>
      </c>
      <c r="AL70" s="18">
        <f t="shared" si="160"/>
        <v>7.9792256718198669</v>
      </c>
      <c r="AM70" s="18">
        <f t="shared" si="160"/>
        <v>9.5183224628737193</v>
      </c>
      <c r="AO70" s="68">
        <f t="shared" si="117"/>
        <v>56.139414259105259</v>
      </c>
      <c r="AP70" s="69">
        <f t="shared" si="118"/>
        <v>78.154200226504884</v>
      </c>
      <c r="AQ70" s="69">
        <f t="shared" si="119"/>
        <v>134.29361448561014</v>
      </c>
      <c r="AS70" t="str">
        <f t="shared" ref="AS70" si="169">W70</f>
        <v>92 Elementary administration and service occupations</v>
      </c>
      <c r="AT70" s="18">
        <f t="shared" si="161"/>
        <v>5.4946441501464651</v>
      </c>
      <c r="AU70" s="18">
        <f t="shared" si="161"/>
        <v>5.8113605763275595</v>
      </c>
      <c r="AV70" s="18">
        <f t="shared" si="161"/>
        <v>5.9843003088065849</v>
      </c>
      <c r="AW70" s="18">
        <f t="shared" si="161"/>
        <v>6.7234099110568364</v>
      </c>
      <c r="AX70" s="18">
        <f t="shared" si="161"/>
        <v>7.862310506126315</v>
      </c>
      <c r="AZ70" s="68">
        <f t="shared" si="121"/>
        <v>54.190923622532651</v>
      </c>
      <c r="BA70" s="69">
        <f t="shared" si="122"/>
        <v>76.755459037134074</v>
      </c>
      <c r="BB70" s="69">
        <f t="shared" si="123"/>
        <v>130.94638265966674</v>
      </c>
      <c r="BD70" t="str">
        <f t="shared" ref="BD70" si="170">AH70</f>
        <v>92 Elementary administration and service occupations</v>
      </c>
      <c r="BE70" s="18">
        <f t="shared" si="162"/>
        <v>9.6916598187145322</v>
      </c>
      <c r="BF70" s="18">
        <f t="shared" si="162"/>
        <v>9.0841803112812674</v>
      </c>
      <c r="BG70" s="18">
        <f t="shared" si="162"/>
        <v>8.765456289764165</v>
      </c>
      <c r="BH70" s="18">
        <f t="shared" si="162"/>
        <v>8.7609488816225802</v>
      </c>
      <c r="BI70" s="18">
        <f t="shared" si="162"/>
        <v>8.6907827644443039</v>
      </c>
      <c r="BK70" s="68">
        <f t="shared" si="125"/>
        <v>-2.7341497383110402</v>
      </c>
      <c r="BL70" s="69">
        <f t="shared" si="126"/>
        <v>49.908874851173266</v>
      </c>
      <c r="BM70" s="69">
        <f t="shared" si="127"/>
        <v>47.174725112862234</v>
      </c>
      <c r="BO70" t="str">
        <f t="shared" ref="BO70" si="171">AS70</f>
        <v>92 Elementary administration and service occupations</v>
      </c>
      <c r="BP70" s="18">
        <f t="shared" si="163"/>
        <v>14.831799712204971</v>
      </c>
      <c r="BQ70" s="18">
        <f t="shared" si="163"/>
        <v>14.951931801081402</v>
      </c>
      <c r="BR70" s="18">
        <f t="shared" si="163"/>
        <v>14.439193117011579</v>
      </c>
      <c r="BS70" s="18">
        <f t="shared" si="163"/>
        <v>15.425734779152943</v>
      </c>
      <c r="BT70" s="18">
        <f t="shared" si="163"/>
        <v>16.393268711551102</v>
      </c>
      <c r="BV70" s="68">
        <f t="shared" si="129"/>
        <v>-5.6922798439892803</v>
      </c>
      <c r="BW70" s="69">
        <f t="shared" si="130"/>
        <v>46.729504296605242</v>
      </c>
      <c r="BX70" s="69">
        <f t="shared" si="131"/>
        <v>41.037224452615966</v>
      </c>
      <c r="BZ70" t="str">
        <f t="shared" ref="BZ70" si="172">BD70</f>
        <v>92 Elementary administration and service occupations</v>
      </c>
      <c r="CA70" s="18">
        <f t="shared" si="164"/>
        <v>19.634272820097788</v>
      </c>
      <c r="CB70" s="18">
        <f t="shared" si="164"/>
        <v>20.295486204019404</v>
      </c>
      <c r="CC70" s="18">
        <f t="shared" si="164"/>
        <v>19.565368527485212</v>
      </c>
      <c r="CD70" s="18">
        <f t="shared" si="164"/>
        <v>21.012126013242767</v>
      </c>
      <c r="CE70" s="18">
        <f t="shared" si="164"/>
        <v>21.420959016719443</v>
      </c>
      <c r="CG70" s="68">
        <f t="shared" si="133"/>
        <v>-29.494993317048046</v>
      </c>
      <c r="CH70" s="69">
        <f t="shared" si="134"/>
        <v>36.011823761788179</v>
      </c>
      <c r="CI70" s="69">
        <f t="shared" si="135"/>
        <v>6.5168304447401324</v>
      </c>
      <c r="CK70" t="str">
        <f t="shared" ref="CK70" si="173">BO70</f>
        <v>92 Elementary administration and service occupations</v>
      </c>
      <c r="CL70" s="18">
        <f t="shared" si="165"/>
        <v>27.740918136994498</v>
      </c>
      <c r="CM70" s="18">
        <f t="shared" si="165"/>
        <v>24.513479167609141</v>
      </c>
      <c r="CN70" s="18">
        <f t="shared" si="165"/>
        <v>23.678980333470452</v>
      </c>
      <c r="CO70" s="18">
        <f t="shared" si="165"/>
        <v>18.45978710705387</v>
      </c>
      <c r="CP70" s="18">
        <f t="shared" si="165"/>
        <v>14.325800440781302</v>
      </c>
      <c r="CR70" s="68">
        <f t="shared" si="137"/>
        <v>-42.947787484807627</v>
      </c>
      <c r="CS70" s="69">
        <f t="shared" si="138"/>
        <v>17.555384936702765</v>
      </c>
      <c r="CT70" s="69">
        <f t="shared" si="139"/>
        <v>-25.392402548104858</v>
      </c>
    </row>
    <row r="71" spans="1:98" x14ac:dyDescent="0.2">
      <c r="B71" s="18"/>
      <c r="C71" s="18"/>
      <c r="D71" s="18"/>
      <c r="E71" s="18"/>
      <c r="F71" s="18"/>
      <c r="H71" s="68"/>
      <c r="I71" s="69"/>
      <c r="J71" s="69"/>
      <c r="M71" s="18"/>
      <c r="N71" s="18"/>
      <c r="O71" s="18"/>
      <c r="P71" s="18"/>
      <c r="Q71" s="18"/>
      <c r="S71" s="68"/>
      <c r="T71" s="69"/>
      <c r="U71" s="69"/>
      <c r="X71" s="18"/>
      <c r="Y71" s="18"/>
      <c r="Z71" s="18"/>
      <c r="AA71" s="18"/>
      <c r="AB71" s="18"/>
      <c r="AD71" s="68"/>
      <c r="AE71" s="69"/>
      <c r="AF71" s="69"/>
      <c r="AI71" s="18"/>
      <c r="AJ71" s="18"/>
      <c r="AK71" s="18"/>
      <c r="AL71" s="18"/>
      <c r="AM71" s="18"/>
      <c r="AO71" s="68"/>
      <c r="AP71" s="69"/>
      <c r="AQ71" s="69"/>
      <c r="AT71" s="18"/>
      <c r="AU71" s="18"/>
      <c r="AV71" s="18"/>
      <c r="AW71" s="18"/>
      <c r="AX71" s="18"/>
      <c r="AZ71" s="68"/>
      <c r="BA71" s="69"/>
      <c r="BB71" s="69"/>
      <c r="BE71" s="18"/>
      <c r="BF71" s="18"/>
      <c r="BG71" s="18"/>
      <c r="BH71" s="18"/>
      <c r="BI71" s="18"/>
      <c r="BK71" s="68"/>
      <c r="BL71" s="69"/>
      <c r="BM71" s="69"/>
      <c r="BP71" s="18"/>
      <c r="BQ71" s="18"/>
      <c r="BR71" s="18"/>
      <c r="BS71" s="18"/>
      <c r="BT71" s="18"/>
      <c r="BV71" s="68"/>
      <c r="BW71" s="69"/>
      <c r="BX71" s="69"/>
      <c r="CA71" s="18"/>
      <c r="CB71" s="18"/>
      <c r="CC71" s="18"/>
      <c r="CD71" s="18"/>
      <c r="CE71" s="18"/>
      <c r="CG71" s="68"/>
      <c r="CH71" s="69"/>
      <c r="CI71" s="69"/>
      <c r="CL71" s="18"/>
      <c r="CM71" s="18"/>
      <c r="CN71" s="18"/>
      <c r="CO71" s="18"/>
      <c r="CP71" s="18"/>
      <c r="CR71" s="68"/>
      <c r="CS71" s="69"/>
      <c r="CT71" s="69"/>
    </row>
    <row r="72" spans="1:98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 t="shared" ref="H72" si="174">IF(D35&gt;0,(H35/D35)*100,0)</f>
        <v>46.26862496129349</v>
      </c>
      <c r="I72" s="67">
        <f>IF(D35&gt;0,I35/D35*100,0)</f>
        <v>60.215043892635613</v>
      </c>
      <c r="J72" s="67">
        <f t="shared" ref="J72" si="175">IF(D35&gt;0,(J35/D35)*100,0)</f>
        <v>106.4836688539291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176">IF(O35&gt;0,(S35/O35)*100,0)</f>
        <v>48.012069066809275</v>
      </c>
      <c r="T72" s="67">
        <f t="shared" ref="T72" si="177">IF(O35&gt;0,T35/O35*100,0)</f>
        <v>63.548422361611969</v>
      </c>
      <c r="U72" s="67">
        <f t="shared" ref="U72" si="178">IF(O35&gt;0,(U35/O35)*100,0)</f>
        <v>111.56049142842124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179">IF(Z35&gt;0,(AD35/Z35)*100,0)</f>
        <v>22.648848746079743</v>
      </c>
      <c r="AE72" s="67">
        <f t="shared" ref="AE72" si="180">IF(Z35&gt;0,AE35/Z35*100,0)</f>
        <v>59.479950233471826</v>
      </c>
      <c r="AF72" s="67">
        <f t="shared" ref="AF72" si="181">IF(Z35&gt;0,(AF35/Z35)*100,0)</f>
        <v>82.128798979551561</v>
      </c>
      <c r="AH72" s="24" t="str">
        <f>AH35</f>
        <v>All occupations</v>
      </c>
      <c r="AI72" s="26">
        <f>AI35/AI$35*100</f>
        <v>100</v>
      </c>
      <c r="AJ72" s="26">
        <f>AJ35/AJ$35*100</f>
        <v>100</v>
      </c>
      <c r="AK72" s="26">
        <f>AK35/AK$35*100</f>
        <v>100</v>
      </c>
      <c r="AL72" s="26">
        <f>AL35/AL$35*100</f>
        <v>100</v>
      </c>
      <c r="AM72" s="26">
        <f>AM35/AM$35*100</f>
        <v>100</v>
      </c>
      <c r="AO72" s="70">
        <f t="shared" ref="AO72" si="182">IF(AK35&gt;0,(AO35/AK35)*100,0)</f>
        <v>13.046754788276912</v>
      </c>
      <c r="AP72" s="67">
        <f t="shared" ref="AP72" si="183">IF(AK35&gt;0,AP35/AK35*100,0)</f>
        <v>55.518583158624956</v>
      </c>
      <c r="AQ72" s="67">
        <f t="shared" ref="AQ72" si="184">IF(AK35&gt;0,(AQ35/AK35)*100,0)</f>
        <v>68.565337946901877</v>
      </c>
      <c r="AS72" s="24" t="str">
        <f>AS35</f>
        <v>All occupations</v>
      </c>
      <c r="AT72" s="26">
        <f>AT35/AT$35*100</f>
        <v>100</v>
      </c>
      <c r="AU72" s="26">
        <f>AU35/AU$35*100</f>
        <v>100</v>
      </c>
      <c r="AV72" s="26">
        <f>AV35/AV$35*100</f>
        <v>100</v>
      </c>
      <c r="AW72" s="26">
        <f>AW35/AW$35*100</f>
        <v>100</v>
      </c>
      <c r="AX72" s="26">
        <f>AX35/AX$35*100</f>
        <v>100</v>
      </c>
      <c r="AZ72" s="70">
        <f t="shared" ref="AZ72" si="185">IF(AV35&gt;0,(AZ35/AV35)*100,0)</f>
        <v>17.360512680147551</v>
      </c>
      <c r="BA72" s="67">
        <f t="shared" ref="BA72" si="186">IF(AV35&gt;0,BA35/AV35*100,0)</f>
        <v>55.919756409547126</v>
      </c>
      <c r="BB72" s="67">
        <f t="shared" ref="BB72" si="187">IF(AV35&gt;0,(BB35/AV35)*100,0)</f>
        <v>73.280269089694684</v>
      </c>
      <c r="BD72" s="24" t="str">
        <f>BD35</f>
        <v>All occupations</v>
      </c>
      <c r="BE72" s="26">
        <f>BE35/BE$35*100</f>
        <v>100</v>
      </c>
      <c r="BF72" s="26">
        <f>BF35/BF$35*100</f>
        <v>100</v>
      </c>
      <c r="BG72" s="26">
        <f>BG35/BG$35*100</f>
        <v>100</v>
      </c>
      <c r="BH72" s="26">
        <f>BH35/BH$35*100</f>
        <v>100</v>
      </c>
      <c r="BI72" s="26">
        <f>BI35/BI$35*100</f>
        <v>100</v>
      </c>
      <c r="BK72" s="70">
        <f t="shared" ref="BK72" si="188">IF(BG35&gt;0,(BK35/BG35)*100,0)</f>
        <v>-1.8984155899453583</v>
      </c>
      <c r="BL72" s="67">
        <f t="shared" ref="BL72" si="189">IF(BG35&gt;0,BL35/BG35*100,0)</f>
        <v>44.837807934628238</v>
      </c>
      <c r="BM72" s="67">
        <f t="shared" ref="BM72" si="190">IF(BG35&gt;0,(BM35/BG35)*100,0)</f>
        <v>42.939392344682879</v>
      </c>
      <c r="BO72" s="24" t="str">
        <f>BO35</f>
        <v>All occupations</v>
      </c>
      <c r="BP72" s="26">
        <f>BP35/BP$35*100</f>
        <v>100</v>
      </c>
      <c r="BQ72" s="26">
        <f>BQ35/BQ$35*100</f>
        <v>100</v>
      </c>
      <c r="BR72" s="26">
        <f>BR35/BR$35*100</f>
        <v>100</v>
      </c>
      <c r="BS72" s="26">
        <f>BS35/BS$35*100</f>
        <v>100</v>
      </c>
      <c r="BT72" s="26">
        <f>BT35/BT$35*100</f>
        <v>100</v>
      </c>
      <c r="BV72" s="70">
        <f t="shared" ref="BV72" si="191">IF(BR35&gt;0,(BV35/BR35)*100,0)</f>
        <v>-16.933748374525376</v>
      </c>
      <c r="BW72" s="67">
        <f t="shared" ref="BW72" si="192">IF(BR35&gt;0,BW35/BR35*100,0)</f>
        <v>40.675130275417736</v>
      </c>
      <c r="BX72" s="67">
        <f t="shared" ref="BX72" si="193">IF(BR35&gt;0,(BX35/BR35)*100,0)</f>
        <v>23.74138190089236</v>
      </c>
      <c r="BZ72" s="24" t="str">
        <f>BZ35</f>
        <v>All occupations</v>
      </c>
      <c r="CA72" s="26">
        <f>CA35/CA$35*100</f>
        <v>100</v>
      </c>
      <c r="CB72" s="26">
        <f>CB35/CB$35*100</f>
        <v>100</v>
      </c>
      <c r="CC72" s="26">
        <f>CC35/CC$35*100</f>
        <v>100</v>
      </c>
      <c r="CD72" s="26">
        <f>CD35/CD$35*100</f>
        <v>100</v>
      </c>
      <c r="CE72" s="26">
        <f>CE35/CE$35*100</f>
        <v>100</v>
      </c>
      <c r="CG72" s="70">
        <f t="shared" ref="CG72" si="194">IF(CC35&gt;0,(CG35/CC35)*100,0)</f>
        <v>-35.602489239250573</v>
      </c>
      <c r="CH72" s="67">
        <f t="shared" ref="CH72" si="195">IF(CC35&gt;0,CH35/CC35*100,0)</f>
        <v>32.63771267286338</v>
      </c>
      <c r="CI72" s="67">
        <f t="shared" ref="CI72" si="196">IF(CC35&gt;0,(CI35/CC35)*100,0)</f>
        <v>-2.9647765663871968</v>
      </c>
      <c r="CK72" s="24" t="str">
        <f>CK35</f>
        <v>All occupations</v>
      </c>
      <c r="CL72" s="26">
        <f>CL35/CL$35*100</f>
        <v>100</v>
      </c>
      <c r="CM72" s="26">
        <f>CM35/CM$35*100</f>
        <v>100</v>
      </c>
      <c r="CN72" s="26">
        <f>CN35/CN$35*100</f>
        <v>100</v>
      </c>
      <c r="CO72" s="26">
        <f>CO35/CO$35*100</f>
        <v>100</v>
      </c>
      <c r="CP72" s="26">
        <f>CP35/CP$35*100</f>
        <v>100</v>
      </c>
      <c r="CR72" s="70">
        <f t="shared" ref="CR72" si="197">IF(CN35&gt;0,(CR35/CN35)*100,0)</f>
        <v>-5.6989364250463277</v>
      </c>
      <c r="CS72" s="67">
        <f t="shared" ref="CS72" si="198">IF(CN35&gt;0,CS35/CN35*100,0)</f>
        <v>27.91639276536721</v>
      </c>
      <c r="CT72" s="67">
        <f t="shared" ref="CT72" si="199">IF(CN35&gt;0,(CT35/CN35)*100,0)</f>
        <v>22.217456340320883</v>
      </c>
    </row>
    <row r="75" spans="1:98" ht="51" customHeight="1" x14ac:dyDescent="0.2">
      <c r="A75" s="381" t="str">
        <f>CONCATENATE(A$1," (Continued)")</f>
        <v>Basic Table 2  Employment Change by Occupation and Replacement Demand, RQF8 Doctorate, 2015-2035, Enterprise M3 (Continued)</v>
      </c>
      <c r="B75" s="381"/>
      <c r="C75" s="381"/>
      <c r="D75" s="381"/>
      <c r="E75" s="381"/>
      <c r="F75" s="381"/>
      <c r="G75" s="381"/>
      <c r="H75" s="381"/>
      <c r="I75" s="381"/>
      <c r="J75" s="381"/>
      <c r="L75" s="381" t="str">
        <f>CONCATENATE(L$1," (Continued)")</f>
        <v>Basic Table 2.1  Employment Change by Occupation and Replacement Demand, RQF7 Other higher degree, 2015-2035, Enterprise M3 (Continued)</v>
      </c>
      <c r="M75" s="381"/>
      <c r="N75" s="381"/>
      <c r="O75" s="381"/>
      <c r="P75" s="381"/>
      <c r="Q75" s="381"/>
      <c r="R75" s="381"/>
      <c r="S75" s="381"/>
      <c r="T75" s="381"/>
      <c r="U75" s="381"/>
      <c r="W75" s="381" t="str">
        <f>CONCATENATE(W$1," (Continued)")</f>
        <v>Basic Table 2.2  Employment Change by Occupation and Replacement Demand, RQF6 First degree, 2015-2035, Enterprise M3 (Continued)</v>
      </c>
      <c r="X75" s="381"/>
      <c r="Y75" s="381"/>
      <c r="Z75" s="381"/>
      <c r="AA75" s="381"/>
      <c r="AB75" s="381"/>
      <c r="AC75" s="381"/>
      <c r="AD75" s="381"/>
      <c r="AE75" s="381"/>
      <c r="AF75" s="381"/>
      <c r="AH75" s="381" t="str">
        <f>CONCATENATE(AH$1," (Continued)")</f>
        <v>Basic Table 2.3  Employment Change by Occupation and Replacement Demand, RQF5 Foundation degree;Nursing;Teaching, 2015-2035, Enterprise M3 (Continued)</v>
      </c>
      <c r="AI75" s="381"/>
      <c r="AJ75" s="381"/>
      <c r="AK75" s="381"/>
      <c r="AL75" s="381"/>
      <c r="AM75" s="381"/>
      <c r="AN75" s="381"/>
      <c r="AO75" s="381"/>
      <c r="AP75" s="381"/>
      <c r="AQ75" s="381"/>
      <c r="AS75" s="381" t="str">
        <f>CONCATENATE(AS$1," (Continued)")</f>
        <v>Basic Table 2.4  Employment Change by Occupation and Replacement Demand, RQF4 HE below degree level, 2015-2035, Enterprise M3 (Continued)</v>
      </c>
      <c r="AT75" s="381"/>
      <c r="AU75" s="381"/>
      <c r="AV75" s="381"/>
      <c r="AW75" s="381"/>
      <c r="AX75" s="381"/>
      <c r="AY75" s="381"/>
      <c r="AZ75" s="381"/>
      <c r="BA75" s="381"/>
      <c r="BB75" s="381"/>
      <c r="BD75" s="381" t="str">
        <f>CONCATENATE(BD$1," (Continued)")</f>
        <v>Basic Table 2.5  Employment Change by Occupation and Replacement Demand, RQF3 A level &amp; equivalent, 2015-2035, Enterprise M3 (Continued)</v>
      </c>
      <c r="BE75" s="381"/>
      <c r="BF75" s="381"/>
      <c r="BG75" s="381"/>
      <c r="BH75" s="381"/>
      <c r="BI75" s="381"/>
      <c r="BJ75" s="381"/>
      <c r="BK75" s="381"/>
      <c r="BL75" s="381"/>
      <c r="BM75" s="381"/>
      <c r="BO75" s="381" t="str">
        <f>CONCATENATE(BO$1," (Continued)")</f>
        <v>Basic Table 2.6  Employment Change by Occupation and Replacement Demand, RQF2 GCSE(A-C) &amp; equivalent, 2015-2035, Enterprise M3 (Continued)</v>
      </c>
      <c r="BP75" s="381"/>
      <c r="BQ75" s="381"/>
      <c r="BR75" s="381"/>
      <c r="BS75" s="381"/>
      <c r="BT75" s="381"/>
      <c r="BU75" s="381"/>
      <c r="BV75" s="381"/>
      <c r="BW75" s="381"/>
      <c r="BX75" s="381"/>
      <c r="BZ75" s="381" t="str">
        <f>CONCATENATE(BZ$1," (Continued)")</f>
        <v>Basic Table 2.7  Employment Change by Occupation and Replacement Demand, RQF1 GCSE(below grade C) &amp; equivalent, 2015-2035, Enterprise M3 (Continued)</v>
      </c>
      <c r="CA75" s="381"/>
      <c r="CB75" s="381"/>
      <c r="CC75" s="381"/>
      <c r="CD75" s="381"/>
      <c r="CE75" s="381"/>
      <c r="CF75" s="381"/>
      <c r="CG75" s="381"/>
      <c r="CH75" s="381"/>
      <c r="CI75" s="381"/>
      <c r="CK75" s="381" t="str">
        <f>CONCATENATE(CK$1," (Continued)")</f>
        <v>Basic Table 2.8  Employment Change by Occupation and Replacement Demand, No Qualification, 2015-2035, Enterprise M3 (Continued)</v>
      </c>
      <c r="CL75" s="381"/>
      <c r="CM75" s="381"/>
      <c r="CN75" s="381"/>
      <c r="CO75" s="381"/>
      <c r="CP75" s="381"/>
      <c r="CQ75" s="381"/>
      <c r="CR75" s="381"/>
      <c r="CS75" s="381"/>
      <c r="CT75" s="381"/>
    </row>
    <row r="77" spans="1:98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  <c r="AM77" s="16" t="s">
        <v>38</v>
      </c>
      <c r="AQ77" s="16" t="s">
        <v>38</v>
      </c>
      <c r="AX77" s="16" t="s">
        <v>38</v>
      </c>
      <c r="BB77" s="16" t="s">
        <v>38</v>
      </c>
      <c r="BI77" s="16" t="s">
        <v>38</v>
      </c>
      <c r="BM77" s="16" t="s">
        <v>38</v>
      </c>
      <c r="BT77" s="16" t="s">
        <v>38</v>
      </c>
      <c r="BX77" s="16" t="s">
        <v>38</v>
      </c>
      <c r="CE77" s="16" t="s">
        <v>38</v>
      </c>
      <c r="CI77" s="16" t="s">
        <v>38</v>
      </c>
      <c r="CP77" s="16" t="s">
        <v>38</v>
      </c>
      <c r="CT77" s="16" t="s">
        <v>38</v>
      </c>
    </row>
    <row r="78" spans="1:98" x14ac:dyDescent="0.2">
      <c r="A78" s="36"/>
      <c r="B78" s="36"/>
      <c r="C78" s="36"/>
      <c r="D78" s="36"/>
      <c r="E78" s="36"/>
      <c r="F78" s="36"/>
      <c r="H78" s="28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28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28" t="str">
        <f>$H$4</f>
        <v>2020-2035</v>
      </c>
      <c r="AE78" s="36"/>
      <c r="AF78" s="36"/>
      <c r="AH78" s="36"/>
      <c r="AI78" s="36"/>
      <c r="AJ78" s="36"/>
      <c r="AK78" s="36"/>
      <c r="AL78" s="36"/>
      <c r="AM78" s="36"/>
      <c r="AO78" s="28" t="str">
        <f>$H$4</f>
        <v>2020-2035</v>
      </c>
      <c r="AP78" s="36"/>
      <c r="AQ78" s="36"/>
      <c r="AS78" s="36"/>
      <c r="AT78" s="36"/>
      <c r="AU78" s="36"/>
      <c r="AV78" s="36"/>
      <c r="AW78" s="36"/>
      <c r="AX78" s="36"/>
      <c r="AZ78" s="28" t="str">
        <f>$H$4</f>
        <v>2020-2035</v>
      </c>
      <c r="BA78" s="36"/>
      <c r="BB78" s="36"/>
      <c r="BD78" s="36"/>
      <c r="BE78" s="36"/>
      <c r="BF78" s="36"/>
      <c r="BG78" s="36"/>
      <c r="BH78" s="36"/>
      <c r="BI78" s="36"/>
      <c r="BK78" s="28" t="str">
        <f>$H$4</f>
        <v>2020-2035</v>
      </c>
      <c r="BL78" s="36"/>
      <c r="BM78" s="36"/>
      <c r="BO78" s="36"/>
      <c r="BP78" s="36"/>
      <c r="BQ78" s="36"/>
      <c r="BR78" s="36"/>
      <c r="BS78" s="36"/>
      <c r="BT78" s="36"/>
      <c r="BV78" s="28" t="str">
        <f>$H$4</f>
        <v>2020-2035</v>
      </c>
      <c r="BW78" s="36"/>
      <c r="BX78" s="36"/>
      <c r="BZ78" s="36"/>
      <c r="CA78" s="36"/>
      <c r="CB78" s="36"/>
      <c r="CC78" s="36"/>
      <c r="CD78" s="36"/>
      <c r="CE78" s="36"/>
      <c r="CG78" s="28" t="str">
        <f>$H$4</f>
        <v>2020-2035</v>
      </c>
      <c r="CH78" s="36"/>
      <c r="CI78" s="36"/>
      <c r="CK78" s="36"/>
      <c r="CL78" s="36"/>
      <c r="CM78" s="36"/>
      <c r="CN78" s="36"/>
      <c r="CO78" s="36"/>
      <c r="CP78" s="36"/>
      <c r="CR78" s="28" t="str">
        <f>$H$4</f>
        <v>2020-2035</v>
      </c>
      <c r="CS78" s="36"/>
      <c r="CT78" s="36"/>
    </row>
    <row r="79" spans="1:98" x14ac:dyDescent="0.2">
      <c r="H79" s="16" t="str">
        <f t="shared" ref="H79:J80" si="200">H42</f>
        <v>Net</v>
      </c>
      <c r="I79" s="16" t="str">
        <f t="shared" si="200"/>
        <v>Replacement</v>
      </c>
      <c r="J79" s="16" t="str">
        <f t="shared" si="200"/>
        <v>Total</v>
      </c>
      <c r="S79" s="16" t="str">
        <f t="shared" ref="S79:U80" si="201">S42</f>
        <v>Net</v>
      </c>
      <c r="T79" s="16" t="str">
        <f t="shared" si="201"/>
        <v>Replacement</v>
      </c>
      <c r="U79" s="16" t="str">
        <f t="shared" si="201"/>
        <v>Total</v>
      </c>
      <c r="AD79" s="16" t="str">
        <f t="shared" ref="AD79:AF80" si="202">AD42</f>
        <v>Net</v>
      </c>
      <c r="AE79" s="16" t="str">
        <f t="shared" si="202"/>
        <v>Replacement</v>
      </c>
      <c r="AF79" s="16" t="str">
        <f t="shared" si="202"/>
        <v>Total</v>
      </c>
      <c r="AO79" s="16" t="str">
        <f t="shared" ref="AO79:AQ80" si="203">AO42</f>
        <v>Net</v>
      </c>
      <c r="AP79" s="16" t="str">
        <f t="shared" si="203"/>
        <v>Replacement</v>
      </c>
      <c r="AQ79" s="16" t="str">
        <f t="shared" si="203"/>
        <v>Total</v>
      </c>
      <c r="AZ79" s="16" t="str">
        <f t="shared" ref="AZ79:BB80" si="204">AZ42</f>
        <v>Net</v>
      </c>
      <c r="BA79" s="16" t="str">
        <f t="shared" si="204"/>
        <v>Replacement</v>
      </c>
      <c r="BB79" s="16" t="str">
        <f t="shared" si="204"/>
        <v>Total</v>
      </c>
      <c r="BK79" s="16" t="str">
        <f t="shared" ref="BK79:BM80" si="205">BK42</f>
        <v>Net</v>
      </c>
      <c r="BL79" s="16" t="str">
        <f t="shared" si="205"/>
        <v>Replacement</v>
      </c>
      <c r="BM79" s="16" t="str">
        <f t="shared" si="205"/>
        <v>Total</v>
      </c>
      <c r="BV79" s="16" t="str">
        <f t="shared" ref="BV79:BX80" si="206">BV42</f>
        <v>Net</v>
      </c>
      <c r="BW79" s="16" t="str">
        <f t="shared" si="206"/>
        <v>Replacement</v>
      </c>
      <c r="BX79" s="16" t="str">
        <f t="shared" si="206"/>
        <v>Total</v>
      </c>
      <c r="CG79" s="16" t="str">
        <f t="shared" ref="CG79:CI80" si="207">CG42</f>
        <v>Net</v>
      </c>
      <c r="CH79" s="16" t="str">
        <f t="shared" si="207"/>
        <v>Replacement</v>
      </c>
      <c r="CI79" s="16" t="str">
        <f t="shared" si="207"/>
        <v>Total</v>
      </c>
      <c r="CR79" s="16" t="str">
        <f t="shared" ref="CR79:CT80" si="208">CR42</f>
        <v>Net</v>
      </c>
      <c r="CS79" s="16" t="str">
        <f t="shared" si="208"/>
        <v>Replacement</v>
      </c>
      <c r="CT79" s="16" t="str">
        <f t="shared" si="208"/>
        <v>Total</v>
      </c>
    </row>
    <row r="80" spans="1:98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CONCATENATE(C$6,"-",F$6)</f>
        <v>2019-2035</v>
      </c>
      <c r="H80" s="63" t="str">
        <f t="shared" si="200"/>
        <v>Change</v>
      </c>
      <c r="I80" s="63" t="str">
        <f t="shared" si="200"/>
        <v>Demand</v>
      </c>
      <c r="J80" s="63" t="str">
        <f t="shared" si="20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CONCATENATE(N$6,"-",Q$6)</f>
        <v>2019-2035</v>
      </c>
      <c r="S80" s="63" t="str">
        <f t="shared" si="201"/>
        <v>Change</v>
      </c>
      <c r="T80" s="63" t="str">
        <f t="shared" si="201"/>
        <v>Demand</v>
      </c>
      <c r="U80" s="63" t="str">
        <f t="shared" si="201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CONCATENATE(Y$6,"-",AB$6)</f>
        <v>2019-2035</v>
      </c>
      <c r="AD80" s="63" t="str">
        <f t="shared" si="202"/>
        <v>Change</v>
      </c>
      <c r="AE80" s="63" t="str">
        <f t="shared" si="202"/>
        <v>Demand</v>
      </c>
      <c r="AF80" s="63" t="str">
        <f t="shared" si="202"/>
        <v>Requirement</v>
      </c>
      <c r="AH80" s="41" t="s">
        <v>39</v>
      </c>
      <c r="AI80" s="64" t="str">
        <f>CONCATENATE(AI$6,"-",AJ$6)</f>
        <v>2015-2019</v>
      </c>
      <c r="AJ80" s="64" t="str">
        <f>CONCATENATE(AJ$6,"-",AK$6)</f>
        <v>2019-2020</v>
      </c>
      <c r="AK80" s="64" t="str">
        <f>CONCATENATE(AK$6,"-",AL$6)</f>
        <v>2020-2025</v>
      </c>
      <c r="AL80" s="64" t="str">
        <f>CONCATENATE(AL$6,"-",AM$6)</f>
        <v>2025-2035</v>
      </c>
      <c r="AM80" s="64" t="str">
        <f>CONCATENATE(AJ$6,"-",AM$6)</f>
        <v>2019-2035</v>
      </c>
      <c r="AO80" s="63" t="str">
        <f t="shared" si="203"/>
        <v>Change</v>
      </c>
      <c r="AP80" s="63" t="str">
        <f t="shared" si="203"/>
        <v>Demand</v>
      </c>
      <c r="AQ80" s="63" t="str">
        <f t="shared" si="203"/>
        <v>Requirement</v>
      </c>
      <c r="AS80" s="41" t="s">
        <v>39</v>
      </c>
      <c r="AT80" s="64" t="str">
        <f>CONCATENATE(AT$6,"-",AU$6)</f>
        <v>2015-2019</v>
      </c>
      <c r="AU80" s="64" t="str">
        <f>CONCATENATE(AU$6,"-",AV$6)</f>
        <v>2019-2020</v>
      </c>
      <c r="AV80" s="64" t="str">
        <f>CONCATENATE(AV$6,"-",AW$6)</f>
        <v>2020-2025</v>
      </c>
      <c r="AW80" s="64" t="str">
        <f>CONCATENATE(AW$6,"-",AX$6)</f>
        <v>2025-2035</v>
      </c>
      <c r="AX80" s="64" t="str">
        <f>CONCATENATE(AU$6,"-",AX$6)</f>
        <v>2019-2035</v>
      </c>
      <c r="AZ80" s="63" t="str">
        <f t="shared" si="204"/>
        <v>Change</v>
      </c>
      <c r="BA80" s="63" t="str">
        <f t="shared" si="204"/>
        <v>Demand</v>
      </c>
      <c r="BB80" s="63" t="str">
        <f t="shared" si="204"/>
        <v>Requirement</v>
      </c>
      <c r="BD80" s="41" t="s">
        <v>39</v>
      </c>
      <c r="BE80" s="64" t="str">
        <f>CONCATENATE(BE$6,"-",BF$6)</f>
        <v>2015-2019</v>
      </c>
      <c r="BF80" s="64" t="str">
        <f>CONCATENATE(BF$6,"-",BG$6)</f>
        <v>2019-2020</v>
      </c>
      <c r="BG80" s="64" t="str">
        <f>CONCATENATE(BG$6,"-",BH$6)</f>
        <v>2020-2025</v>
      </c>
      <c r="BH80" s="64" t="str">
        <f>CONCATENATE(BH$6,"-",BI$6)</f>
        <v>2025-2035</v>
      </c>
      <c r="BI80" s="64" t="str">
        <f>CONCATENATE(BF$6,"-",BI$6)</f>
        <v>2019-2035</v>
      </c>
      <c r="BK80" s="63" t="str">
        <f t="shared" si="205"/>
        <v>Change</v>
      </c>
      <c r="BL80" s="63" t="str">
        <f t="shared" si="205"/>
        <v>Demand</v>
      </c>
      <c r="BM80" s="63" t="str">
        <f t="shared" si="205"/>
        <v>Requirement</v>
      </c>
      <c r="BO80" s="41" t="s">
        <v>39</v>
      </c>
      <c r="BP80" s="64" t="str">
        <f>CONCATENATE(BP$6,"-",BQ$6)</f>
        <v>2015-2019</v>
      </c>
      <c r="BQ80" s="64" t="str">
        <f>CONCATENATE(BQ$6,"-",BR$6)</f>
        <v>2019-2020</v>
      </c>
      <c r="BR80" s="64" t="str">
        <f>CONCATENATE(BR$6,"-",BS$6)</f>
        <v>2020-2025</v>
      </c>
      <c r="BS80" s="64" t="str">
        <f>CONCATENATE(BS$6,"-",BT$6)</f>
        <v>2025-2035</v>
      </c>
      <c r="BT80" s="64" t="str">
        <f>CONCATENATE(BQ$6,"-",BT$6)</f>
        <v>2019-2035</v>
      </c>
      <c r="BV80" s="63" t="str">
        <f t="shared" si="206"/>
        <v>Change</v>
      </c>
      <c r="BW80" s="63" t="str">
        <f t="shared" si="206"/>
        <v>Demand</v>
      </c>
      <c r="BX80" s="63" t="str">
        <f t="shared" si="206"/>
        <v>Requirement</v>
      </c>
      <c r="BZ80" s="41" t="s">
        <v>39</v>
      </c>
      <c r="CA80" s="64" t="str">
        <f>CONCATENATE(CA$6,"-",CB$6)</f>
        <v>2015-2019</v>
      </c>
      <c r="CB80" s="64" t="str">
        <f>CONCATENATE(CB$6,"-",CC$6)</f>
        <v>2019-2020</v>
      </c>
      <c r="CC80" s="64" t="str">
        <f>CONCATENATE(CC$6,"-",CD$6)</f>
        <v>2020-2025</v>
      </c>
      <c r="CD80" s="64" t="str">
        <f>CONCATENATE(CD$6,"-",CE$6)</f>
        <v>2025-2035</v>
      </c>
      <c r="CE80" s="64" t="str">
        <f>CONCATENATE(CB$6,"-",CE$6)</f>
        <v>2019-2035</v>
      </c>
      <c r="CG80" s="63" t="str">
        <f t="shared" si="207"/>
        <v>Change</v>
      </c>
      <c r="CH80" s="63" t="str">
        <f t="shared" si="207"/>
        <v>Demand</v>
      </c>
      <c r="CI80" s="63" t="str">
        <f t="shared" si="207"/>
        <v>Requirement</v>
      </c>
      <c r="CK80" s="41" t="s">
        <v>39</v>
      </c>
      <c r="CL80" s="64" t="str">
        <f>CONCATENATE(CL$6,"-",CM$6)</f>
        <v>2015-2019</v>
      </c>
      <c r="CM80" s="64" t="str">
        <f>CONCATENATE(CM$6,"-",CN$6)</f>
        <v>2019-2020</v>
      </c>
      <c r="CN80" s="64" t="str">
        <f>CONCATENATE(CN$6,"-",CO$6)</f>
        <v>2020-2025</v>
      </c>
      <c r="CO80" s="64" t="str">
        <f>CONCATENATE(CO$6,"-",CP$6)</f>
        <v>2025-2035</v>
      </c>
      <c r="CP80" s="64" t="str">
        <f>CONCATENATE(CM$6,"-",CP$6)</f>
        <v>2019-2035</v>
      </c>
      <c r="CR80" s="63" t="str">
        <f t="shared" si="208"/>
        <v>Change</v>
      </c>
      <c r="CS80" s="63" t="str">
        <f t="shared" si="208"/>
        <v>Demand</v>
      </c>
      <c r="CT80" s="63" t="str">
        <f t="shared" si="208"/>
        <v>Requirement</v>
      </c>
    </row>
    <row r="82" spans="1:98" x14ac:dyDescent="0.2">
      <c r="A82" t="str">
        <f t="shared" ref="A82:A107" si="209">A8</f>
        <v>11 Corporate managers and directors</v>
      </c>
      <c r="B82" s="18">
        <f t="shared" ref="B82:E107" si="210">IF(AND(C$6-B$6 &lt;&gt; 0,B8&lt;&gt;0,C8&lt;&gt;0),(EXP(LN(C8/B8)/(C$6-B$6))-1)*100,0)</f>
        <v>5.0846191678489028</v>
      </c>
      <c r="C82" s="18">
        <f t="shared" si="210"/>
        <v>14.204182987481628</v>
      </c>
      <c r="D82" s="18">
        <f t="shared" si="210"/>
        <v>0.94486519119874046</v>
      </c>
      <c r="E82" s="18">
        <f t="shared" si="210"/>
        <v>2.7687464292626585</v>
      </c>
      <c r="F82" s="18">
        <f t="shared" ref="F82:F107" si="211">IF(AND(F$6-C$6 &lt;&gt; 0,C8&lt;&gt;0,F8&lt;&gt;0),(EXP(LN(F8/C8)/(F$6-C$6))-1)*100,0)</f>
        <v>2.871390510862204</v>
      </c>
      <c r="H82" s="18">
        <f t="shared" ref="H82:H107" si="212">IF($F$6-$D$6 &lt;&gt; 0,(EXP(LN(1+(H45/100))/($F$6-$D$6))-1)*100,0)</f>
        <v>2.1571535518527085</v>
      </c>
      <c r="I82" s="18">
        <f t="shared" ref="I82:I107" si="213">IF(D8&gt;0,((1+(I8/D8))^(1/($F$6-$D$6))-1)*100,0)</f>
        <v>3.2641939210335424</v>
      </c>
      <c r="J82" s="18">
        <f t="shared" ref="J82:J107" si="214">IF($F$6-$D$6 &lt;&gt; 0,(EXP(LN(1+(J45/100))/($F$6-$D$6))-1)*100,0)</f>
        <v>4.7165140444098475</v>
      </c>
      <c r="L82" t="str">
        <f>A82</f>
        <v>11 Corporate managers and directors</v>
      </c>
      <c r="M82" s="18">
        <f t="shared" ref="M82:P107" si="215">IF(AND(N$6-M$6 &lt;&gt; 0,M8&lt;&gt;0,N8&lt;&gt;0),(EXP(LN(N8/M8)/(N$6-M$6))-1)*100,0)</f>
        <v>6.5933138809657343</v>
      </c>
      <c r="N82" s="18">
        <f t="shared" si="215"/>
        <v>9.2077077117836978</v>
      </c>
      <c r="O82" s="18">
        <f t="shared" si="215"/>
        <v>0.6868101527694348</v>
      </c>
      <c r="P82" s="18">
        <f t="shared" si="215"/>
        <v>2.6747105930757353</v>
      </c>
      <c r="Q82" s="18">
        <f t="shared" ref="Q82:Q107" si="216">IF(AND(Q$6-N$6 &lt;&gt; 0,N8&lt;&gt;0,Q8&lt;&gt;0),(EXP(LN(Q8/N8)/(Q$6-N$6))-1)*100,0)</f>
        <v>2.4435081330489661</v>
      </c>
      <c r="S82" s="18">
        <f t="shared" ref="S82:S107" si="217">IF($F$6-$D$6 &lt;&gt; 0,(EXP(LN(1+(S45/100))/($F$6-$D$6))-1)*100,0)</f>
        <v>2.0077540637180924</v>
      </c>
      <c r="T82" s="18">
        <f t="shared" ref="T82:T107" si="218">IF(O8&gt;0,((1+(T8/O8))^(1/($F$6-$D$6))-1)*100,0)</f>
        <v>3.226965027068962</v>
      </c>
      <c r="U82" s="18">
        <f t="shared" ref="U82:U107" si="219">IF($F$6-$D$6 &lt;&gt; 0,(EXP(LN(1+(U45/100))/($F$6-$D$6))-1)*100,0)</f>
        <v>4.5801556080405703</v>
      </c>
      <c r="W82" t="str">
        <f>A82</f>
        <v>11 Corporate managers and directors</v>
      </c>
      <c r="X82" s="18">
        <f t="shared" ref="X82:AA107" si="220">IF(AND(Y$6-X$6 &lt;&gt; 0,X8&lt;&gt;0,Y8&lt;&gt;0),(EXP(LN(Y8/X8)/(Y$6-X$6))-1)*100,0)</f>
        <v>4.4621441498035708</v>
      </c>
      <c r="Y82" s="18">
        <f t="shared" si="220"/>
        <v>-3.1208036143709039</v>
      </c>
      <c r="Z82" s="18">
        <f t="shared" si="220"/>
        <v>-0.74793866171780632</v>
      </c>
      <c r="AA82" s="18">
        <f t="shared" si="220"/>
        <v>1.3907929924487528</v>
      </c>
      <c r="AB82" s="18">
        <f t="shared" ref="AB82:AB107" si="221">IF(AND(AB$6-Y$6 &lt;&gt; 0,Y8&lt;&gt;0,AB8&lt;&gt;0),(EXP(LN(AB8/Y8)/(AB$6-Y$6))-1)*100,0)</f>
        <v>0.43141638514683223</v>
      </c>
      <c r="AD82" s="18">
        <f t="shared" ref="AD82:AD107" si="222">IF($F$6-$D$6 &lt;&gt; 0,(EXP(LN(1+(AD45/100))/($F$6-$D$6))-1)*100,0)</f>
        <v>0.67281016060256604</v>
      </c>
      <c r="AE82" s="18">
        <f t="shared" ref="AE82:AE107" si="223">IF(Z8&gt;0,((1+(AE8/Z8))^(1/($F$6-$D$6))-1)*100,0)</f>
        <v>3.0916135343471041</v>
      </c>
      <c r="AF82" s="18">
        <f t="shared" ref="AF82:AF107" si="224">IF($F$6-$D$6 &lt;&gt; 0,(EXP(LN(1+(AF45/100))/($F$6-$D$6))-1)*100,0)</f>
        <v>3.5384107928933428</v>
      </c>
      <c r="AH82" t="str">
        <f>L82</f>
        <v>11 Corporate managers and directors</v>
      </c>
      <c r="AI82" s="18">
        <f t="shared" ref="AI82:AL107" si="225">IF(AND(AJ$6-AI$6 &lt;&gt; 0,AI8&lt;&gt;0,AJ8&lt;&gt;0),(EXP(LN(AJ8/AI8)/(AJ$6-AI$6))-1)*100,0)</f>
        <v>4.598871898139878</v>
      </c>
      <c r="AJ82" s="18">
        <f t="shared" si="225"/>
        <v>2.1540122139164675</v>
      </c>
      <c r="AK82" s="18">
        <f t="shared" si="225"/>
        <v>-1.5967434176856532</v>
      </c>
      <c r="AL82" s="18">
        <f t="shared" si="225"/>
        <v>1.0680393829041845</v>
      </c>
      <c r="AM82" s="18">
        <f t="shared" ref="AM82:AM107" si="226">IF(AND(AM$6-AJ$6 &lt;&gt; 0,AJ8&lt;&gt;0,AM8&lt;&gt;0),(EXP(LN(AM8/AJ8)/(AM$6-AJ$6))-1)*100,0)</f>
        <v>0.2946055465386177</v>
      </c>
      <c r="AO82" s="18">
        <f t="shared" ref="AO82:AO107" si="227">IF($F$6-$D$6 &lt;&gt; 0,(EXP(LN(1+(AO45/100))/($F$6-$D$6))-1)*100,0)</f>
        <v>0.17185535167651977</v>
      </c>
      <c r="AP82" s="18">
        <f t="shared" ref="AP82:AP107" si="228">IF(AK8&gt;0,((1+(AP8/AK8))^(1/($F$6-$D$6))-1)*100,0)</f>
        <v>2.789848413770657</v>
      </c>
      <c r="AQ82" s="18">
        <f t="shared" ref="AQ82:AQ107" si="229">IF($F$6-$D$6 &lt;&gt; 0,(EXP(LN(1+(AQ45/100))/($F$6-$D$6))-1)*100,0)</f>
        <v>2.9072345542906497</v>
      </c>
      <c r="AS82" t="str">
        <f>W82</f>
        <v>11 Corporate managers and directors</v>
      </c>
      <c r="AT82" s="18">
        <f t="shared" ref="AT82:AW107" si="230">IF(AND(AU$6-AT$6 &lt;&gt; 0,AT8&lt;&gt;0,AU8&lt;&gt;0),(EXP(LN(AU8/AT8)/(AU$6-AT$6))-1)*100,0)</f>
        <v>3.7536667672793955</v>
      </c>
      <c r="AU82" s="18">
        <f t="shared" si="230"/>
        <v>-5.9743162448200327E-2</v>
      </c>
      <c r="AV82" s="18">
        <f t="shared" si="230"/>
        <v>-2.017714928721337</v>
      </c>
      <c r="AW82" s="18">
        <f t="shared" si="230"/>
        <v>1.0624367110481758</v>
      </c>
      <c r="AX82" s="18">
        <f t="shared" ref="AX82:AX107" si="231">IF(AND(AX$6-AU$6 &lt;&gt; 0,AU8&lt;&gt;0,AX8&lt;&gt;0),(EXP(LN(AX8/AU8)/(AX$6-AU$6))-1)*100,0)</f>
        <v>1.9803209288604684E-2</v>
      </c>
      <c r="AZ82" s="18">
        <f t="shared" ref="AZ82:AZ107" si="232">IF($F$6-$D$6 &lt;&gt; 0,(EXP(LN(1+(AZ45/100))/($F$6-$D$6))-1)*100,0)</f>
        <v>2.5108551347718944E-2</v>
      </c>
      <c r="BA82" s="18">
        <f t="shared" ref="BA82:BA107" si="233">IF(AV8&gt;0,((1+(BA8/AV8))^(1/($F$6-$D$6))-1)*100,0)</f>
        <v>2.7557586235350984</v>
      </c>
      <c r="BB82" s="18">
        <f t="shared" ref="BB82:BB107" si="234">IF($F$6-$D$6 &lt;&gt; 0,(EXP(LN(1+(BB45/100))/($F$6-$D$6))-1)*100,0)</f>
        <v>2.7729294294212892</v>
      </c>
      <c r="BD82" t="str">
        <f>AH82</f>
        <v>11 Corporate managers and directors</v>
      </c>
      <c r="BE82" s="18">
        <f t="shared" ref="BE82:BH107" si="235">IF(AND(BF$6-BE$6 &lt;&gt; 0,BE8&lt;&gt;0,BF8&lt;&gt;0),(EXP(LN(BF8/BE8)/(BF$6-BE$6))-1)*100,0)</f>
        <v>0.9225158796290156</v>
      </c>
      <c r="BF82" s="18">
        <f t="shared" si="235"/>
        <v>8.1790412101151233</v>
      </c>
      <c r="BG82" s="18">
        <f t="shared" si="235"/>
        <v>-2.792723140318798</v>
      </c>
      <c r="BH82" s="18">
        <f t="shared" si="235"/>
        <v>0.64892348420402257</v>
      </c>
      <c r="BI82" s="18">
        <f t="shared" ref="BI82:BI107" si="236">IF(AND(BI$6-BF$6 &lt;&gt; 0,BF8&lt;&gt;0,BI8&lt;&gt;0),(EXP(LN(BI8/BF8)/(BI$6-BF$6))-1)*100,0)</f>
        <v>1.0482418012136563E-2</v>
      </c>
      <c r="BK82" s="18">
        <f t="shared" ref="BK82:BK107" si="237">IF($F$6-$D$6 &lt;&gt; 0,(EXP(LN(1+(BK45/100))/($F$6-$D$6))-1)*100,0)</f>
        <v>-0.51162245455321775</v>
      </c>
      <c r="BL82" s="18">
        <f t="shared" ref="BL82:BL107" si="238">IF(BG8&gt;0,((1+(BL8/BG8))^(1/($F$6-$D$6))-1)*100,0)</f>
        <v>2.278166829320627</v>
      </c>
      <c r="BM82" s="18">
        <f t="shared" ref="BM82:BM107" si="239">IF($F$6-$D$6 &lt;&gt; 0,(EXP(LN(1+(BM45/100))/($F$6-$D$6))-1)*100,0)</f>
        <v>1.9088092747697516</v>
      </c>
      <c r="BO82" t="str">
        <f>AS82</f>
        <v>11 Corporate managers and directors</v>
      </c>
      <c r="BP82" s="18">
        <f t="shared" ref="BP82:BS107" si="240">IF(AND(BQ$6-BP$6 &lt;&gt; 0,BP8&lt;&gt;0,BQ8&lt;&gt;0),(EXP(LN(BQ8/BP8)/(BQ$6-BP$6))-1)*100,0)</f>
        <v>2.1781959290881225</v>
      </c>
      <c r="BQ82" s="18">
        <f t="shared" si="240"/>
        <v>-6.3610868536741805</v>
      </c>
      <c r="BR82" s="18">
        <f t="shared" si="240"/>
        <v>-2.4284139316905651</v>
      </c>
      <c r="BS82" s="18">
        <f t="shared" si="240"/>
        <v>-1.7572438083074404</v>
      </c>
      <c r="BT82" s="18">
        <f t="shared" ref="BT82:BT107" si="241">IF(AND(BT$6-BQ$6 &lt;&gt; 0,BQ8&lt;&gt;0,BT8&lt;&gt;0),(EXP(LN(BT8/BQ8)/(BT$6-BQ$6))-1)*100,0)</f>
        <v>-2.2611082015734363</v>
      </c>
      <c r="BV82" s="18">
        <f t="shared" ref="BV82:BV107" si="242">IF($F$6-$D$6 &lt;&gt; 0,(EXP(LN(1+(BV45/100))/($F$6-$D$6))-1)*100,0)</f>
        <v>-1.9814785994734518</v>
      </c>
      <c r="BW82" s="18">
        <f t="shared" ref="BW82:BW107" si="243">IF(BR8&gt;0,((1+(BW8/BR8))^(1/($F$6-$D$6))-1)*100,0)</f>
        <v>2.1727765595536574</v>
      </c>
      <c r="BX82" s="18">
        <f t="shared" ref="BX82:BX107" si="244">IF($F$6-$D$6 &lt;&gt; 0,(EXP(LN(1+(BX45/100))/($F$6-$D$6))-1)*100,0)</f>
        <v>0.76521201453492171</v>
      </c>
      <c r="BZ82" t="str">
        <f>BD82</f>
        <v>11 Corporate managers and directors</v>
      </c>
      <c r="CA82" s="18">
        <f t="shared" ref="CA82:CD107" si="245">IF(AND(CB$6-CA$6 &lt;&gt; 0,CA8&lt;&gt;0,CB8&lt;&gt;0),(EXP(LN(CB8/CA8)/(CB$6-CA$6))-1)*100,0)</f>
        <v>0.1131363815854769</v>
      </c>
      <c r="CB82" s="18">
        <f t="shared" si="245"/>
        <v>-2.8844630417493411</v>
      </c>
      <c r="CC82" s="18">
        <f t="shared" si="245"/>
        <v>-0.43800969955106739</v>
      </c>
      <c r="CD82" s="18">
        <f t="shared" si="245"/>
        <v>-2.4508143799885862</v>
      </c>
      <c r="CE82" s="18">
        <f t="shared" ref="CE82:CE107" si="246">IF(AND(CE$6-CB$6 &lt;&gt; 0,CB8&lt;&gt;0,CE8&lt;&gt;0),(EXP(LN(CE8/CB8)/(CE$6-CB$6))-1)*100,0)</f>
        <v>-1.8535568355451004</v>
      </c>
      <c r="CG82" s="18">
        <f t="shared" ref="CG82:CG107" si="247">IF($F$6-$D$6 &lt;&gt; 0,(EXP(LN(1+(CG45/100))/($F$6-$D$6))-1)*100,0)</f>
        <v>-1.7844419373144627</v>
      </c>
      <c r="CH82" s="18">
        <f t="shared" ref="CH82:CH107" si="248">IF(CC8&gt;0,((1+(CH8/CC8))^(1/($F$6-$D$6))-1)*100,0)</f>
        <v>2.2244912761403501</v>
      </c>
      <c r="CI82" s="18">
        <f t="shared" ref="CI82:CI107" si="249">IF($F$6-$D$6 &lt;&gt; 0,(EXP(LN(1+(CI45/100))/($F$6-$D$6))-1)*100,0)</f>
        <v>0.96125900395522823</v>
      </c>
      <c r="CK82" t="str">
        <f>BO82</f>
        <v>11 Corporate managers and directors</v>
      </c>
      <c r="CL82" s="18">
        <f t="shared" ref="CL82:CO107" si="250">IF(AND(CM$6-CL$6 &lt;&gt; 0,CL8&lt;&gt;0,CM8&lt;&gt;0),(EXP(LN(CM8/CL8)/(CM$6-CL$6))-1)*100,0)</f>
        <v>4.5977114076139136</v>
      </c>
      <c r="CM82" s="18">
        <f t="shared" si="250"/>
        <v>-7.654068117768098</v>
      </c>
      <c r="CN82" s="18">
        <f t="shared" si="250"/>
        <v>0.94329174857763487</v>
      </c>
      <c r="CO82" s="18">
        <f t="shared" si="250"/>
        <v>2.4628166879089752</v>
      </c>
      <c r="CP82" s="18">
        <f t="shared" ref="CP82:CP107" si="251">IF(AND(CP$6-CM$6 &lt;&gt; 0,CM8&lt;&gt;0,CP8&lt;&gt;0),(EXP(LN(CP8/CM8)/(CP$6-CM$6))-1)*100,0)</f>
        <v>1.3250319073018435</v>
      </c>
      <c r="CR82" s="18">
        <f t="shared" ref="CR82:CR107" si="252">IF($F$6-$D$6 &lt;&gt; 0,(EXP(LN(1+(CR45/100))/($F$6-$D$6))-1)*100,0)</f>
        <v>1.9537836980297429</v>
      </c>
      <c r="CS82" s="18">
        <f t="shared" ref="CS82:CS107" si="253">IF(CN8&gt;0,((1+(CS8/CN8))^(1/($F$6-$D$6))-1)*100,0)</f>
        <v>1.9787850524733752</v>
      </c>
      <c r="CT82" s="18">
        <f t="shared" ref="CT82:CT107" si="254">IF($F$6-$D$6 &lt;&gt; 0,(EXP(LN(1+(CT45/100))/($F$6-$D$6))-1)*100,0)</f>
        <v>3.512661067205336</v>
      </c>
    </row>
    <row r="83" spans="1:98" x14ac:dyDescent="0.2">
      <c r="A83" t="str">
        <f t="shared" si="209"/>
        <v>12 Other managers and proprietors</v>
      </c>
      <c r="B83" s="18">
        <f t="shared" si="210"/>
        <v>6.056114067170637</v>
      </c>
      <c r="C83" s="18">
        <f t="shared" si="210"/>
        <v>2.0217099979562114</v>
      </c>
      <c r="D83" s="18">
        <f t="shared" si="210"/>
        <v>7.3653013477131823</v>
      </c>
      <c r="E83" s="18">
        <f t="shared" si="210"/>
        <v>3.3349843997291018</v>
      </c>
      <c r="F83" s="18">
        <f t="shared" si="211"/>
        <v>4.4943676971545665</v>
      </c>
      <c r="H83" s="18">
        <f t="shared" si="212"/>
        <v>4.6613264634175033</v>
      </c>
      <c r="I83" s="18">
        <f t="shared" si="213"/>
        <v>4.6482272171243011</v>
      </c>
      <c r="J83" s="18">
        <f t="shared" si="214"/>
        <v>7.4965547925856191</v>
      </c>
      <c r="L83" t="str">
        <f t="shared" ref="L83:L106" si="255">A83</f>
        <v>12 Other managers and proprietors</v>
      </c>
      <c r="M83" s="18">
        <f t="shared" si="215"/>
        <v>4.7728124477530498</v>
      </c>
      <c r="N83" s="18">
        <f t="shared" si="215"/>
        <v>8.5092351635138499</v>
      </c>
      <c r="O83" s="18">
        <f t="shared" si="215"/>
        <v>7.0909350460054421</v>
      </c>
      <c r="P83" s="18">
        <f t="shared" si="215"/>
        <v>3.4913640995333006</v>
      </c>
      <c r="Q83" s="18">
        <f t="shared" si="216"/>
        <v>4.9130373510335668</v>
      </c>
      <c r="S83" s="18">
        <f t="shared" si="217"/>
        <v>4.6775729154632462</v>
      </c>
      <c r="T83" s="18">
        <f t="shared" si="218"/>
        <v>4.5694085127587547</v>
      </c>
      <c r="U83" s="18">
        <f t="shared" si="219"/>
        <v>7.4537880425949332</v>
      </c>
      <c r="W83" t="str">
        <f t="shared" ref="W83:W106" si="256">A83</f>
        <v>12 Other managers and proprietors</v>
      </c>
      <c r="X83" s="18">
        <f t="shared" si="220"/>
        <v>2.1377157222661314</v>
      </c>
      <c r="Y83" s="18">
        <f t="shared" si="220"/>
        <v>-4.0794914734624488</v>
      </c>
      <c r="Z83" s="18">
        <f t="shared" si="220"/>
        <v>5.3656606283021935</v>
      </c>
      <c r="AA83" s="18">
        <f t="shared" si="220"/>
        <v>2.18829151310036</v>
      </c>
      <c r="AB83" s="18">
        <f t="shared" si="221"/>
        <v>2.7634427528888006</v>
      </c>
      <c r="AD83" s="18">
        <f t="shared" si="222"/>
        <v>3.2366231261752532</v>
      </c>
      <c r="AE83" s="18">
        <f t="shared" si="223"/>
        <v>4.2933866035897328</v>
      </c>
      <c r="AF83" s="18">
        <f t="shared" si="224"/>
        <v>6.2740549274050039</v>
      </c>
      <c r="AH83" t="str">
        <f t="shared" ref="AH83:AH106" si="257">L83</f>
        <v>12 Other managers and proprietors</v>
      </c>
      <c r="AI83" s="18">
        <f t="shared" si="225"/>
        <v>3.1271976866545259</v>
      </c>
      <c r="AJ83" s="18">
        <f t="shared" si="225"/>
        <v>3.1677985121295382</v>
      </c>
      <c r="AK83" s="18">
        <f t="shared" si="225"/>
        <v>4.3434298957554018</v>
      </c>
      <c r="AL83" s="18">
        <f t="shared" si="225"/>
        <v>2.2032825400013945</v>
      </c>
      <c r="AM83" s="18">
        <f t="shared" si="226"/>
        <v>2.9277275429335337</v>
      </c>
      <c r="AO83" s="18">
        <f t="shared" si="227"/>
        <v>2.9117426889471165</v>
      </c>
      <c r="AP83" s="18">
        <f t="shared" si="228"/>
        <v>4.207124436499643</v>
      </c>
      <c r="AQ83" s="18">
        <f t="shared" si="229"/>
        <v>5.9911643294505268</v>
      </c>
      <c r="AS83" t="str">
        <f t="shared" ref="AS83:AS106" si="258">W83</f>
        <v>12 Other managers and proprietors</v>
      </c>
      <c r="AT83" s="18">
        <f t="shared" si="230"/>
        <v>1.6662390036744634</v>
      </c>
      <c r="AU83" s="18">
        <f t="shared" si="230"/>
        <v>-1.4001715403472614</v>
      </c>
      <c r="AV83" s="18">
        <f t="shared" si="230"/>
        <v>4.9640173754188721</v>
      </c>
      <c r="AW83" s="18">
        <f t="shared" si="230"/>
        <v>1.8966077768657552</v>
      </c>
      <c r="AX83" s="18">
        <f t="shared" si="231"/>
        <v>2.6342298390491958</v>
      </c>
      <c r="AZ83" s="18">
        <f t="shared" si="232"/>
        <v>2.9089860023965297</v>
      </c>
      <c r="BA83" s="18">
        <f t="shared" si="233"/>
        <v>4.0270359252980503</v>
      </c>
      <c r="BB83" s="18">
        <f t="shared" si="234"/>
        <v>5.8476983601764454</v>
      </c>
      <c r="BD83" t="str">
        <f t="shared" ref="BD83:BD106" si="259">AH83</f>
        <v>12 Other managers and proprietors</v>
      </c>
      <c r="BE83" s="18">
        <f t="shared" si="235"/>
        <v>-3.311815329166945</v>
      </c>
      <c r="BF83" s="18">
        <f t="shared" si="235"/>
        <v>5.86731267351428</v>
      </c>
      <c r="BG83" s="18">
        <f t="shared" si="235"/>
        <v>2.7288829619398047</v>
      </c>
      <c r="BH83" s="18">
        <f t="shared" si="235"/>
        <v>0.6765677003236048</v>
      </c>
      <c r="BI83" s="18">
        <f t="shared" si="236"/>
        <v>1.6323097054700364</v>
      </c>
      <c r="BK83" s="18">
        <f t="shared" si="237"/>
        <v>1.3560761808609323</v>
      </c>
      <c r="BL83" s="18">
        <f t="shared" si="238"/>
        <v>3.0526891900892306</v>
      </c>
      <c r="BM83" s="18">
        <f t="shared" si="239"/>
        <v>3.9727082317988494</v>
      </c>
      <c r="BO83" t="str">
        <f t="shared" ref="BO83:BO106" si="260">AS83</f>
        <v>12 Other managers and proprietors</v>
      </c>
      <c r="BP83" s="18">
        <f t="shared" si="240"/>
        <v>-0.94198977306128029</v>
      </c>
      <c r="BQ83" s="18">
        <f t="shared" si="240"/>
        <v>-5.1973733716442645</v>
      </c>
      <c r="BR83" s="18">
        <f t="shared" si="240"/>
        <v>4.318679282986726</v>
      </c>
      <c r="BS83" s="18">
        <f t="shared" si="240"/>
        <v>-7.9294766176385423E-2</v>
      </c>
      <c r="BT83" s="18">
        <f t="shared" si="241"/>
        <v>0.9425112188131024</v>
      </c>
      <c r="BV83" s="18">
        <f t="shared" si="242"/>
        <v>1.3656992061651607</v>
      </c>
      <c r="BW83" s="18">
        <f t="shared" si="243"/>
        <v>3.394807052114035</v>
      </c>
      <c r="BX83" s="18">
        <f t="shared" si="244"/>
        <v>4.2821295350159883</v>
      </c>
      <c r="BZ83" t="str">
        <f t="shared" ref="BZ83:BZ106" si="261">BD83</f>
        <v>12 Other managers and proprietors</v>
      </c>
      <c r="CA83" s="18">
        <f t="shared" si="245"/>
        <v>-3.2672204533600646</v>
      </c>
      <c r="CB83" s="18">
        <f t="shared" si="245"/>
        <v>-13.931932726668162</v>
      </c>
      <c r="CC83" s="18">
        <f t="shared" si="245"/>
        <v>3.2743318209378813</v>
      </c>
      <c r="CD83" s="18">
        <f t="shared" si="245"/>
        <v>-2.3202771992621218</v>
      </c>
      <c r="CE83" s="18">
        <f t="shared" si="246"/>
        <v>-1.3883983257945598</v>
      </c>
      <c r="CG83" s="18">
        <f t="shared" si="247"/>
        <v>-0.48991964844171676</v>
      </c>
      <c r="CH83" s="18">
        <f t="shared" si="248"/>
        <v>2.6573094864239977</v>
      </c>
      <c r="CI83" s="18">
        <f t="shared" si="249"/>
        <v>2.3217702950621533</v>
      </c>
      <c r="CK83" t="str">
        <f t="shared" ref="CK83:CK106" si="262">BO83</f>
        <v>12 Other managers and proprietors</v>
      </c>
      <c r="CL83" s="18">
        <f t="shared" si="250"/>
        <v>1.3827806154709243E-2</v>
      </c>
      <c r="CM83" s="18">
        <f t="shared" si="250"/>
        <v>-12.305623105026143</v>
      </c>
      <c r="CN83" s="18">
        <f t="shared" si="250"/>
        <v>7.9283114812376043</v>
      </c>
      <c r="CO83" s="18">
        <f t="shared" si="250"/>
        <v>2.8775657252176012</v>
      </c>
      <c r="CP83" s="18">
        <f t="shared" si="251"/>
        <v>3.3929593227672195</v>
      </c>
      <c r="CR83" s="18">
        <f t="shared" si="252"/>
        <v>4.5343237053474095</v>
      </c>
      <c r="CS83" s="18">
        <f t="shared" si="253"/>
        <v>2.8800423106729145</v>
      </c>
      <c r="CT83" s="18">
        <f t="shared" si="254"/>
        <v>6.2301575650887786</v>
      </c>
    </row>
    <row r="84" spans="1:98" x14ac:dyDescent="0.2">
      <c r="A84" t="str">
        <f t="shared" si="209"/>
        <v>21 Science, research, engineering and technology professionals</v>
      </c>
      <c r="B84" s="18">
        <f t="shared" si="210"/>
        <v>4.8332373775417548</v>
      </c>
      <c r="C84" s="18">
        <f t="shared" si="210"/>
        <v>6.2491834616156483</v>
      </c>
      <c r="D84" s="18">
        <f t="shared" si="210"/>
        <v>2.4323859409144166</v>
      </c>
      <c r="E84" s="18">
        <f t="shared" si="210"/>
        <v>2.139229564812295</v>
      </c>
      <c r="F84" s="18">
        <f t="shared" si="211"/>
        <v>2.4831259544904949</v>
      </c>
      <c r="H84" s="18">
        <f t="shared" si="212"/>
        <v>2.2368550159696854</v>
      </c>
      <c r="I84" s="18">
        <f t="shared" si="213"/>
        <v>2.5521575097615434</v>
      </c>
      <c r="J84" s="18">
        <f t="shared" si="214"/>
        <v>4.1974138680416218</v>
      </c>
      <c r="L84" t="str">
        <f t="shared" si="255"/>
        <v>21 Science, research, engineering and technology professionals</v>
      </c>
      <c r="M84" s="18">
        <f t="shared" si="215"/>
        <v>5.4369223182447746</v>
      </c>
      <c r="N84" s="18">
        <f t="shared" si="215"/>
        <v>13.555130786619095</v>
      </c>
      <c r="O84" s="18">
        <f t="shared" si="215"/>
        <v>3.5073812196544596</v>
      </c>
      <c r="P84" s="18">
        <f t="shared" si="215"/>
        <v>2.7395617185462573</v>
      </c>
      <c r="Q84" s="18">
        <f t="shared" si="216"/>
        <v>3.625115671457757</v>
      </c>
      <c r="S84" s="18">
        <f t="shared" si="217"/>
        <v>2.9948666013815739</v>
      </c>
      <c r="T84" s="18">
        <f t="shared" si="218"/>
        <v>2.8060045439537884</v>
      </c>
      <c r="U84" s="18">
        <f t="shared" si="219"/>
        <v>4.9743749707882534</v>
      </c>
      <c r="W84" t="str">
        <f t="shared" si="256"/>
        <v>21 Science, research, engineering and technology professionals</v>
      </c>
      <c r="X84" s="18">
        <f t="shared" si="220"/>
        <v>1.6823273232320801</v>
      </c>
      <c r="Y84" s="18">
        <f t="shared" si="220"/>
        <v>-1.2623001974331638</v>
      </c>
      <c r="Z84" s="18">
        <f t="shared" si="220"/>
        <v>0.98277384841241044</v>
      </c>
      <c r="AA84" s="18">
        <f t="shared" si="220"/>
        <v>0.49260154591315164</v>
      </c>
      <c r="AB84" s="18">
        <f t="shared" si="221"/>
        <v>0.53476652545560999</v>
      </c>
      <c r="AD84" s="18">
        <f t="shared" si="222"/>
        <v>0.65572737416574878</v>
      </c>
      <c r="AE84" s="18">
        <f t="shared" si="223"/>
        <v>2.3819733564803602</v>
      </c>
      <c r="AF84" s="18">
        <f t="shared" si="224"/>
        <v>2.8599315156599303</v>
      </c>
      <c r="AH84" t="str">
        <f t="shared" si="257"/>
        <v>21 Science, research, engineering and technology professionals</v>
      </c>
      <c r="AI84" s="18">
        <f t="shared" si="225"/>
        <v>2.5789383904864627</v>
      </c>
      <c r="AJ84" s="18">
        <f t="shared" si="225"/>
        <v>3.0154966894402113</v>
      </c>
      <c r="AK84" s="18">
        <f t="shared" si="225"/>
        <v>1.618329630216131</v>
      </c>
      <c r="AL84" s="18">
        <f t="shared" si="225"/>
        <v>1.3728669230315127</v>
      </c>
      <c r="AM84" s="18">
        <f t="shared" si="226"/>
        <v>1.5514799276471924</v>
      </c>
      <c r="AO84" s="18">
        <f t="shared" si="227"/>
        <v>1.4546218741611661</v>
      </c>
      <c r="AP84" s="18">
        <f t="shared" si="228"/>
        <v>2.4316152105663846</v>
      </c>
      <c r="AQ84" s="18">
        <f t="shared" si="229"/>
        <v>3.5016348053474644</v>
      </c>
      <c r="AS84" t="str">
        <f t="shared" si="258"/>
        <v>21 Science, research, engineering and technology professionals</v>
      </c>
      <c r="AT84" s="18">
        <f t="shared" si="230"/>
        <v>0.87514860460649047</v>
      </c>
      <c r="AU84" s="18">
        <f t="shared" si="230"/>
        <v>-1.7570515922585184</v>
      </c>
      <c r="AV84" s="18">
        <f t="shared" si="230"/>
        <v>-0.98250628967972986</v>
      </c>
      <c r="AW84" s="18">
        <f t="shared" si="230"/>
        <v>-6.4510263400197054E-2</v>
      </c>
      <c r="AX84" s="18">
        <f t="shared" si="231"/>
        <v>-0.45862044966157312</v>
      </c>
      <c r="AZ84" s="18">
        <f t="shared" si="232"/>
        <v>-0.37145070617496945</v>
      </c>
      <c r="BA84" s="18">
        <f t="shared" si="233"/>
        <v>2.0548991634482094</v>
      </c>
      <c r="BB84" s="18">
        <f t="shared" si="234"/>
        <v>1.7774288067354593</v>
      </c>
      <c r="BD84" t="str">
        <f t="shared" si="259"/>
        <v>21 Science, research, engineering and technology professionals</v>
      </c>
      <c r="BE84" s="18">
        <f t="shared" si="235"/>
        <v>-2.3437770681907111</v>
      </c>
      <c r="BF84" s="18">
        <f t="shared" si="235"/>
        <v>8.1273274615939251</v>
      </c>
      <c r="BG84" s="18">
        <f t="shared" si="235"/>
        <v>-2.6620287221520988</v>
      </c>
      <c r="BH84" s="18">
        <f t="shared" si="235"/>
        <v>-0.64935288936437408</v>
      </c>
      <c r="BI84" s="18">
        <f t="shared" si="236"/>
        <v>-0.75905977964874083</v>
      </c>
      <c r="BK84" s="18">
        <f t="shared" si="237"/>
        <v>-1.3248268984468403</v>
      </c>
      <c r="BL84" s="18">
        <f t="shared" si="238"/>
        <v>1.5001547623892719</v>
      </c>
      <c r="BM84" s="18">
        <f t="shared" si="239"/>
        <v>0.44549377005205226</v>
      </c>
      <c r="BO84" t="str">
        <f t="shared" si="260"/>
        <v>21 Science, research, engineering and technology professionals</v>
      </c>
      <c r="BP84" s="18">
        <f t="shared" si="240"/>
        <v>0.15708484887622109</v>
      </c>
      <c r="BQ84" s="18">
        <f t="shared" si="240"/>
        <v>-4.6400538968747629</v>
      </c>
      <c r="BR84" s="18">
        <f t="shared" si="240"/>
        <v>-0.32228474557780551</v>
      </c>
      <c r="BS84" s="18">
        <f t="shared" si="240"/>
        <v>-1.1738506641885804</v>
      </c>
      <c r="BT84" s="18">
        <f t="shared" si="241"/>
        <v>-1.1293943903048831</v>
      </c>
      <c r="BV84" s="18">
        <f t="shared" si="242"/>
        <v>-0.890806786144549</v>
      </c>
      <c r="BW84" s="18">
        <f t="shared" si="243"/>
        <v>1.8417224642744978</v>
      </c>
      <c r="BX84" s="18">
        <f t="shared" si="244"/>
        <v>1.1623441560429937</v>
      </c>
      <c r="BZ84" t="str">
        <f t="shared" si="261"/>
        <v>21 Science, research, engineering and technology professionals</v>
      </c>
      <c r="CA84" s="18">
        <f t="shared" si="245"/>
        <v>-1.812010822954313</v>
      </c>
      <c r="CB84" s="18">
        <f t="shared" si="245"/>
        <v>-5.426199712987656</v>
      </c>
      <c r="CC84" s="18">
        <f t="shared" si="245"/>
        <v>1.8329909966809055</v>
      </c>
      <c r="CD84" s="18">
        <f t="shared" si="245"/>
        <v>-3.2786776695177045</v>
      </c>
      <c r="CE84" s="18">
        <f t="shared" si="246"/>
        <v>-1.8473059044297302</v>
      </c>
      <c r="CG84" s="18">
        <f t="shared" si="247"/>
        <v>-1.603953241271161</v>
      </c>
      <c r="CH84" s="18">
        <f t="shared" si="248"/>
        <v>1.6894572000052399</v>
      </c>
      <c r="CI84" s="18">
        <f t="shared" si="249"/>
        <v>0.454126672792321</v>
      </c>
      <c r="CK84" t="str">
        <f t="shared" si="262"/>
        <v>21 Science, research, engineering and technology professionals</v>
      </c>
      <c r="CL84" s="18">
        <f t="shared" si="250"/>
        <v>7.308114222765516</v>
      </c>
      <c r="CM84" s="18">
        <f t="shared" si="250"/>
        <v>-0.96707420678705525</v>
      </c>
      <c r="CN84" s="18">
        <f t="shared" si="250"/>
        <v>8.7803405281334577</v>
      </c>
      <c r="CO84" s="18">
        <f t="shared" si="250"/>
        <v>4.4422945045959894</v>
      </c>
      <c r="CP84" s="18">
        <f t="shared" si="251"/>
        <v>5.428003590765984</v>
      </c>
      <c r="CR84" s="18">
        <f t="shared" si="252"/>
        <v>5.8687391566715208</v>
      </c>
      <c r="CS84" s="18">
        <f t="shared" si="253"/>
        <v>2.7009624333451665</v>
      </c>
      <c r="CT84" s="18">
        <f t="shared" si="254"/>
        <v>7.2163536415913665</v>
      </c>
    </row>
    <row r="85" spans="1:98" x14ac:dyDescent="0.2">
      <c r="A85" t="str">
        <f t="shared" si="209"/>
        <v>22 Health professionals</v>
      </c>
      <c r="B85" s="18">
        <f t="shared" si="210"/>
        <v>8.3240040311414845</v>
      </c>
      <c r="C85" s="18">
        <f t="shared" si="210"/>
        <v>4.0707614248247426</v>
      </c>
      <c r="D85" s="18">
        <f t="shared" si="210"/>
        <v>3.7236948860524199</v>
      </c>
      <c r="E85" s="18">
        <f t="shared" si="210"/>
        <v>2.0088489317922953</v>
      </c>
      <c r="F85" s="18">
        <f t="shared" si="211"/>
        <v>2.6700015473946515</v>
      </c>
      <c r="H85" s="18">
        <f t="shared" si="212"/>
        <v>2.5772907380265719</v>
      </c>
      <c r="I85" s="18">
        <f t="shared" si="213"/>
        <v>3.3719640297514175</v>
      </c>
      <c r="J85" s="18">
        <f t="shared" si="214"/>
        <v>5.1015592609175542</v>
      </c>
      <c r="L85" t="str">
        <f t="shared" si="255"/>
        <v>22 Health professionals</v>
      </c>
      <c r="M85" s="18">
        <f t="shared" si="215"/>
        <v>8.6651223038105805</v>
      </c>
      <c r="N85" s="18">
        <f t="shared" si="215"/>
        <v>4.8588980030887408</v>
      </c>
      <c r="O85" s="18">
        <f t="shared" si="215"/>
        <v>3.4054538126055078</v>
      </c>
      <c r="P85" s="18">
        <f t="shared" si="215"/>
        <v>1.7482910632855342</v>
      </c>
      <c r="Q85" s="18">
        <f t="shared" si="216"/>
        <v>2.4559322680696161</v>
      </c>
      <c r="S85" s="18">
        <f t="shared" si="217"/>
        <v>2.2977065989398193</v>
      </c>
      <c r="T85" s="18">
        <f t="shared" si="218"/>
        <v>3.4772050069324489</v>
      </c>
      <c r="U85" s="18">
        <f t="shared" si="219"/>
        <v>4.9895702499661354</v>
      </c>
      <c r="W85" t="str">
        <f t="shared" si="256"/>
        <v>22 Health professionals</v>
      </c>
      <c r="X85" s="18">
        <f t="shared" si="220"/>
        <v>5.8396809496813251</v>
      </c>
      <c r="Y85" s="18">
        <f t="shared" si="220"/>
        <v>-2.109181686249828</v>
      </c>
      <c r="Z85" s="18">
        <f t="shared" si="220"/>
        <v>2.0198076874777593</v>
      </c>
      <c r="AA85" s="18">
        <f t="shared" si="220"/>
        <v>0.89662572475026625</v>
      </c>
      <c r="AB85" s="18">
        <f t="shared" si="221"/>
        <v>1.055087014313405</v>
      </c>
      <c r="AD85" s="18">
        <f t="shared" si="222"/>
        <v>1.2696389886514892</v>
      </c>
      <c r="AE85" s="18">
        <f t="shared" si="223"/>
        <v>3.3674374152768749</v>
      </c>
      <c r="AF85" s="18">
        <f t="shared" si="224"/>
        <v>4.1932115346026366</v>
      </c>
      <c r="AH85" t="str">
        <f t="shared" si="257"/>
        <v>22 Health professionals</v>
      </c>
      <c r="AI85" s="18">
        <f t="shared" si="225"/>
        <v>-3.6290813128267096</v>
      </c>
      <c r="AJ85" s="18">
        <f t="shared" si="225"/>
        <v>-11.964648646059784</v>
      </c>
      <c r="AK85" s="18">
        <f t="shared" si="225"/>
        <v>-9.4965492819453772</v>
      </c>
      <c r="AL85" s="18">
        <f t="shared" si="225"/>
        <v>-9.1268534522225728</v>
      </c>
      <c r="AM85" s="18">
        <f t="shared" si="226"/>
        <v>-9.4223282088326528</v>
      </c>
      <c r="AO85" s="18">
        <f t="shared" si="227"/>
        <v>-9.2502528874962024</v>
      </c>
      <c r="AP85" s="18">
        <f t="shared" si="228"/>
        <v>1.2365365123548466</v>
      </c>
      <c r="AQ85" s="18">
        <f t="shared" si="229"/>
        <v>-5.3894893289304964</v>
      </c>
      <c r="AS85" t="str">
        <f t="shared" si="258"/>
        <v>22 Health professionals</v>
      </c>
      <c r="AT85" s="18">
        <f t="shared" si="230"/>
        <v>4.8973155367254106</v>
      </c>
      <c r="AU85" s="18">
        <f t="shared" si="230"/>
        <v>11.409300705672099</v>
      </c>
      <c r="AV85" s="18">
        <f t="shared" si="230"/>
        <v>0.70610457642810154</v>
      </c>
      <c r="AW85" s="18">
        <f t="shared" si="230"/>
        <v>0.71193912770846079</v>
      </c>
      <c r="AX85" s="18">
        <f t="shared" si="231"/>
        <v>1.3475200203542537</v>
      </c>
      <c r="AZ85" s="18">
        <f t="shared" si="232"/>
        <v>0.70999423972342157</v>
      </c>
      <c r="BA85" s="18">
        <f t="shared" si="233"/>
        <v>2.9343021252672852</v>
      </c>
      <c r="BB85" s="18">
        <f t="shared" si="234"/>
        <v>3.4160725778279888</v>
      </c>
      <c r="BD85" t="str">
        <f t="shared" si="259"/>
        <v>22 Health professionals</v>
      </c>
      <c r="BE85" s="18">
        <f t="shared" si="235"/>
        <v>4.5624925474844424</v>
      </c>
      <c r="BF85" s="18">
        <f t="shared" si="235"/>
        <v>8.4023370555871946</v>
      </c>
      <c r="BG85" s="18">
        <f t="shared" si="235"/>
        <v>1.1485007393702285</v>
      </c>
      <c r="BH85" s="18">
        <f t="shared" si="235"/>
        <v>0.80641157200020963</v>
      </c>
      <c r="BI85" s="18">
        <f t="shared" si="236"/>
        <v>1.3724261272179517</v>
      </c>
      <c r="BK85" s="18">
        <f t="shared" si="237"/>
        <v>0.92031254948234942</v>
      </c>
      <c r="BL85" s="18">
        <f t="shared" si="238"/>
        <v>3.263694873895373</v>
      </c>
      <c r="BM85" s="18">
        <f t="shared" si="239"/>
        <v>3.8649678666600407</v>
      </c>
      <c r="BO85" t="str">
        <f t="shared" si="260"/>
        <v>22 Health professionals</v>
      </c>
      <c r="BP85" s="18">
        <f t="shared" si="240"/>
        <v>3.0841518757042552</v>
      </c>
      <c r="BQ85" s="18">
        <f t="shared" si="240"/>
        <v>-0.57579677776301574</v>
      </c>
      <c r="BR85" s="18">
        <f t="shared" si="240"/>
        <v>0.28924105861092286</v>
      </c>
      <c r="BS85" s="18">
        <f t="shared" si="240"/>
        <v>-2.2449139155318654</v>
      </c>
      <c r="BT85" s="18">
        <f t="shared" si="241"/>
        <v>-1.3556213090438418</v>
      </c>
      <c r="BV85" s="18">
        <f t="shared" si="242"/>
        <v>-1.4073916035344136</v>
      </c>
      <c r="BW85" s="18">
        <f t="shared" si="243"/>
        <v>2.5002696332275809</v>
      </c>
      <c r="BX85" s="18">
        <f t="shared" si="244"/>
        <v>1.5356117391555291</v>
      </c>
      <c r="BZ85" t="str">
        <f t="shared" si="261"/>
        <v>22 Health professionals</v>
      </c>
      <c r="CA85" s="18">
        <f t="shared" si="245"/>
        <v>4.9084381861471682</v>
      </c>
      <c r="CB85" s="18">
        <f t="shared" si="245"/>
        <v>-18.021270604296181</v>
      </c>
      <c r="CC85" s="18">
        <f t="shared" si="245"/>
        <v>1.351162683441709</v>
      </c>
      <c r="CD85" s="18">
        <f t="shared" si="245"/>
        <v>-4.4471614213519199</v>
      </c>
      <c r="CE85" s="18">
        <f t="shared" si="246"/>
        <v>-3.599330653967836</v>
      </c>
      <c r="CG85" s="18">
        <f t="shared" si="247"/>
        <v>-2.5522145913748906</v>
      </c>
      <c r="CH85" s="18">
        <f t="shared" si="248"/>
        <v>2.2763629591357359</v>
      </c>
      <c r="CI85" s="18">
        <f t="shared" si="249"/>
        <v>0.51540197602637505</v>
      </c>
      <c r="CK85" t="str">
        <f t="shared" si="262"/>
        <v>22 Health professionals</v>
      </c>
      <c r="CL85" s="18">
        <f t="shared" si="250"/>
        <v>12.808453290909561</v>
      </c>
      <c r="CM85" s="18">
        <f t="shared" si="250"/>
        <v>1.7930727830320459</v>
      </c>
      <c r="CN85" s="18">
        <f t="shared" si="250"/>
        <v>12.610361023868212</v>
      </c>
      <c r="CO85" s="18">
        <f t="shared" si="250"/>
        <v>7.3904194837896453</v>
      </c>
      <c r="CP85" s="18">
        <f t="shared" si="251"/>
        <v>8.6310770313663845</v>
      </c>
      <c r="CR85" s="18">
        <f t="shared" si="252"/>
        <v>9.102945638724913</v>
      </c>
      <c r="CS85" s="18">
        <f t="shared" si="253"/>
        <v>4.2370791435088817</v>
      </c>
      <c r="CT85" s="18">
        <f t="shared" si="254"/>
        <v>10.641470457189328</v>
      </c>
    </row>
    <row r="86" spans="1:98" x14ac:dyDescent="0.2">
      <c r="A86" t="str">
        <f t="shared" si="209"/>
        <v>23 Teaching and other educational professionals</v>
      </c>
      <c r="B86" s="18">
        <f t="shared" si="210"/>
        <v>2.8873622260731313</v>
      </c>
      <c r="C86" s="18">
        <f t="shared" si="210"/>
        <v>4.8060194910437781</v>
      </c>
      <c r="D86" s="18">
        <f t="shared" si="210"/>
        <v>2.1719016645034284</v>
      </c>
      <c r="E86" s="18">
        <f t="shared" si="210"/>
        <v>1.6489831171588643</v>
      </c>
      <c r="F86" s="18">
        <f t="shared" si="211"/>
        <v>2.0069176454099447</v>
      </c>
      <c r="H86" s="18">
        <f t="shared" si="212"/>
        <v>1.8229912532505166</v>
      </c>
      <c r="I86" s="18">
        <f t="shared" si="213"/>
        <v>3.1599894591386013</v>
      </c>
      <c r="J86" s="18">
        <f t="shared" si="214"/>
        <v>4.3935497647687782</v>
      </c>
      <c r="L86" t="str">
        <f t="shared" si="255"/>
        <v>23 Teaching and other educational professionals</v>
      </c>
      <c r="M86" s="18">
        <f t="shared" si="215"/>
        <v>3.4217330913701494</v>
      </c>
      <c r="N86" s="18">
        <f t="shared" si="215"/>
        <v>2.1703222558681956</v>
      </c>
      <c r="O86" s="18">
        <f t="shared" si="215"/>
        <v>2.0785931169881922</v>
      </c>
      <c r="P86" s="18">
        <f t="shared" si="215"/>
        <v>1.4503538256911419</v>
      </c>
      <c r="Q86" s="18">
        <f t="shared" si="216"/>
        <v>1.6911977632137143</v>
      </c>
      <c r="S86" s="18">
        <f t="shared" si="217"/>
        <v>1.6593361348007152</v>
      </c>
      <c r="T86" s="18">
        <f t="shared" si="218"/>
        <v>3.256082596466503</v>
      </c>
      <c r="U86" s="18">
        <f t="shared" si="219"/>
        <v>4.3612280238232826</v>
      </c>
      <c r="W86" t="str">
        <f t="shared" si="256"/>
        <v>23 Teaching and other educational professionals</v>
      </c>
      <c r="X86" s="18">
        <f t="shared" si="220"/>
        <v>-2.1460844290214554</v>
      </c>
      <c r="Y86" s="18">
        <f t="shared" si="220"/>
        <v>-2.8643714031570178</v>
      </c>
      <c r="Z86" s="18">
        <f t="shared" si="220"/>
        <v>-2.1384132446778392</v>
      </c>
      <c r="AA86" s="18">
        <f t="shared" si="220"/>
        <v>-1.2300891094379041</v>
      </c>
      <c r="AB86" s="18">
        <f t="shared" si="221"/>
        <v>-1.6174890544405351</v>
      </c>
      <c r="AD86" s="18">
        <f t="shared" si="222"/>
        <v>-1.5337967346555792</v>
      </c>
      <c r="AE86" s="18">
        <f t="shared" si="223"/>
        <v>2.5270291307324166</v>
      </c>
      <c r="AF86" s="18">
        <f t="shared" si="224"/>
        <v>1.4830328870919951</v>
      </c>
      <c r="AH86" t="str">
        <f t="shared" si="257"/>
        <v>23 Teaching and other educational professionals</v>
      </c>
      <c r="AI86" s="18">
        <f t="shared" si="225"/>
        <v>-11.638550132081082</v>
      </c>
      <c r="AJ86" s="18">
        <f t="shared" si="225"/>
        <v>-12.533263384369054</v>
      </c>
      <c r="AK86" s="18">
        <f t="shared" si="225"/>
        <v>-6.7385989982916676</v>
      </c>
      <c r="AL86" s="18">
        <f t="shared" si="225"/>
        <v>0.16560034097679033</v>
      </c>
      <c r="AM86" s="18">
        <f t="shared" si="226"/>
        <v>-2.871616376216779</v>
      </c>
      <c r="AO86" s="18">
        <f t="shared" si="227"/>
        <v>-2.1907991250286862</v>
      </c>
      <c r="AP86" s="18">
        <f t="shared" si="228"/>
        <v>1.3666139558413448</v>
      </c>
      <c r="AQ86" s="18">
        <f t="shared" si="229"/>
        <v>-0.38976255074002486</v>
      </c>
      <c r="AS86" t="str">
        <f t="shared" si="258"/>
        <v>23 Teaching and other educational professionals</v>
      </c>
      <c r="AT86" s="18">
        <f t="shared" si="230"/>
        <v>-0.16841826528213311</v>
      </c>
      <c r="AU86" s="18">
        <f t="shared" si="230"/>
        <v>-1.6324520415134103E-2</v>
      </c>
      <c r="AV86" s="18">
        <f t="shared" si="230"/>
        <v>-3.1368573456542426</v>
      </c>
      <c r="AW86" s="18">
        <f t="shared" si="230"/>
        <v>-0.82236372096985422</v>
      </c>
      <c r="AX86" s="18">
        <f t="shared" si="231"/>
        <v>-1.5017049778689118</v>
      </c>
      <c r="AZ86" s="18">
        <f t="shared" si="232"/>
        <v>-1.5999420791136698</v>
      </c>
      <c r="BA86" s="18">
        <f t="shared" si="233"/>
        <v>2.3268763547921623</v>
      </c>
      <c r="BB86" s="18">
        <f t="shared" si="234"/>
        <v>1.2068244144552098</v>
      </c>
      <c r="BD86" t="str">
        <f t="shared" si="259"/>
        <v>23 Teaching and other educational professionals</v>
      </c>
      <c r="BE86" s="18">
        <f t="shared" si="235"/>
        <v>-1.9874432744052872</v>
      </c>
      <c r="BF86" s="18">
        <f t="shared" si="235"/>
        <v>13.049618966596244</v>
      </c>
      <c r="BG86" s="18">
        <f t="shared" si="235"/>
        <v>0.95922171904001541</v>
      </c>
      <c r="BH86" s="18">
        <f t="shared" si="235"/>
        <v>1.8120764209995865</v>
      </c>
      <c r="BI86" s="18">
        <f t="shared" si="236"/>
        <v>2.2114386942765352</v>
      </c>
      <c r="BK86" s="18">
        <f t="shared" si="237"/>
        <v>1.5269940105868018</v>
      </c>
      <c r="BL86" s="18">
        <f t="shared" si="238"/>
        <v>2.5753076512847972</v>
      </c>
      <c r="BM86" s="18">
        <f t="shared" si="239"/>
        <v>3.6799231136630972</v>
      </c>
      <c r="BO86" t="str">
        <f t="shared" si="260"/>
        <v>23 Teaching and other educational professionals</v>
      </c>
      <c r="BP86" s="18">
        <f t="shared" si="240"/>
        <v>-1.6630678759971151</v>
      </c>
      <c r="BQ86" s="18">
        <f t="shared" si="240"/>
        <v>0.43701310757706668</v>
      </c>
      <c r="BR86" s="18">
        <f t="shared" si="240"/>
        <v>-0.33767144831694518</v>
      </c>
      <c r="BS86" s="18">
        <f t="shared" si="240"/>
        <v>-0.74121115906674584</v>
      </c>
      <c r="BT86" s="18">
        <f t="shared" si="241"/>
        <v>-0.54195553297657906</v>
      </c>
      <c r="BV86" s="18">
        <f t="shared" si="242"/>
        <v>-0.60687980079641157</v>
      </c>
      <c r="BW86" s="18">
        <f t="shared" si="243"/>
        <v>2.4331172062477036</v>
      </c>
      <c r="BX86" s="18">
        <f t="shared" si="244"/>
        <v>2.0053243394668741</v>
      </c>
      <c r="BZ86" t="str">
        <f t="shared" si="261"/>
        <v>23 Teaching and other educational professionals</v>
      </c>
      <c r="CA86" s="18">
        <f t="shared" si="245"/>
        <v>-1.8341145302650075</v>
      </c>
      <c r="CB86" s="18">
        <f t="shared" si="245"/>
        <v>-5.4347187150377785</v>
      </c>
      <c r="CC86" s="18">
        <f t="shared" si="245"/>
        <v>2.6973717831333621</v>
      </c>
      <c r="CD86" s="18">
        <f t="shared" si="245"/>
        <v>-0.70817713373592106</v>
      </c>
      <c r="CE86" s="18">
        <f t="shared" si="246"/>
        <v>3.8333928897005265E-2</v>
      </c>
      <c r="CG86" s="18">
        <f t="shared" si="247"/>
        <v>0.41426930654304694</v>
      </c>
      <c r="CH86" s="18">
        <f t="shared" si="248"/>
        <v>2.6075457107183286</v>
      </c>
      <c r="CI86" s="18">
        <f t="shared" si="249"/>
        <v>2.8991209690266917</v>
      </c>
      <c r="CK86" t="str">
        <f t="shared" si="262"/>
        <v>23 Teaching and other educational professionals</v>
      </c>
      <c r="CL86" s="18">
        <f t="shared" si="250"/>
        <v>6.9013047763950786</v>
      </c>
      <c r="CM86" s="18">
        <f t="shared" si="250"/>
        <v>10.2789467402018</v>
      </c>
      <c r="CN86" s="18">
        <f t="shared" si="250"/>
        <v>7.3331799827261346</v>
      </c>
      <c r="CO86" s="18">
        <f t="shared" si="250"/>
        <v>1.9131517409888943</v>
      </c>
      <c r="CP86" s="18">
        <f t="shared" si="251"/>
        <v>4.0888133438750529</v>
      </c>
      <c r="CR86" s="18">
        <f t="shared" si="252"/>
        <v>3.6887137880193155</v>
      </c>
      <c r="CS86" s="18">
        <f t="shared" si="253"/>
        <v>2.7693907079606062</v>
      </c>
      <c r="CT86" s="18">
        <f t="shared" si="254"/>
        <v>5.4865646997654727</v>
      </c>
    </row>
    <row r="87" spans="1:98" x14ac:dyDescent="0.2">
      <c r="A87" t="str">
        <f t="shared" si="209"/>
        <v>24 Business, media and public service professionals</v>
      </c>
      <c r="B87" s="18">
        <f t="shared" si="210"/>
        <v>5.3841275503786923</v>
      </c>
      <c r="C87" s="18">
        <f t="shared" si="210"/>
        <v>14.741295945414624</v>
      </c>
      <c r="D87" s="18">
        <f t="shared" si="210"/>
        <v>4.6388414080138052</v>
      </c>
      <c r="E87" s="18">
        <f t="shared" si="210"/>
        <v>3.0272644033706886</v>
      </c>
      <c r="F87" s="18">
        <f t="shared" si="211"/>
        <v>4.2273337041438541</v>
      </c>
      <c r="H87" s="18">
        <f t="shared" si="212"/>
        <v>3.5616798645661696</v>
      </c>
      <c r="I87" s="18">
        <f t="shared" si="213"/>
        <v>3.5077790529458364</v>
      </c>
      <c r="J87" s="18">
        <f t="shared" si="214"/>
        <v>5.9142046375862956</v>
      </c>
      <c r="L87" t="str">
        <f t="shared" si="255"/>
        <v>24 Business, media and public service professionals</v>
      </c>
      <c r="M87" s="18">
        <f t="shared" si="215"/>
        <v>6.0174279867925895</v>
      </c>
      <c r="N87" s="18">
        <f t="shared" si="215"/>
        <v>8.2667281544834168</v>
      </c>
      <c r="O87" s="18">
        <f t="shared" si="215"/>
        <v>3.5999545847522407</v>
      </c>
      <c r="P87" s="18">
        <f t="shared" si="215"/>
        <v>2.2838547667151099</v>
      </c>
      <c r="Q87" s="18">
        <f t="shared" si="216"/>
        <v>3.0588356815171025</v>
      </c>
      <c r="S87" s="18">
        <f t="shared" si="217"/>
        <v>2.7206864389428986</v>
      </c>
      <c r="T87" s="18">
        <f t="shared" si="218"/>
        <v>3.32895571526024</v>
      </c>
      <c r="U87" s="18">
        <f t="shared" si="219"/>
        <v>5.1702839046985138</v>
      </c>
      <c r="W87" t="str">
        <f t="shared" si="256"/>
        <v>24 Business, media and public service professionals</v>
      </c>
      <c r="X87" s="18">
        <f t="shared" si="220"/>
        <v>2.384773648679972</v>
      </c>
      <c r="Y87" s="18">
        <f t="shared" si="220"/>
        <v>2.6930527229810375</v>
      </c>
      <c r="Z87" s="18">
        <f t="shared" si="220"/>
        <v>1.9971983666966953</v>
      </c>
      <c r="AA87" s="18">
        <f t="shared" si="220"/>
        <v>0.85664314570141897</v>
      </c>
      <c r="AB87" s="18">
        <f t="shared" si="221"/>
        <v>1.3258978413996703</v>
      </c>
      <c r="AD87" s="18">
        <f t="shared" si="222"/>
        <v>1.2354040257331889</v>
      </c>
      <c r="AE87" s="18">
        <f t="shared" si="223"/>
        <v>3.0810892788428079</v>
      </c>
      <c r="AF87" s="18">
        <f t="shared" si="224"/>
        <v>3.9138449141660647</v>
      </c>
      <c r="AH87" t="str">
        <f t="shared" si="257"/>
        <v>24 Business, media and public service professionals</v>
      </c>
      <c r="AI87" s="18">
        <f t="shared" si="225"/>
        <v>0.19018483508834727</v>
      </c>
      <c r="AJ87" s="18">
        <f t="shared" si="225"/>
        <v>6.5298804689944978</v>
      </c>
      <c r="AK87" s="18">
        <f t="shared" si="225"/>
        <v>-0.32356284276983116</v>
      </c>
      <c r="AL87" s="18">
        <f t="shared" si="225"/>
        <v>0.72065084580461569</v>
      </c>
      <c r="AM87" s="18">
        <f t="shared" si="226"/>
        <v>0.74562612691906338</v>
      </c>
      <c r="AO87" s="18">
        <f t="shared" si="227"/>
        <v>0.37136977256269077</v>
      </c>
      <c r="AP87" s="18">
        <f t="shared" si="228"/>
        <v>2.2028775342856521</v>
      </c>
      <c r="AQ87" s="18">
        <f t="shared" si="229"/>
        <v>2.4785722612776118</v>
      </c>
      <c r="AS87" t="str">
        <f t="shared" si="258"/>
        <v>24 Business, media and public service professionals</v>
      </c>
      <c r="AT87" s="18">
        <f t="shared" si="230"/>
        <v>1.713069693511704</v>
      </c>
      <c r="AU87" s="18">
        <f t="shared" si="230"/>
        <v>4.2525762157220148</v>
      </c>
      <c r="AV87" s="18">
        <f t="shared" si="230"/>
        <v>1.8957039921025043</v>
      </c>
      <c r="AW87" s="18">
        <f t="shared" si="230"/>
        <v>1.2431087749584568</v>
      </c>
      <c r="AX87" s="18">
        <f t="shared" si="231"/>
        <v>1.6324875592270915</v>
      </c>
      <c r="AZ87" s="18">
        <f t="shared" si="232"/>
        <v>1.4601747901752615</v>
      </c>
      <c r="BA87" s="18">
        <f t="shared" si="233"/>
        <v>2.9896559313310034</v>
      </c>
      <c r="BB87" s="18">
        <f t="shared" si="234"/>
        <v>3.9906490807161354</v>
      </c>
      <c r="BD87" t="str">
        <f t="shared" si="259"/>
        <v>24 Business, media and public service professionals</v>
      </c>
      <c r="BE87" s="18">
        <f t="shared" si="235"/>
        <v>8.8493148129842325E-2</v>
      </c>
      <c r="BF87" s="18">
        <f t="shared" si="235"/>
        <v>13.932446741862803</v>
      </c>
      <c r="BG87" s="18">
        <f t="shared" si="235"/>
        <v>1.7098881675881028</v>
      </c>
      <c r="BH87" s="18">
        <f t="shared" si="235"/>
        <v>0.68615522213926194</v>
      </c>
      <c r="BI87" s="18">
        <f t="shared" si="236"/>
        <v>1.7882282674287708</v>
      </c>
      <c r="BK87" s="18">
        <f t="shared" si="237"/>
        <v>1.026249485067865</v>
      </c>
      <c r="BL87" s="18">
        <f t="shared" si="238"/>
        <v>2.5377600690628555</v>
      </c>
      <c r="BM87" s="18">
        <f t="shared" si="239"/>
        <v>3.2762042677346725</v>
      </c>
      <c r="BO87" t="str">
        <f t="shared" si="260"/>
        <v>24 Business, media and public service professionals</v>
      </c>
      <c r="BP87" s="18">
        <f t="shared" si="240"/>
        <v>1.1060474414726018</v>
      </c>
      <c r="BQ87" s="18">
        <f t="shared" si="240"/>
        <v>-2.1464695104101983</v>
      </c>
      <c r="BR87" s="18">
        <f t="shared" si="240"/>
        <v>0.894864210034374</v>
      </c>
      <c r="BS87" s="18">
        <f t="shared" si="240"/>
        <v>-1.5075137353867119</v>
      </c>
      <c r="BT87" s="18">
        <f t="shared" si="241"/>
        <v>-0.80333980075928402</v>
      </c>
      <c r="BV87" s="18">
        <f t="shared" si="242"/>
        <v>-0.71314510960613919</v>
      </c>
      <c r="BW87" s="18">
        <f t="shared" si="243"/>
        <v>2.2380275706546771</v>
      </c>
      <c r="BX87" s="18">
        <f t="shared" si="244"/>
        <v>1.722418925501068</v>
      </c>
      <c r="BZ87" t="str">
        <f t="shared" si="261"/>
        <v>24 Business, media and public service professionals</v>
      </c>
      <c r="CA87" s="18">
        <f t="shared" si="245"/>
        <v>-4.4935937670409487E-2</v>
      </c>
      <c r="CB87" s="18">
        <f t="shared" si="245"/>
        <v>-3.3013985510980559</v>
      </c>
      <c r="CC87" s="18">
        <f t="shared" si="245"/>
        <v>1.1364586371147123</v>
      </c>
      <c r="CD87" s="18">
        <f t="shared" si="245"/>
        <v>-3.9596729161469835</v>
      </c>
      <c r="CE87" s="18">
        <f t="shared" si="246"/>
        <v>-2.3536642731319612</v>
      </c>
      <c r="CG87" s="18">
        <f t="shared" si="247"/>
        <v>-2.2901527268167188</v>
      </c>
      <c r="CH87" s="18">
        <f t="shared" si="248"/>
        <v>2.019201032526996</v>
      </c>
      <c r="CI87" s="18">
        <f t="shared" si="249"/>
        <v>0.36463248959679451</v>
      </c>
      <c r="CK87" t="str">
        <f t="shared" si="262"/>
        <v>24 Business, media and public service professionals</v>
      </c>
      <c r="CL87" s="18">
        <f t="shared" si="250"/>
        <v>5.8090434494585397</v>
      </c>
      <c r="CM87" s="18">
        <f t="shared" si="250"/>
        <v>1.4261161444709902</v>
      </c>
      <c r="CN87" s="18">
        <f t="shared" si="250"/>
        <v>6.4732823636090231</v>
      </c>
      <c r="CO87" s="18">
        <f t="shared" si="250"/>
        <v>3.9976730191342957</v>
      </c>
      <c r="CP87" s="18">
        <f t="shared" si="251"/>
        <v>4.6012385208439754</v>
      </c>
      <c r="CR87" s="18">
        <f t="shared" si="252"/>
        <v>4.816413536014319</v>
      </c>
      <c r="CS87" s="18">
        <f t="shared" si="253"/>
        <v>2.6848319222859685</v>
      </c>
      <c r="CT87" s="18">
        <f t="shared" si="254"/>
        <v>6.3359066332381309</v>
      </c>
    </row>
    <row r="88" spans="1:98" x14ac:dyDescent="0.2">
      <c r="A88" t="str">
        <f t="shared" si="209"/>
        <v>31 Science, engineering and technology associate professionals</v>
      </c>
      <c r="B88" s="18">
        <f t="shared" si="210"/>
        <v>7.9370840347930072</v>
      </c>
      <c r="C88" s="18">
        <f t="shared" si="210"/>
        <v>13.014714138434581</v>
      </c>
      <c r="D88" s="18">
        <f t="shared" si="210"/>
        <v>1.3063906219020094</v>
      </c>
      <c r="E88" s="18">
        <f t="shared" si="210"/>
        <v>3.5927249608993073</v>
      </c>
      <c r="F88" s="18">
        <f t="shared" si="211"/>
        <v>3.4339799607202792</v>
      </c>
      <c r="H88" s="18">
        <f t="shared" si="212"/>
        <v>2.8249370356145276</v>
      </c>
      <c r="I88" s="18">
        <f t="shared" si="213"/>
        <v>3.072891936795763</v>
      </c>
      <c r="J88" s="18">
        <f t="shared" si="214"/>
        <v>5.048251900546008</v>
      </c>
      <c r="L88" t="str">
        <f t="shared" si="255"/>
        <v>31 Science, engineering and technology associate professionals</v>
      </c>
      <c r="M88" s="18">
        <f t="shared" si="215"/>
        <v>6.6585860319166024</v>
      </c>
      <c r="N88" s="18">
        <f t="shared" si="215"/>
        <v>18.309790519293735</v>
      </c>
      <c r="O88" s="18">
        <f t="shared" si="215"/>
        <v>-0.98496099784649571</v>
      </c>
      <c r="P88" s="18">
        <f t="shared" si="215"/>
        <v>2.4226042753175303</v>
      </c>
      <c r="Q88" s="18">
        <f t="shared" si="216"/>
        <v>2.2628260132377953</v>
      </c>
      <c r="S88" s="18">
        <f t="shared" si="217"/>
        <v>1.273914563523193</v>
      </c>
      <c r="T88" s="18">
        <f t="shared" si="218"/>
        <v>2.5560052674250544</v>
      </c>
      <c r="U88" s="18">
        <f t="shared" si="219"/>
        <v>3.4751224312417284</v>
      </c>
      <c r="W88" t="str">
        <f t="shared" si="256"/>
        <v>31 Science, engineering and technology associate professionals</v>
      </c>
      <c r="X88" s="18">
        <f t="shared" si="220"/>
        <v>4.2802548355952208</v>
      </c>
      <c r="Y88" s="18">
        <f t="shared" si="220"/>
        <v>3.0241068611320809</v>
      </c>
      <c r="Z88" s="18">
        <f t="shared" si="220"/>
        <v>-1.605067833361784</v>
      </c>
      <c r="AA88" s="18">
        <f t="shared" si="220"/>
        <v>1.1447640834810535</v>
      </c>
      <c r="AB88" s="18">
        <f t="shared" si="221"/>
        <v>0.39273492764635431</v>
      </c>
      <c r="AD88" s="18">
        <f t="shared" si="222"/>
        <v>0.21971900196802174</v>
      </c>
      <c r="AE88" s="18">
        <f t="shared" si="223"/>
        <v>2.4506956523420609</v>
      </c>
      <c r="AF88" s="18">
        <f t="shared" si="224"/>
        <v>2.6079771396375406</v>
      </c>
      <c r="AH88" t="str">
        <f t="shared" si="257"/>
        <v>31 Science, engineering and technology associate professionals</v>
      </c>
      <c r="AI88" s="18">
        <f t="shared" si="225"/>
        <v>4.5013665760769817</v>
      </c>
      <c r="AJ88" s="18">
        <f t="shared" si="225"/>
        <v>10.910487618791386</v>
      </c>
      <c r="AK88" s="18">
        <f t="shared" si="225"/>
        <v>0.43882919200062265</v>
      </c>
      <c r="AL88" s="18">
        <f t="shared" si="225"/>
        <v>2.7738992698693066</v>
      </c>
      <c r="AM88" s="18">
        <f t="shared" si="226"/>
        <v>2.5254827089887799</v>
      </c>
      <c r="AO88" s="18">
        <f t="shared" si="227"/>
        <v>1.9895721496158592</v>
      </c>
      <c r="AP88" s="18">
        <f t="shared" si="228"/>
        <v>2.9384990568299463</v>
      </c>
      <c r="AQ88" s="18">
        <f t="shared" si="229"/>
        <v>4.3273692770592787</v>
      </c>
      <c r="AS88" t="str">
        <f t="shared" si="258"/>
        <v>31 Science, engineering and technology associate professionals</v>
      </c>
      <c r="AT88" s="18">
        <f t="shared" si="230"/>
        <v>1.6286226576532226</v>
      </c>
      <c r="AU88" s="18">
        <f t="shared" si="230"/>
        <v>2.5793195597584972</v>
      </c>
      <c r="AV88" s="18">
        <f t="shared" si="230"/>
        <v>-3.8019387625913836</v>
      </c>
      <c r="AW88" s="18">
        <f t="shared" si="230"/>
        <v>-0.18382797123405181</v>
      </c>
      <c r="AX88" s="18">
        <f t="shared" si="231"/>
        <v>-1.160331011730753</v>
      </c>
      <c r="AZ88" s="18">
        <f t="shared" si="232"/>
        <v>-1.4047376714689364</v>
      </c>
      <c r="BA88" s="18">
        <f t="shared" si="233"/>
        <v>1.8920160634860794</v>
      </c>
      <c r="BB88" s="18">
        <f t="shared" si="234"/>
        <v>0.83862055634456034</v>
      </c>
      <c r="BD88" t="str">
        <f t="shared" si="259"/>
        <v>31 Science, engineering and technology associate professionals</v>
      </c>
      <c r="BE88" s="18">
        <f t="shared" si="235"/>
        <v>-3.3430493107964976</v>
      </c>
      <c r="BF88" s="18">
        <f t="shared" si="235"/>
        <v>17.671822512838432</v>
      </c>
      <c r="BG88" s="18">
        <f t="shared" si="235"/>
        <v>-6.3128440976552458</v>
      </c>
      <c r="BH88" s="18">
        <f t="shared" si="235"/>
        <v>-2.8030996557157795</v>
      </c>
      <c r="BI88" s="18">
        <f t="shared" si="236"/>
        <v>-2.7589125854438623</v>
      </c>
      <c r="BK88" s="18">
        <f t="shared" si="237"/>
        <v>-3.9873856794558682</v>
      </c>
      <c r="BL88" s="18">
        <f t="shared" si="238"/>
        <v>1.4720354702184801</v>
      </c>
      <c r="BM88" s="18">
        <f t="shared" si="239"/>
        <v>-1.5739096928805818</v>
      </c>
      <c r="BO88" t="str">
        <f t="shared" si="260"/>
        <v>31 Science, engineering and technology associate professionals</v>
      </c>
      <c r="BP88" s="18">
        <f t="shared" si="240"/>
        <v>1.7286227605815441</v>
      </c>
      <c r="BQ88" s="18">
        <f t="shared" si="240"/>
        <v>1.6687691159188223</v>
      </c>
      <c r="BR88" s="18">
        <f t="shared" si="240"/>
        <v>-3.3247856667477316</v>
      </c>
      <c r="BS88" s="18">
        <f t="shared" si="240"/>
        <v>-0.82426941550853838</v>
      </c>
      <c r="BT88" s="18">
        <f t="shared" si="241"/>
        <v>-1.4597668520482832</v>
      </c>
      <c r="BV88" s="18">
        <f t="shared" si="242"/>
        <v>-1.6648796875770588</v>
      </c>
      <c r="BW88" s="18">
        <f t="shared" si="243"/>
        <v>1.863505389055109</v>
      </c>
      <c r="BX88" s="18">
        <f t="shared" si="244"/>
        <v>0.61591231668429725</v>
      </c>
      <c r="BZ88" t="str">
        <f t="shared" si="261"/>
        <v>31 Science, engineering and technology associate professionals</v>
      </c>
      <c r="CA88" s="18">
        <f t="shared" si="245"/>
        <v>-0.32336394513052813</v>
      </c>
      <c r="CB88" s="18">
        <f t="shared" si="245"/>
        <v>2.6761008127777375</v>
      </c>
      <c r="CC88" s="18">
        <f t="shared" si="245"/>
        <v>-2.2892524128845682</v>
      </c>
      <c r="CD88" s="18">
        <f t="shared" si="245"/>
        <v>-2.3211575266008033</v>
      </c>
      <c r="CE88" s="18">
        <f t="shared" si="246"/>
        <v>-2.0060800202070683</v>
      </c>
      <c r="CG88" s="18">
        <f t="shared" si="247"/>
        <v>-2.3105236464027179</v>
      </c>
      <c r="CH88" s="18">
        <f t="shared" si="248"/>
        <v>1.6831837945904038</v>
      </c>
      <c r="CI88" s="18">
        <f t="shared" si="249"/>
        <v>-7.5448919990084296E-2</v>
      </c>
      <c r="CK88" t="str">
        <f t="shared" si="262"/>
        <v>31 Science, engineering and technology associate professionals</v>
      </c>
      <c r="CL88" s="18">
        <f t="shared" si="250"/>
        <v>7.5400341924177994</v>
      </c>
      <c r="CM88" s="18">
        <f t="shared" si="250"/>
        <v>16.622089424402997</v>
      </c>
      <c r="CN88" s="18">
        <f t="shared" si="250"/>
        <v>5.4870847989666238</v>
      </c>
      <c r="CO88" s="18">
        <f t="shared" si="250"/>
        <v>5.5817765496518623</v>
      </c>
      <c r="CP88" s="18">
        <f t="shared" si="251"/>
        <v>6.2103115367501793</v>
      </c>
      <c r="CR88" s="18">
        <f t="shared" si="252"/>
        <v>5.5502031919462569</v>
      </c>
      <c r="CS88" s="18">
        <f t="shared" si="253"/>
        <v>2.9366523418711932</v>
      </c>
      <c r="CT88" s="18">
        <f t="shared" si="254"/>
        <v>7.0850763027933805</v>
      </c>
    </row>
    <row r="89" spans="1:98" x14ac:dyDescent="0.2">
      <c r="A89" t="str">
        <f t="shared" si="209"/>
        <v>32 Health and social care associate professionals</v>
      </c>
      <c r="B89" s="18">
        <f t="shared" si="210"/>
        <v>6.3147779199486109</v>
      </c>
      <c r="C89" s="18">
        <f t="shared" si="210"/>
        <v>-1.9626090410847175</v>
      </c>
      <c r="D89" s="18">
        <f t="shared" si="210"/>
        <v>4.8354321683676371</v>
      </c>
      <c r="E89" s="18">
        <f t="shared" si="210"/>
        <v>2.9544454047860436</v>
      </c>
      <c r="F89" s="18">
        <f t="shared" si="211"/>
        <v>3.2223998301653012</v>
      </c>
      <c r="H89" s="18">
        <f t="shared" si="212"/>
        <v>3.5776608624891626</v>
      </c>
      <c r="I89" s="18">
        <f t="shared" si="213"/>
        <v>4.1529924118288486</v>
      </c>
      <c r="J89" s="18">
        <f t="shared" si="214"/>
        <v>6.3987269300017857</v>
      </c>
      <c r="L89" t="str">
        <f t="shared" si="255"/>
        <v>32 Health and social care associate professionals</v>
      </c>
      <c r="M89" s="18">
        <f t="shared" si="215"/>
        <v>8.2667017666451912</v>
      </c>
      <c r="N89" s="18">
        <f t="shared" si="215"/>
        <v>5.0005491303114935</v>
      </c>
      <c r="O89" s="18">
        <f t="shared" si="215"/>
        <v>3.2779968505034507</v>
      </c>
      <c r="P89" s="18">
        <f t="shared" si="215"/>
        <v>2.4550214933795944</v>
      </c>
      <c r="Q89" s="18">
        <f t="shared" si="216"/>
        <v>2.8691598673786123</v>
      </c>
      <c r="S89" s="18">
        <f t="shared" si="217"/>
        <v>2.7286153624217935</v>
      </c>
      <c r="T89" s="18">
        <f t="shared" si="218"/>
        <v>3.7781124578688541</v>
      </c>
      <c r="U89" s="18">
        <f t="shared" si="219"/>
        <v>5.5289299866510877</v>
      </c>
      <c r="W89" t="str">
        <f t="shared" si="256"/>
        <v>32 Health and social care associate professionals</v>
      </c>
      <c r="X89" s="18">
        <f t="shared" si="220"/>
        <v>5.4870815611066215</v>
      </c>
      <c r="Y89" s="18">
        <f t="shared" si="220"/>
        <v>0.49192750197262214</v>
      </c>
      <c r="Z89" s="18">
        <f t="shared" si="220"/>
        <v>1.7680774102897256</v>
      </c>
      <c r="AA89" s="18">
        <f t="shared" si="220"/>
        <v>1.4977835016335428</v>
      </c>
      <c r="AB89" s="18">
        <f t="shared" si="221"/>
        <v>1.5189607080435152</v>
      </c>
      <c r="AD89" s="18">
        <f t="shared" si="222"/>
        <v>1.587801610766193</v>
      </c>
      <c r="AE89" s="18">
        <f t="shared" si="223"/>
        <v>3.6592351634417541</v>
      </c>
      <c r="AF89" s="18">
        <f t="shared" si="224"/>
        <v>4.6627319670196066</v>
      </c>
      <c r="AH89" t="str">
        <f t="shared" si="257"/>
        <v>32 Health and social care associate professionals</v>
      </c>
      <c r="AI89" s="18">
        <f t="shared" si="225"/>
        <v>-1.8673127470205331</v>
      </c>
      <c r="AJ89" s="18">
        <f t="shared" si="225"/>
        <v>-4.8605035652095507</v>
      </c>
      <c r="AK89" s="18">
        <f t="shared" si="225"/>
        <v>-6.1993114981500286</v>
      </c>
      <c r="AL89" s="18">
        <f t="shared" si="225"/>
        <v>-4.794134770900893</v>
      </c>
      <c r="AM89" s="18">
        <f t="shared" si="226"/>
        <v>-5.2396292247478886</v>
      </c>
      <c r="AO89" s="18">
        <f t="shared" si="227"/>
        <v>-5.2648504848402444</v>
      </c>
      <c r="AP89" s="18">
        <f t="shared" si="228"/>
        <v>1.6859350783454019</v>
      </c>
      <c r="AQ89" s="18">
        <f t="shared" si="229"/>
        <v>-2.0822923012061123</v>
      </c>
      <c r="AS89" t="str">
        <f t="shared" si="258"/>
        <v>32 Health and social care associate professionals</v>
      </c>
      <c r="AT89" s="18">
        <f t="shared" si="230"/>
        <v>3.7742122031903635</v>
      </c>
      <c r="AU89" s="18">
        <f t="shared" si="230"/>
        <v>12.118546552547315</v>
      </c>
      <c r="AV89" s="18">
        <f t="shared" si="230"/>
        <v>-0.98280472970811994</v>
      </c>
      <c r="AW89" s="18">
        <f t="shared" si="230"/>
        <v>0.77354421878303992</v>
      </c>
      <c r="AX89" s="18">
        <f t="shared" si="231"/>
        <v>0.89182855856391186</v>
      </c>
      <c r="AZ89" s="18">
        <f t="shared" si="232"/>
        <v>0.18466004609880571</v>
      </c>
      <c r="BA89" s="18">
        <f t="shared" si="233"/>
        <v>3.0051594623923039</v>
      </c>
      <c r="BB89" s="18">
        <f t="shared" si="234"/>
        <v>3.1277194916306428</v>
      </c>
      <c r="BD89" t="str">
        <f t="shared" si="259"/>
        <v>32 Health and social care associate professionals</v>
      </c>
      <c r="BE89" s="18">
        <f t="shared" si="235"/>
        <v>3.8876741756673105</v>
      </c>
      <c r="BF89" s="18">
        <f t="shared" si="235"/>
        <v>10.370364620157169</v>
      </c>
      <c r="BG89" s="18">
        <f t="shared" si="235"/>
        <v>-0.36731594305394744</v>
      </c>
      <c r="BH89" s="18">
        <f t="shared" si="235"/>
        <v>1.3114469576309018</v>
      </c>
      <c r="BI89" s="18">
        <f t="shared" si="236"/>
        <v>1.3247230998737036</v>
      </c>
      <c r="BK89" s="18">
        <f t="shared" si="237"/>
        <v>0.74873970399522705</v>
      </c>
      <c r="BL89" s="18">
        <f t="shared" si="238"/>
        <v>3.2319388605489108</v>
      </c>
      <c r="BM89" s="18">
        <f t="shared" si="239"/>
        <v>3.7210158998834508</v>
      </c>
      <c r="BO89" t="str">
        <f t="shared" si="260"/>
        <v>32 Health and social care associate professionals</v>
      </c>
      <c r="BP89" s="18">
        <f t="shared" si="240"/>
        <v>1.7722553306323885</v>
      </c>
      <c r="BQ89" s="18">
        <f t="shared" si="240"/>
        <v>0.65240038520666399</v>
      </c>
      <c r="BR89" s="18">
        <f t="shared" si="240"/>
        <v>-1.2545992073377255</v>
      </c>
      <c r="BS89" s="18">
        <f t="shared" si="240"/>
        <v>-1.9856149910112642</v>
      </c>
      <c r="BT89" s="18">
        <f t="shared" si="241"/>
        <v>-1.5945459367495474</v>
      </c>
      <c r="BV89" s="18">
        <f t="shared" si="242"/>
        <v>-1.7425463541799746</v>
      </c>
      <c r="BW89" s="18">
        <f t="shared" si="243"/>
        <v>2.5151184190299158</v>
      </c>
      <c r="BX89" s="18">
        <f t="shared" si="244"/>
        <v>1.3329499778838461</v>
      </c>
      <c r="BZ89" t="str">
        <f t="shared" si="261"/>
        <v>32 Health and social care associate professionals</v>
      </c>
      <c r="CA89" s="18">
        <f t="shared" si="245"/>
        <v>-1.5811007442965375</v>
      </c>
      <c r="CB89" s="18">
        <f t="shared" si="245"/>
        <v>-15.24319160646418</v>
      </c>
      <c r="CC89" s="18">
        <f t="shared" si="245"/>
        <v>-1.7699637908454968</v>
      </c>
      <c r="CD89" s="18">
        <f t="shared" si="245"/>
        <v>-4.4461220406396329</v>
      </c>
      <c r="CE89" s="18">
        <f t="shared" si="246"/>
        <v>-4.3373394029892705</v>
      </c>
      <c r="CG89" s="18">
        <f t="shared" si="247"/>
        <v>-3.5622699330070895</v>
      </c>
      <c r="CH89" s="18">
        <f t="shared" si="248"/>
        <v>2.0251367813397536</v>
      </c>
      <c r="CI89" s="18">
        <f t="shared" si="249"/>
        <v>-0.47392609813412534</v>
      </c>
      <c r="CK89" t="str">
        <f t="shared" si="262"/>
        <v>32 Health and social care associate professionals</v>
      </c>
      <c r="CL89" s="18">
        <f t="shared" si="250"/>
        <v>6.6953733847753272</v>
      </c>
      <c r="CM89" s="18">
        <f t="shared" si="250"/>
        <v>4.4510092333770901</v>
      </c>
      <c r="CN89" s="18">
        <f t="shared" si="250"/>
        <v>8.3715214599280543</v>
      </c>
      <c r="CO89" s="18">
        <f t="shared" si="250"/>
        <v>6.7613536340299873</v>
      </c>
      <c r="CP89" s="18">
        <f t="shared" si="251"/>
        <v>7.1153782174688818</v>
      </c>
      <c r="CR89" s="18">
        <f t="shared" si="252"/>
        <v>7.2954003543695967</v>
      </c>
      <c r="CS89" s="18">
        <f t="shared" si="253"/>
        <v>3.7205027269949564</v>
      </c>
      <c r="CT89" s="18">
        <f t="shared" si="254"/>
        <v>8.9252946328660201</v>
      </c>
    </row>
    <row r="90" spans="1:98" x14ac:dyDescent="0.2">
      <c r="A90" t="str">
        <f t="shared" si="209"/>
        <v>33 Protective service occupations</v>
      </c>
      <c r="B90" s="18">
        <f t="shared" si="210"/>
        <v>-0.65538871993712222</v>
      </c>
      <c r="C90" s="18">
        <f t="shared" si="210"/>
        <v>16.670701584679183</v>
      </c>
      <c r="D90" s="18">
        <f t="shared" si="210"/>
        <v>7.3932512211772661</v>
      </c>
      <c r="E90" s="18">
        <f t="shared" si="210"/>
        <v>4.216586016542645</v>
      </c>
      <c r="F90" s="18">
        <f t="shared" si="211"/>
        <v>5.9438982575864774</v>
      </c>
      <c r="H90" s="18">
        <f t="shared" si="212"/>
        <v>5.2648941943951311</v>
      </c>
      <c r="I90" s="18">
        <f t="shared" si="213"/>
        <v>2.9986607738245796</v>
      </c>
      <c r="J90" s="18">
        <f t="shared" si="214"/>
        <v>6.8896765542460603</v>
      </c>
      <c r="L90" t="str">
        <f t="shared" si="255"/>
        <v>33 Protective service occupations</v>
      </c>
      <c r="M90" s="18">
        <f t="shared" si="215"/>
        <v>2.4123277629458206</v>
      </c>
      <c r="N90" s="18">
        <f t="shared" si="215"/>
        <v>21.993418099917726</v>
      </c>
      <c r="O90" s="18">
        <f t="shared" si="215"/>
        <v>6.2039063566599051</v>
      </c>
      <c r="P90" s="18">
        <f t="shared" si="215"/>
        <v>4.1890284467384298</v>
      </c>
      <c r="Q90" s="18">
        <f t="shared" si="216"/>
        <v>5.8531219152673675</v>
      </c>
      <c r="S90" s="18">
        <f t="shared" si="217"/>
        <v>4.8563708873431644</v>
      </c>
      <c r="T90" s="18">
        <f t="shared" si="218"/>
        <v>2.8035853405828037</v>
      </c>
      <c r="U90" s="18">
        <f t="shared" si="219"/>
        <v>6.441330989828109</v>
      </c>
      <c r="W90" t="str">
        <f t="shared" si="256"/>
        <v>33 Protective service occupations</v>
      </c>
      <c r="X90" s="18">
        <f t="shared" si="220"/>
        <v>2.0624912262801054</v>
      </c>
      <c r="Y90" s="18">
        <f t="shared" si="220"/>
        <v>7.4541678508451614</v>
      </c>
      <c r="Z90" s="18">
        <f t="shared" si="220"/>
        <v>5.3451043651308039</v>
      </c>
      <c r="AA90" s="18">
        <f t="shared" si="220"/>
        <v>3.1040253083898017</v>
      </c>
      <c r="AB90" s="18">
        <f t="shared" si="221"/>
        <v>4.0676395355103923</v>
      </c>
      <c r="AD90" s="18">
        <f t="shared" si="222"/>
        <v>3.8457036083726637</v>
      </c>
      <c r="AE90" s="18">
        <f t="shared" si="223"/>
        <v>3.1643259134118473</v>
      </c>
      <c r="AF90" s="18">
        <f t="shared" si="224"/>
        <v>5.8822939963343313</v>
      </c>
      <c r="AH90" t="str">
        <f t="shared" si="257"/>
        <v>33 Protective service occupations</v>
      </c>
      <c r="AI90" s="18">
        <f t="shared" si="225"/>
        <v>1.020801000292848</v>
      </c>
      <c r="AJ90" s="18">
        <f t="shared" si="225"/>
        <v>8.1290092896627151</v>
      </c>
      <c r="AK90" s="18">
        <f t="shared" si="225"/>
        <v>4.3813707419446901</v>
      </c>
      <c r="AL90" s="18">
        <f t="shared" si="225"/>
        <v>2.5736755332836037</v>
      </c>
      <c r="AM90" s="18">
        <f t="shared" si="226"/>
        <v>3.4757359361617501</v>
      </c>
      <c r="AO90" s="18">
        <f t="shared" si="227"/>
        <v>3.1727351125954595</v>
      </c>
      <c r="AP90" s="18">
        <f t="shared" si="228"/>
        <v>2.7484421261446235</v>
      </c>
      <c r="AQ90" s="18">
        <f t="shared" si="229"/>
        <v>5.0688826177890389</v>
      </c>
      <c r="AS90" t="str">
        <f t="shared" si="258"/>
        <v>33 Protective service occupations</v>
      </c>
      <c r="AT90" s="18">
        <f t="shared" si="230"/>
        <v>-2.7427000024722203</v>
      </c>
      <c r="AU90" s="18">
        <f t="shared" si="230"/>
        <v>5.8894360413015434</v>
      </c>
      <c r="AV90" s="18">
        <f t="shared" si="230"/>
        <v>2.0136687527010588</v>
      </c>
      <c r="AW90" s="18">
        <f t="shared" si="230"/>
        <v>1.0606078807709141</v>
      </c>
      <c r="AX90" s="18">
        <f t="shared" si="231"/>
        <v>1.6535899583792757</v>
      </c>
      <c r="AZ90" s="18">
        <f t="shared" si="232"/>
        <v>1.3773013794156741</v>
      </c>
      <c r="BA90" s="18">
        <f t="shared" si="233"/>
        <v>2.3137837896437086</v>
      </c>
      <c r="BB90" s="18">
        <f t="shared" si="234"/>
        <v>3.3406872621972505</v>
      </c>
      <c r="BD90" t="str">
        <f t="shared" si="259"/>
        <v>33 Protective service occupations</v>
      </c>
      <c r="BE90" s="18">
        <f t="shared" si="235"/>
        <v>-5.4636718667530833</v>
      </c>
      <c r="BF90" s="18">
        <f t="shared" si="235"/>
        <v>11.017312851529116</v>
      </c>
      <c r="BG90" s="18">
        <f t="shared" si="235"/>
        <v>2.3839374016073167</v>
      </c>
      <c r="BH90" s="18">
        <f t="shared" si="235"/>
        <v>5.4830265616989671E-2</v>
      </c>
      <c r="BI90" s="18">
        <f t="shared" si="236"/>
        <v>1.4339067362306501</v>
      </c>
      <c r="BK90" s="18">
        <f t="shared" si="237"/>
        <v>0.82525184346060598</v>
      </c>
      <c r="BL90" s="18">
        <f t="shared" si="238"/>
        <v>1.6905303925927484</v>
      </c>
      <c r="BM90" s="18">
        <f t="shared" si="239"/>
        <v>2.3513120098129114</v>
      </c>
      <c r="BO90" t="str">
        <f t="shared" si="260"/>
        <v>33 Protective service occupations</v>
      </c>
      <c r="BP90" s="18">
        <f t="shared" si="240"/>
        <v>-1.2844627490885996</v>
      </c>
      <c r="BQ90" s="18">
        <f t="shared" si="240"/>
        <v>-5.0723343474830767</v>
      </c>
      <c r="BR90" s="18">
        <f t="shared" si="240"/>
        <v>2.7616223483688751</v>
      </c>
      <c r="BS90" s="18">
        <f t="shared" si="240"/>
        <v>-1.3466760885189832</v>
      </c>
      <c r="BT90" s="18">
        <f t="shared" si="241"/>
        <v>-0.32091353243465237</v>
      </c>
      <c r="BV90" s="18">
        <f t="shared" si="242"/>
        <v>4.1752092914348893E-3</v>
      </c>
      <c r="BW90" s="18">
        <f t="shared" si="243"/>
        <v>1.8371413029649286</v>
      </c>
      <c r="BX90" s="18">
        <f t="shared" si="244"/>
        <v>1.8403774018345809</v>
      </c>
      <c r="BZ90" t="str">
        <f t="shared" si="261"/>
        <v>33 Protective service occupations</v>
      </c>
      <c r="CA90" s="18">
        <f t="shared" si="245"/>
        <v>-4.296193741042531</v>
      </c>
      <c r="CB90" s="18">
        <f t="shared" si="245"/>
        <v>-1.9917059996653275</v>
      </c>
      <c r="CC90" s="18">
        <f t="shared" si="245"/>
        <v>2.91913174207592</v>
      </c>
      <c r="CD90" s="18">
        <f t="shared" si="245"/>
        <v>-2.3073897102895313</v>
      </c>
      <c r="CE90" s="18">
        <f t="shared" si="246"/>
        <v>-0.68324220135510538</v>
      </c>
      <c r="CG90" s="18">
        <f t="shared" si="247"/>
        <v>-0.59539273538629089</v>
      </c>
      <c r="CH90" s="18">
        <f t="shared" si="248"/>
        <v>2.1601433951892401</v>
      </c>
      <c r="CI90" s="18">
        <f t="shared" si="249"/>
        <v>1.7238388094601209</v>
      </c>
      <c r="CK90" t="str">
        <f t="shared" si="262"/>
        <v>33 Protective service occupations</v>
      </c>
      <c r="CL90" s="18">
        <f t="shared" si="250"/>
        <v>-4.0286243511976183</v>
      </c>
      <c r="CM90" s="18">
        <f t="shared" si="250"/>
        <v>-3.4322189193210173</v>
      </c>
      <c r="CN90" s="18">
        <f t="shared" si="250"/>
        <v>-5.9162884358873402</v>
      </c>
      <c r="CO90" s="18">
        <f t="shared" si="250"/>
        <v>0.38750430617002785</v>
      </c>
      <c r="CP90" s="18">
        <f t="shared" si="251"/>
        <v>-1.8647428534673272</v>
      </c>
      <c r="CR90" s="18">
        <f t="shared" si="252"/>
        <v>-1.7593443393064012</v>
      </c>
      <c r="CS90" s="18">
        <f t="shared" si="253"/>
        <v>0.96225535149203623</v>
      </c>
      <c r="CT90" s="18">
        <f t="shared" si="254"/>
        <v>-0.54911286980982021</v>
      </c>
    </row>
    <row r="91" spans="1:98" x14ac:dyDescent="0.2">
      <c r="A91" t="str">
        <f t="shared" si="209"/>
        <v>34 Culture, media and sports occupations</v>
      </c>
      <c r="B91" s="18">
        <f t="shared" si="210"/>
        <v>5.1875282404759249</v>
      </c>
      <c r="C91" s="18">
        <f t="shared" si="210"/>
        <v>9.343987605404136</v>
      </c>
      <c r="D91" s="18">
        <f t="shared" si="210"/>
        <v>1.7535396693922012</v>
      </c>
      <c r="E91" s="18">
        <f t="shared" si="210"/>
        <v>2.1901142670306406</v>
      </c>
      <c r="F91" s="18">
        <f t="shared" si="211"/>
        <v>2.4859807621442798</v>
      </c>
      <c r="H91" s="18">
        <f t="shared" si="212"/>
        <v>2.0443816717274021</v>
      </c>
      <c r="I91" s="18">
        <f t="shared" si="213"/>
        <v>3.3198644382169018</v>
      </c>
      <c r="J91" s="18">
        <f t="shared" si="214"/>
        <v>4.6832564920607167</v>
      </c>
      <c r="L91" t="str">
        <f t="shared" si="255"/>
        <v>34 Culture, media and sports occupations</v>
      </c>
      <c r="M91" s="18">
        <f t="shared" si="215"/>
        <v>0.36411831290406038</v>
      </c>
      <c r="N91" s="18">
        <f t="shared" si="215"/>
        <v>19.332369295172992</v>
      </c>
      <c r="O91" s="18">
        <f t="shared" si="215"/>
        <v>2.264863593408295</v>
      </c>
      <c r="P91" s="18">
        <f t="shared" si="215"/>
        <v>2.6419872744387618</v>
      </c>
      <c r="Q91" s="18">
        <f t="shared" si="216"/>
        <v>3.4939737646376035</v>
      </c>
      <c r="S91" s="18">
        <f t="shared" si="217"/>
        <v>2.5161251085168423</v>
      </c>
      <c r="T91" s="18">
        <f t="shared" si="218"/>
        <v>3.3345009632080425</v>
      </c>
      <c r="U91" s="18">
        <f t="shared" si="219"/>
        <v>5.0282408866612061</v>
      </c>
      <c r="W91" t="str">
        <f t="shared" si="256"/>
        <v>34 Culture, media and sports occupations</v>
      </c>
      <c r="X91" s="18">
        <f t="shared" si="220"/>
        <v>-2.2671790158782845</v>
      </c>
      <c r="Y91" s="18">
        <f t="shared" si="220"/>
        <v>0.3607338032494356</v>
      </c>
      <c r="Z91" s="18">
        <f t="shared" si="220"/>
        <v>0.14390701679174445</v>
      </c>
      <c r="AA91" s="18">
        <f t="shared" si="220"/>
        <v>0.97169622690649327</v>
      </c>
      <c r="AB91" s="18">
        <f t="shared" si="221"/>
        <v>0.67408421229186999</v>
      </c>
      <c r="AD91" s="18">
        <f t="shared" si="222"/>
        <v>0.6950089917967972</v>
      </c>
      <c r="AE91" s="18">
        <f t="shared" si="223"/>
        <v>2.7619163639906574</v>
      </c>
      <c r="AF91" s="18">
        <f t="shared" si="224"/>
        <v>3.2441613801540203</v>
      </c>
      <c r="AH91" t="str">
        <f t="shared" si="257"/>
        <v>34 Culture, media and sports occupations</v>
      </c>
      <c r="AI91" s="18">
        <f t="shared" si="225"/>
        <v>-0.78782563877247691</v>
      </c>
      <c r="AJ91" s="18">
        <f t="shared" si="225"/>
        <v>11.63228320117895</v>
      </c>
      <c r="AK91" s="18">
        <f t="shared" si="225"/>
        <v>-1.1152043875780615</v>
      </c>
      <c r="AL91" s="18">
        <f t="shared" si="225"/>
        <v>2.0867374460336041</v>
      </c>
      <c r="AM91" s="18">
        <f t="shared" si="226"/>
        <v>1.6414064442037191</v>
      </c>
      <c r="AO91" s="18">
        <f t="shared" si="227"/>
        <v>1.0080661624174425</v>
      </c>
      <c r="AP91" s="18">
        <f t="shared" si="228"/>
        <v>2.5733824199390298</v>
      </c>
      <c r="AQ91" s="18">
        <f t="shared" si="229"/>
        <v>3.2951345597040049</v>
      </c>
      <c r="AS91" t="str">
        <f t="shared" si="258"/>
        <v>34 Culture, media and sports occupations</v>
      </c>
      <c r="AT91" s="18">
        <f t="shared" si="230"/>
        <v>-3.3555435929373378</v>
      </c>
      <c r="AU91" s="18">
        <f t="shared" si="230"/>
        <v>-3.036130966985795</v>
      </c>
      <c r="AV91" s="18">
        <f t="shared" si="230"/>
        <v>-1.7092128591985944</v>
      </c>
      <c r="AW91" s="18">
        <f t="shared" si="230"/>
        <v>-3.3385163076149471E-2</v>
      </c>
      <c r="AX91" s="18">
        <f t="shared" si="231"/>
        <v>-0.74949132698529652</v>
      </c>
      <c r="AZ91" s="18">
        <f t="shared" si="232"/>
        <v>-0.59514528012505341</v>
      </c>
      <c r="BA91" s="18">
        <f t="shared" si="233"/>
        <v>2.3847624372741016</v>
      </c>
      <c r="BB91" s="18">
        <f t="shared" si="234"/>
        <v>1.9622614111468151</v>
      </c>
      <c r="BD91" t="str">
        <f t="shared" si="259"/>
        <v>34 Culture, media and sports occupations</v>
      </c>
      <c r="BE91" s="18">
        <f t="shared" si="235"/>
        <v>-7.2922394730137068</v>
      </c>
      <c r="BF91" s="18">
        <f t="shared" si="235"/>
        <v>11.093564509457243</v>
      </c>
      <c r="BG91" s="18">
        <f t="shared" si="235"/>
        <v>-1.923814587185535</v>
      </c>
      <c r="BH91" s="18">
        <f t="shared" si="235"/>
        <v>-5.9981784522644688E-2</v>
      </c>
      <c r="BI91" s="18">
        <f t="shared" si="236"/>
        <v>1.2966902259603508E-2</v>
      </c>
      <c r="BK91" s="18">
        <f t="shared" si="237"/>
        <v>-0.68516208038555959</v>
      </c>
      <c r="BL91" s="18">
        <f t="shared" si="238"/>
        <v>1.937942427606143</v>
      </c>
      <c r="BM91" s="18">
        <f t="shared" si="239"/>
        <v>1.4206412731232021</v>
      </c>
      <c r="BO91" t="str">
        <f t="shared" si="260"/>
        <v>34 Culture, media and sports occupations</v>
      </c>
      <c r="BP91" s="18">
        <f t="shared" si="240"/>
        <v>-7.224993827336279</v>
      </c>
      <c r="BQ91" s="18">
        <f t="shared" si="240"/>
        <v>-10.12511009471705</v>
      </c>
      <c r="BR91" s="18">
        <f t="shared" si="240"/>
        <v>-3.9127386056039271</v>
      </c>
      <c r="BS91" s="18">
        <f t="shared" si="240"/>
        <v>-4.713914392897312</v>
      </c>
      <c r="BT91" s="18">
        <f t="shared" si="241"/>
        <v>-4.8127249059687678</v>
      </c>
      <c r="BV91" s="18">
        <f t="shared" si="242"/>
        <v>-4.4476008062261041</v>
      </c>
      <c r="BW91" s="18">
        <f t="shared" si="243"/>
        <v>1.6221254645459648</v>
      </c>
      <c r="BX91" s="18">
        <f t="shared" si="244"/>
        <v>-1.6564461861094615</v>
      </c>
      <c r="BZ91" t="str">
        <f t="shared" si="261"/>
        <v>34 Culture, media and sports occupations</v>
      </c>
      <c r="CA91" s="18">
        <f t="shared" si="245"/>
        <v>-5.8681310513978291</v>
      </c>
      <c r="CB91" s="18">
        <f t="shared" si="245"/>
        <v>-9.4237890333411229</v>
      </c>
      <c r="CC91" s="18">
        <f t="shared" si="245"/>
        <v>-1.9568893592590397</v>
      </c>
      <c r="CD91" s="18">
        <f t="shared" si="245"/>
        <v>-3.8078844253713662</v>
      </c>
      <c r="CE91" s="18">
        <f t="shared" si="246"/>
        <v>-3.59636824789481</v>
      </c>
      <c r="CG91" s="18">
        <f t="shared" si="247"/>
        <v>-3.1948018666395295</v>
      </c>
      <c r="CH91" s="18">
        <f t="shared" si="248"/>
        <v>1.7173224220628835</v>
      </c>
      <c r="CI91" s="18">
        <f t="shared" si="249"/>
        <v>-0.66008666860080112</v>
      </c>
      <c r="CK91" t="str">
        <f t="shared" si="262"/>
        <v>34 Culture, media and sports occupations</v>
      </c>
      <c r="CL91" s="18">
        <f t="shared" si="250"/>
        <v>1.0000314519491127</v>
      </c>
      <c r="CM91" s="18">
        <f t="shared" si="250"/>
        <v>-3.7079762030447272</v>
      </c>
      <c r="CN91" s="18">
        <f t="shared" si="250"/>
        <v>3.8893023336753707</v>
      </c>
      <c r="CO91" s="18">
        <f t="shared" si="250"/>
        <v>3.1926571401142745</v>
      </c>
      <c r="CP91" s="18">
        <f t="shared" si="251"/>
        <v>2.9634950495011081</v>
      </c>
      <c r="CR91" s="18">
        <f t="shared" si="252"/>
        <v>3.4243516007320451</v>
      </c>
      <c r="CS91" s="18">
        <f t="shared" si="253"/>
        <v>2.2230311828059346</v>
      </c>
      <c r="CT91" s="18">
        <f t="shared" si="254"/>
        <v>4.8943386648026665</v>
      </c>
    </row>
    <row r="92" spans="1:98" x14ac:dyDescent="0.2">
      <c r="A92" t="str">
        <f t="shared" si="209"/>
        <v>35 Business and public service associate professionals</v>
      </c>
      <c r="B92" s="18">
        <f t="shared" si="210"/>
        <v>4.1452156073035429</v>
      </c>
      <c r="C92" s="18">
        <f t="shared" si="210"/>
        <v>14.60680821095246</v>
      </c>
      <c r="D92" s="18">
        <f t="shared" si="210"/>
        <v>2.5232801039784203</v>
      </c>
      <c r="E92" s="18">
        <f t="shared" si="210"/>
        <v>2.8370108961569551</v>
      </c>
      <c r="F92" s="18">
        <f t="shared" si="211"/>
        <v>3.4370397339937409</v>
      </c>
      <c r="H92" s="18">
        <f t="shared" si="212"/>
        <v>2.7323274385321339</v>
      </c>
      <c r="I92" s="18">
        <f t="shared" si="213"/>
        <v>3.2041885860263353</v>
      </c>
      <c r="J92" s="18">
        <f t="shared" si="214"/>
        <v>5.0815238023240505</v>
      </c>
      <c r="L92" t="str">
        <f t="shared" si="255"/>
        <v>35 Business and public service associate professionals</v>
      </c>
      <c r="M92" s="18">
        <f t="shared" si="215"/>
        <v>4.5981783531622078</v>
      </c>
      <c r="N92" s="18">
        <f t="shared" si="215"/>
        <v>6.62526361814193</v>
      </c>
      <c r="O92" s="18">
        <f t="shared" si="215"/>
        <v>1.9123950137716506</v>
      </c>
      <c r="P92" s="18">
        <f t="shared" si="215"/>
        <v>2.1754641591428259</v>
      </c>
      <c r="Q92" s="18">
        <f t="shared" si="216"/>
        <v>2.3655524060284927</v>
      </c>
      <c r="S92" s="18">
        <f t="shared" si="217"/>
        <v>2.0876990785290817</v>
      </c>
      <c r="T92" s="18">
        <f t="shared" si="218"/>
        <v>3.1006668024991413</v>
      </c>
      <c r="U92" s="18">
        <f t="shared" si="219"/>
        <v>4.5323741091888081</v>
      </c>
      <c r="W92" t="str">
        <f t="shared" si="256"/>
        <v>35 Business and public service associate professionals</v>
      </c>
      <c r="X92" s="18">
        <f t="shared" si="220"/>
        <v>1.6984920424726546</v>
      </c>
      <c r="Y92" s="18">
        <f t="shared" si="220"/>
        <v>-1.0522806398515105</v>
      </c>
      <c r="Z92" s="18">
        <f t="shared" si="220"/>
        <v>-0.28389303872423666</v>
      </c>
      <c r="AA92" s="18">
        <f t="shared" si="220"/>
        <v>0.67733168828076895</v>
      </c>
      <c r="AB92" s="18">
        <f t="shared" si="221"/>
        <v>0.26730292343726259</v>
      </c>
      <c r="AD92" s="18">
        <f t="shared" si="222"/>
        <v>0.35589829491762259</v>
      </c>
      <c r="AE92" s="18">
        <f t="shared" si="223"/>
        <v>2.7743932217101808</v>
      </c>
      <c r="AF92" s="18">
        <f t="shared" si="224"/>
        <v>3.0190389090543279</v>
      </c>
      <c r="AH92" t="str">
        <f t="shared" si="257"/>
        <v>35 Business and public service associate professionals</v>
      </c>
      <c r="AI92" s="18">
        <f t="shared" si="225"/>
        <v>1.7336841989073148</v>
      </c>
      <c r="AJ92" s="18">
        <f t="shared" si="225"/>
        <v>3.6804072590043591</v>
      </c>
      <c r="AK92" s="18">
        <f t="shared" si="225"/>
        <v>-0.40327299334177447</v>
      </c>
      <c r="AL92" s="18">
        <f t="shared" si="225"/>
        <v>1.0622795296803877</v>
      </c>
      <c r="AM92" s="18">
        <f t="shared" si="226"/>
        <v>0.76293473030137893</v>
      </c>
      <c r="AO92" s="18">
        <f t="shared" si="227"/>
        <v>0.5713814029159936</v>
      </c>
      <c r="AP92" s="18">
        <f t="shared" si="228"/>
        <v>2.7137661963168247</v>
      </c>
      <c r="AQ92" s="18">
        <f t="shared" si="229"/>
        <v>3.111656245315908</v>
      </c>
      <c r="AS92" t="str">
        <f t="shared" si="258"/>
        <v>35 Business and public service associate professionals</v>
      </c>
      <c r="AT92" s="18">
        <f t="shared" si="230"/>
        <v>1.4211984932440247</v>
      </c>
      <c r="AU92" s="18">
        <f t="shared" si="230"/>
        <v>2.0080277711286287</v>
      </c>
      <c r="AV92" s="18">
        <f t="shared" si="230"/>
        <v>-0.69587996431479393</v>
      </c>
      <c r="AW92" s="18">
        <f t="shared" si="230"/>
        <v>0.90717344967057301</v>
      </c>
      <c r="AX92" s="18">
        <f t="shared" si="231"/>
        <v>0.4715711491205532</v>
      </c>
      <c r="AZ92" s="18">
        <f t="shared" si="232"/>
        <v>0.36996742861541421</v>
      </c>
      <c r="BA92" s="18">
        <f t="shared" si="233"/>
        <v>2.6446560441602207</v>
      </c>
      <c r="BB92" s="18">
        <f t="shared" si="234"/>
        <v>2.9035094159080233</v>
      </c>
      <c r="BD92" t="str">
        <f t="shared" si="259"/>
        <v>35 Business and public service associate professionals</v>
      </c>
      <c r="BE92" s="18">
        <f t="shared" si="235"/>
        <v>-1.5199889694193947</v>
      </c>
      <c r="BF92" s="18">
        <f t="shared" si="235"/>
        <v>10.567206806117092</v>
      </c>
      <c r="BG92" s="18">
        <f t="shared" si="235"/>
        <v>-2.1484347321895858</v>
      </c>
      <c r="BH92" s="18">
        <f t="shared" si="235"/>
        <v>-0.2261707219062381</v>
      </c>
      <c r="BI92" s="18">
        <f t="shared" si="236"/>
        <v>-0.19220136419619838</v>
      </c>
      <c r="BK92" s="18">
        <f t="shared" si="237"/>
        <v>-0.87108498257414402</v>
      </c>
      <c r="BL92" s="18">
        <f t="shared" si="238"/>
        <v>2.2304144013930882</v>
      </c>
      <c r="BM92" s="18">
        <f t="shared" si="239"/>
        <v>1.6020055231832808</v>
      </c>
      <c r="BO92" t="str">
        <f t="shared" si="260"/>
        <v>35 Business and public service associate professionals</v>
      </c>
      <c r="BP92" s="18">
        <f t="shared" si="240"/>
        <v>-0.88672492066648179</v>
      </c>
      <c r="BQ92" s="18">
        <f t="shared" si="240"/>
        <v>-3.6385924295643024</v>
      </c>
      <c r="BR92" s="18">
        <f t="shared" si="240"/>
        <v>-2.156687011107572</v>
      </c>
      <c r="BS92" s="18">
        <f t="shared" si="240"/>
        <v>-1.9142522989621491</v>
      </c>
      <c r="BT92" s="18">
        <f t="shared" si="241"/>
        <v>-2.0986631700890657</v>
      </c>
      <c r="BV92" s="18">
        <f t="shared" si="242"/>
        <v>-1.9951305408528186</v>
      </c>
      <c r="BW92" s="18">
        <f t="shared" si="243"/>
        <v>1.9152963327328409</v>
      </c>
      <c r="BX92" s="18">
        <f t="shared" si="244"/>
        <v>0.4415573062696021</v>
      </c>
      <c r="BZ92" t="str">
        <f t="shared" si="261"/>
        <v>35 Business and public service associate professionals</v>
      </c>
      <c r="CA92" s="18">
        <f t="shared" si="245"/>
        <v>-2.6698163879133707</v>
      </c>
      <c r="CB92" s="18">
        <f t="shared" si="245"/>
        <v>-8.087704005268515</v>
      </c>
      <c r="CC92" s="18">
        <f t="shared" si="245"/>
        <v>-2.5026777776050113</v>
      </c>
      <c r="CD92" s="18">
        <f t="shared" si="245"/>
        <v>-4.6324595629681049</v>
      </c>
      <c r="CE92" s="18">
        <f t="shared" si="246"/>
        <v>-4.1931790355219327</v>
      </c>
      <c r="CG92" s="18">
        <f t="shared" si="247"/>
        <v>-3.9277524766596184</v>
      </c>
      <c r="CH92" s="18">
        <f t="shared" si="248"/>
        <v>1.6141628358572913</v>
      </c>
      <c r="CI92" s="18">
        <f t="shared" si="249"/>
        <v>-1.3164578353157097</v>
      </c>
      <c r="CK92" t="str">
        <f t="shared" si="262"/>
        <v>35 Business and public service associate professionals</v>
      </c>
      <c r="CL92" s="18">
        <f t="shared" si="250"/>
        <v>2.6123973176675808</v>
      </c>
      <c r="CM92" s="18">
        <f t="shared" si="250"/>
        <v>0.39717465616073699</v>
      </c>
      <c r="CN92" s="18">
        <f t="shared" si="250"/>
        <v>1.983259657404246</v>
      </c>
      <c r="CO92" s="18">
        <f t="shared" si="250"/>
        <v>3.5221544896826273</v>
      </c>
      <c r="CP92" s="18">
        <f t="shared" si="251"/>
        <v>2.8415668440402442</v>
      </c>
      <c r="CR92" s="18">
        <f t="shared" si="252"/>
        <v>3.0066265396075931</v>
      </c>
      <c r="CS92" s="18">
        <f t="shared" si="253"/>
        <v>2.0713457212728326</v>
      </c>
      <c r="CT92" s="18">
        <f t="shared" si="254"/>
        <v>4.4430780360610544</v>
      </c>
    </row>
    <row r="93" spans="1:98" x14ac:dyDescent="0.2">
      <c r="A93" t="str">
        <f t="shared" si="209"/>
        <v>41 Administrative occupations</v>
      </c>
      <c r="B93" s="18">
        <f t="shared" si="210"/>
        <v>2.7519495545288875</v>
      </c>
      <c r="C93" s="18">
        <f t="shared" si="210"/>
        <v>20.769636584107488</v>
      </c>
      <c r="D93" s="18">
        <f t="shared" si="210"/>
        <v>2.7233525606877862</v>
      </c>
      <c r="E93" s="18">
        <f t="shared" si="210"/>
        <v>3.1718484816506853</v>
      </c>
      <c r="F93" s="18">
        <f t="shared" si="211"/>
        <v>4.0506356177898439</v>
      </c>
      <c r="H93" s="18">
        <f t="shared" si="212"/>
        <v>3.0221326893010048</v>
      </c>
      <c r="I93" s="18">
        <f t="shared" si="213"/>
        <v>3.5212404696480126</v>
      </c>
      <c r="J93" s="18">
        <f t="shared" si="214"/>
        <v>5.5346812036240811</v>
      </c>
      <c r="L93" t="str">
        <f t="shared" si="255"/>
        <v>41 Administrative occupations</v>
      </c>
      <c r="M93" s="18">
        <f t="shared" si="215"/>
        <v>3.9669848867591728</v>
      </c>
      <c r="N93" s="18">
        <f t="shared" si="215"/>
        <v>8.3539348357564602</v>
      </c>
      <c r="O93" s="18">
        <f t="shared" si="215"/>
        <v>2.298160060304566</v>
      </c>
      <c r="P93" s="18">
        <f t="shared" si="215"/>
        <v>2.6101880692526613</v>
      </c>
      <c r="Q93" s="18">
        <f t="shared" si="216"/>
        <v>2.8621362982243159</v>
      </c>
      <c r="S93" s="18">
        <f t="shared" si="217"/>
        <v>2.506073126903452</v>
      </c>
      <c r="T93" s="18">
        <f t="shared" si="218"/>
        <v>3.4135466579224394</v>
      </c>
      <c r="U93" s="18">
        <f t="shared" si="219"/>
        <v>5.0841673499348206</v>
      </c>
      <c r="W93" t="str">
        <f t="shared" si="256"/>
        <v>41 Administrative occupations</v>
      </c>
      <c r="X93" s="18">
        <f t="shared" si="220"/>
        <v>1.0753708228561587</v>
      </c>
      <c r="Y93" s="18">
        <f t="shared" si="220"/>
        <v>3.4277694260598457</v>
      </c>
      <c r="Z93" s="18">
        <f t="shared" si="220"/>
        <v>0.46984833210135246</v>
      </c>
      <c r="AA93" s="18">
        <f t="shared" si="220"/>
        <v>1.3622335072299929</v>
      </c>
      <c r="AB93" s="18">
        <f t="shared" si="221"/>
        <v>1.2100409329762529</v>
      </c>
      <c r="AD93" s="18">
        <f t="shared" si="222"/>
        <v>1.0638945440869074</v>
      </c>
      <c r="AE93" s="18">
        <f t="shared" si="223"/>
        <v>3.1439967407668412</v>
      </c>
      <c r="AF93" s="18">
        <f t="shared" si="224"/>
        <v>3.8524478671101647</v>
      </c>
      <c r="AH93" t="str">
        <f t="shared" si="257"/>
        <v>41 Administrative occupations</v>
      </c>
      <c r="AI93" s="18">
        <f t="shared" si="225"/>
        <v>1.3995775058114335</v>
      </c>
      <c r="AJ93" s="18">
        <f t="shared" si="225"/>
        <v>6.0131098996528243</v>
      </c>
      <c r="AK93" s="18">
        <f t="shared" si="225"/>
        <v>7.3638181873114661E-2</v>
      </c>
      <c r="AL93" s="18">
        <f t="shared" si="225"/>
        <v>1.1129551387339065</v>
      </c>
      <c r="AM93" s="18">
        <f t="shared" si="226"/>
        <v>1.0855616058018658</v>
      </c>
      <c r="AO93" s="18">
        <f t="shared" si="227"/>
        <v>0.76532233904473834</v>
      </c>
      <c r="AP93" s="18">
        <f t="shared" si="228"/>
        <v>3.203804382479114</v>
      </c>
      <c r="AQ93" s="18">
        <f t="shared" si="229"/>
        <v>3.7057676320863431</v>
      </c>
      <c r="AS93" t="str">
        <f t="shared" si="258"/>
        <v>41 Administrative occupations</v>
      </c>
      <c r="AT93" s="18">
        <f t="shared" si="230"/>
        <v>0.97708504457976186</v>
      </c>
      <c r="AU93" s="18">
        <f t="shared" si="230"/>
        <v>5.1153664397602938</v>
      </c>
      <c r="AV93" s="18">
        <f t="shared" si="230"/>
        <v>-0.66989882542252133</v>
      </c>
      <c r="AW93" s="18">
        <f t="shared" si="230"/>
        <v>1.2533985953788962</v>
      </c>
      <c r="AX93" s="18">
        <f t="shared" si="231"/>
        <v>0.88414512108119236</v>
      </c>
      <c r="AZ93" s="18">
        <f t="shared" si="232"/>
        <v>0.60819686629596248</v>
      </c>
      <c r="BA93" s="18">
        <f t="shared" si="233"/>
        <v>2.9816879834523746</v>
      </c>
      <c r="BB93" s="18">
        <f t="shared" si="234"/>
        <v>3.3908251929586797</v>
      </c>
      <c r="BD93" t="str">
        <f t="shared" si="259"/>
        <v>41 Administrative occupations</v>
      </c>
      <c r="BE93" s="18">
        <f t="shared" si="235"/>
        <v>-2.9919429353928106</v>
      </c>
      <c r="BF93" s="18">
        <f t="shared" si="235"/>
        <v>8.7781042311348969</v>
      </c>
      <c r="BG93" s="18">
        <f t="shared" si="235"/>
        <v>-3.3100191943054469</v>
      </c>
      <c r="BH93" s="18">
        <f t="shared" si="235"/>
        <v>-2.7915736956373727</v>
      </c>
      <c r="BI93" s="18">
        <f t="shared" si="236"/>
        <v>-2.2694149167129973</v>
      </c>
      <c r="BK93" s="18">
        <f t="shared" si="237"/>
        <v>-2.9646970027065511</v>
      </c>
      <c r="BL93" s="18">
        <f t="shared" si="238"/>
        <v>2.2297329625044382</v>
      </c>
      <c r="BM93" s="18">
        <f t="shared" si="239"/>
        <v>0.18932674377747372</v>
      </c>
      <c r="BO93" t="str">
        <f t="shared" si="260"/>
        <v>41 Administrative occupations</v>
      </c>
      <c r="BP93" s="18">
        <f t="shared" si="240"/>
        <v>-3.9874717300225737</v>
      </c>
      <c r="BQ93" s="18">
        <f t="shared" si="240"/>
        <v>-0.14052297623010634</v>
      </c>
      <c r="BR93" s="18">
        <f t="shared" si="240"/>
        <v>-3.6259984619846475</v>
      </c>
      <c r="BS93" s="18">
        <f t="shared" si="240"/>
        <v>-4.2000806808555557</v>
      </c>
      <c r="BT93" s="18">
        <f t="shared" si="241"/>
        <v>-3.7717669812727173</v>
      </c>
      <c r="BV93" s="18">
        <f t="shared" si="242"/>
        <v>-4.009100917615271</v>
      </c>
      <c r="BW93" s="18">
        <f t="shared" si="243"/>
        <v>1.8327566291165942</v>
      </c>
      <c r="BX93" s="18">
        <f t="shared" si="244"/>
        <v>-1.0430884492507286</v>
      </c>
      <c r="BZ93" t="str">
        <f t="shared" si="261"/>
        <v>41 Administrative occupations</v>
      </c>
      <c r="CA93" s="18">
        <f t="shared" si="245"/>
        <v>-3.5735351665289961</v>
      </c>
      <c r="CB93" s="18">
        <f t="shared" si="245"/>
        <v>-14.194413801080131</v>
      </c>
      <c r="CC93" s="18">
        <f t="shared" si="245"/>
        <v>-6.7590660943908754</v>
      </c>
      <c r="CD93" s="18">
        <f t="shared" si="245"/>
        <v>-10.544178617624256</v>
      </c>
      <c r="CE93" s="18">
        <f t="shared" si="246"/>
        <v>-9.6137913873429852</v>
      </c>
      <c r="CG93" s="18">
        <f t="shared" si="247"/>
        <v>-9.2998629205163219</v>
      </c>
      <c r="CH93" s="18">
        <f t="shared" si="248"/>
        <v>1.2803666063944563</v>
      </c>
      <c r="CI93" s="18">
        <f t="shared" si="249"/>
        <v>-5.3041974453926777</v>
      </c>
      <c r="CK93" t="str">
        <f t="shared" si="262"/>
        <v>41 Administrative occupations</v>
      </c>
      <c r="CL93" s="18">
        <f t="shared" si="250"/>
        <v>0.88532841336503854</v>
      </c>
      <c r="CM93" s="18">
        <f t="shared" si="250"/>
        <v>-5.5078907826211276</v>
      </c>
      <c r="CN93" s="18">
        <f t="shared" si="250"/>
        <v>-5.6099467336237829</v>
      </c>
      <c r="CO93" s="18">
        <f t="shared" si="250"/>
        <v>-0.89890021902878647</v>
      </c>
      <c r="CP93" s="18">
        <f t="shared" si="251"/>
        <v>-2.6859124243072463</v>
      </c>
      <c r="CR93" s="18">
        <f t="shared" si="252"/>
        <v>-2.4948114457903792</v>
      </c>
      <c r="CS93" s="18">
        <f t="shared" si="253"/>
        <v>1.2599774892678495</v>
      </c>
      <c r="CT93" s="18">
        <f t="shared" si="254"/>
        <v>-0.76513013632012461</v>
      </c>
    </row>
    <row r="94" spans="1:98" x14ac:dyDescent="0.2">
      <c r="A94" t="str">
        <f t="shared" si="209"/>
        <v>42 Secretarial and related occupations</v>
      </c>
      <c r="B94" s="18">
        <f t="shared" si="210"/>
        <v>5.7809184237973765</v>
      </c>
      <c r="C94" s="18">
        <f t="shared" si="210"/>
        <v>1.2934183843596569</v>
      </c>
      <c r="D94" s="18">
        <f t="shared" si="210"/>
        <v>9.7785940094825108</v>
      </c>
      <c r="E94" s="18">
        <f t="shared" si="210"/>
        <v>6.7306027196747831</v>
      </c>
      <c r="F94" s="18">
        <f t="shared" si="211"/>
        <v>7.3226031298360361</v>
      </c>
      <c r="H94" s="18">
        <f t="shared" si="212"/>
        <v>7.7370788506362143</v>
      </c>
      <c r="I94" s="18">
        <f t="shared" si="213"/>
        <v>5.7001260867397319</v>
      </c>
      <c r="J94" s="18">
        <f t="shared" si="214"/>
        <v>10.306246225954929</v>
      </c>
      <c r="L94" t="str">
        <f t="shared" si="255"/>
        <v>42 Secretarial and related occupations</v>
      </c>
      <c r="M94" s="18">
        <f t="shared" si="215"/>
        <v>2.7897089983468071</v>
      </c>
      <c r="N94" s="18">
        <f t="shared" si="215"/>
        <v>5.1064846563365851</v>
      </c>
      <c r="O94" s="18">
        <f t="shared" si="215"/>
        <v>8.5258826887278936</v>
      </c>
      <c r="P94" s="18">
        <f t="shared" si="215"/>
        <v>2.0779871864525346</v>
      </c>
      <c r="Q94" s="18">
        <f t="shared" si="216"/>
        <v>4.2410003054347722</v>
      </c>
      <c r="S94" s="18">
        <f t="shared" si="217"/>
        <v>4.1835553944897352</v>
      </c>
      <c r="T94" s="18">
        <f t="shared" si="218"/>
        <v>4.435207810979791</v>
      </c>
      <c r="U94" s="18">
        <f t="shared" si="219"/>
        <v>7.019484804995213</v>
      </c>
      <c r="W94" t="str">
        <f t="shared" si="256"/>
        <v>42 Secretarial and related occupations</v>
      </c>
      <c r="X94" s="18">
        <f t="shared" si="220"/>
        <v>-0.26610222948714179</v>
      </c>
      <c r="Y94" s="18">
        <f t="shared" si="220"/>
        <v>1.1726727681015792</v>
      </c>
      <c r="Z94" s="18">
        <f t="shared" si="220"/>
        <v>7.3846667989094783</v>
      </c>
      <c r="AA94" s="18">
        <f t="shared" si="220"/>
        <v>4.2982777123447669</v>
      </c>
      <c r="AB94" s="18">
        <f t="shared" si="221"/>
        <v>5.0531605128033119</v>
      </c>
      <c r="AD94" s="18">
        <f t="shared" si="222"/>
        <v>5.3170896572911408</v>
      </c>
      <c r="AE94" s="18">
        <f t="shared" si="223"/>
        <v>4.6472123771017726</v>
      </c>
      <c r="AF94" s="18">
        <f t="shared" si="224"/>
        <v>7.9534002687742911</v>
      </c>
      <c r="AH94" t="str">
        <f t="shared" si="257"/>
        <v>42 Secretarial and related occupations</v>
      </c>
      <c r="AI94" s="18">
        <f t="shared" si="225"/>
        <v>1.0301892418285163E-2</v>
      </c>
      <c r="AJ94" s="18">
        <f t="shared" si="225"/>
        <v>2.7757654981408253</v>
      </c>
      <c r="AK94" s="18">
        <f t="shared" si="225"/>
        <v>6.1004944516797499</v>
      </c>
      <c r="AL94" s="18">
        <f t="shared" si="225"/>
        <v>2.1076464754293589</v>
      </c>
      <c r="AM94" s="18">
        <f t="shared" si="226"/>
        <v>3.3811303236770396</v>
      </c>
      <c r="AO94" s="18">
        <f t="shared" si="227"/>
        <v>3.4216145271555698</v>
      </c>
      <c r="AP94" s="18">
        <f t="shared" si="228"/>
        <v>4.1153059347991849</v>
      </c>
      <c r="AQ94" s="18">
        <f t="shared" si="229"/>
        <v>6.2636502373807579</v>
      </c>
      <c r="AS94" t="str">
        <f t="shared" si="258"/>
        <v>42 Secretarial and related occupations</v>
      </c>
      <c r="AT94" s="18">
        <f t="shared" si="230"/>
        <v>-1.0980856270302874</v>
      </c>
      <c r="AU94" s="18">
        <f t="shared" si="230"/>
        <v>2.5558511530299199</v>
      </c>
      <c r="AV94" s="18">
        <f t="shared" si="230"/>
        <v>4.9040988073123959</v>
      </c>
      <c r="AW94" s="18">
        <f t="shared" si="230"/>
        <v>0.44273913299766043</v>
      </c>
      <c r="AX94" s="18">
        <f t="shared" si="231"/>
        <v>1.948716586584176</v>
      </c>
      <c r="AZ94" s="18">
        <f t="shared" si="232"/>
        <v>1.9083689807771753</v>
      </c>
      <c r="BA94" s="18">
        <f t="shared" si="233"/>
        <v>3.6590068553682187</v>
      </c>
      <c r="BB94" s="18">
        <f t="shared" si="234"/>
        <v>4.8753706185857171</v>
      </c>
      <c r="BD94" t="str">
        <f t="shared" si="259"/>
        <v>42 Secretarial and related occupations</v>
      </c>
      <c r="BE94" s="18">
        <f t="shared" si="235"/>
        <v>-4.0650943657273508</v>
      </c>
      <c r="BF94" s="18">
        <f t="shared" si="235"/>
        <v>4.0981215928695081</v>
      </c>
      <c r="BG94" s="18">
        <f t="shared" si="235"/>
        <v>0.55871414495154426</v>
      </c>
      <c r="BH94" s="18">
        <f t="shared" si="235"/>
        <v>-14.300158893255265</v>
      </c>
      <c r="BI94" s="18">
        <f t="shared" si="236"/>
        <v>-8.8075568632742467</v>
      </c>
      <c r="BK94" s="18">
        <f t="shared" si="237"/>
        <v>-9.608710580393975</v>
      </c>
      <c r="BL94" s="18">
        <f t="shared" si="238"/>
        <v>2.0964288053324953</v>
      </c>
      <c r="BM94" s="18">
        <f t="shared" si="239"/>
        <v>-3.5131977820530902</v>
      </c>
      <c r="BO94" t="str">
        <f t="shared" si="260"/>
        <v>42 Secretarial and related occupations</v>
      </c>
      <c r="BP94" s="18">
        <f t="shared" si="240"/>
        <v>-7.6913260658228122</v>
      </c>
      <c r="BQ94" s="18">
        <f t="shared" si="240"/>
        <v>-3.2379676016030423</v>
      </c>
      <c r="BR94" s="18">
        <f t="shared" si="240"/>
        <v>-3.9276220305588638</v>
      </c>
      <c r="BS94" s="18">
        <f t="shared" si="240"/>
        <v>-14.516689790356885</v>
      </c>
      <c r="BT94" s="18">
        <f t="shared" si="241"/>
        <v>-10.65002460535548</v>
      </c>
      <c r="BV94" s="18">
        <f t="shared" si="242"/>
        <v>-11.123474609429419</v>
      </c>
      <c r="BW94" s="18">
        <f t="shared" si="243"/>
        <v>1.5998953139013672</v>
      </c>
      <c r="BX94" s="18">
        <f t="shared" si="244"/>
        <v>-5.3354669402221226</v>
      </c>
      <c r="BZ94" t="str">
        <f t="shared" si="261"/>
        <v>42 Secretarial and related occupations</v>
      </c>
      <c r="CA94" s="18">
        <f t="shared" si="245"/>
        <v>-3.7126371182082063</v>
      </c>
      <c r="CB94" s="18">
        <f t="shared" si="245"/>
        <v>-18.553501524060135</v>
      </c>
      <c r="CC94" s="18">
        <f t="shared" si="245"/>
        <v>-15.205713365870588</v>
      </c>
      <c r="CD94" s="18">
        <f t="shared" si="245"/>
        <v>-19.41101951584805</v>
      </c>
      <c r="CE94" s="18">
        <f t="shared" si="246"/>
        <v>-18.065581787569094</v>
      </c>
      <c r="CG94" s="18">
        <f t="shared" si="247"/>
        <v>-18.032950070453481</v>
      </c>
      <c r="CH94" s="18">
        <f t="shared" si="248"/>
        <v>1.0125851749015924</v>
      </c>
      <c r="CI94" s="18">
        <f t="shared" si="249"/>
        <v>-9.7737805278031669</v>
      </c>
      <c r="CK94" t="str">
        <f t="shared" si="262"/>
        <v>42 Secretarial and related occupations</v>
      </c>
      <c r="CL94" s="18">
        <f t="shared" si="250"/>
        <v>1.1045804122742808</v>
      </c>
      <c r="CM94" s="18">
        <f t="shared" si="250"/>
        <v>-5.9340491433925173</v>
      </c>
      <c r="CN94" s="18">
        <f t="shared" si="250"/>
        <v>-1.4160742813952076</v>
      </c>
      <c r="CO94" s="18">
        <f t="shared" si="250"/>
        <v>-4.2745560595084386</v>
      </c>
      <c r="CP94" s="18">
        <f t="shared" si="251"/>
        <v>-3.4958354916205581</v>
      </c>
      <c r="CR94" s="18">
        <f t="shared" si="252"/>
        <v>-3.3310587318363005</v>
      </c>
      <c r="CS94" s="18">
        <f t="shared" si="253"/>
        <v>1.6786123998923541</v>
      </c>
      <c r="CT94" s="18">
        <f t="shared" si="254"/>
        <v>-0.80936502409985067</v>
      </c>
    </row>
    <row r="95" spans="1:98" x14ac:dyDescent="0.2">
      <c r="A95" t="str">
        <f t="shared" si="209"/>
        <v>51 Skilled agricultural and related trades</v>
      </c>
      <c r="B95" s="18">
        <f t="shared" si="210"/>
        <v>5.4674077887097994</v>
      </c>
      <c r="C95" s="18">
        <f t="shared" si="210"/>
        <v>-7.8724973387142905</v>
      </c>
      <c r="D95" s="18">
        <f t="shared" si="210"/>
        <v>3.7766081895065806</v>
      </c>
      <c r="E95" s="18">
        <f t="shared" si="210"/>
        <v>2.6948428558335458</v>
      </c>
      <c r="F95" s="18">
        <f t="shared" si="211"/>
        <v>2.3347924087898209</v>
      </c>
      <c r="H95" s="18">
        <f t="shared" si="212"/>
        <v>3.0541725379117812</v>
      </c>
      <c r="I95" s="18">
        <f t="shared" si="213"/>
        <v>4.4473598569759742</v>
      </c>
      <c r="J95" s="18">
        <f t="shared" si="214"/>
        <v>6.2735252699584798</v>
      </c>
      <c r="L95" t="str">
        <f t="shared" si="255"/>
        <v>51 Skilled agricultural and related trades</v>
      </c>
      <c r="M95" s="18">
        <f t="shared" si="215"/>
        <v>5.0634025351571132</v>
      </c>
      <c r="N95" s="18">
        <f t="shared" si="215"/>
        <v>-18.970424637488858</v>
      </c>
      <c r="O95" s="18">
        <f t="shared" si="215"/>
        <v>2.5074423743036034</v>
      </c>
      <c r="P95" s="18">
        <f t="shared" si="215"/>
        <v>2.8928625418364051</v>
      </c>
      <c r="Q95" s="18">
        <f t="shared" si="216"/>
        <v>1.2493084417579459</v>
      </c>
      <c r="S95" s="18">
        <f t="shared" si="217"/>
        <v>2.764228404425606</v>
      </c>
      <c r="T95" s="18">
        <f t="shared" si="218"/>
        <v>3.699769289582</v>
      </c>
      <c r="U95" s="18">
        <f t="shared" si="219"/>
        <v>5.4916790818859917</v>
      </c>
      <c r="W95" t="str">
        <f t="shared" si="256"/>
        <v>51 Skilled agricultural and related trades</v>
      </c>
      <c r="X95" s="18">
        <f t="shared" si="220"/>
        <v>1.7470524224075579</v>
      </c>
      <c r="Y95" s="18">
        <f t="shared" si="220"/>
        <v>-3.8072094609671869</v>
      </c>
      <c r="Z95" s="18">
        <f t="shared" si="220"/>
        <v>3.3681452198386364</v>
      </c>
      <c r="AA95" s="18">
        <f t="shared" si="220"/>
        <v>3.7686684622158628</v>
      </c>
      <c r="AB95" s="18">
        <f t="shared" si="221"/>
        <v>3.1534271238969014</v>
      </c>
      <c r="AD95" s="18">
        <f t="shared" si="222"/>
        <v>3.6349885757237521</v>
      </c>
      <c r="AE95" s="18">
        <f t="shared" si="223"/>
        <v>4.4054126125233184</v>
      </c>
      <c r="AF95" s="18">
        <f t="shared" si="224"/>
        <v>6.6252835789468278</v>
      </c>
      <c r="AH95" t="str">
        <f t="shared" si="257"/>
        <v>51 Skilled agricultural and related trades</v>
      </c>
      <c r="AI95" s="18">
        <f t="shared" si="225"/>
        <v>3.3590954131510697</v>
      </c>
      <c r="AJ95" s="18">
        <f t="shared" si="225"/>
        <v>-19.957509140494622</v>
      </c>
      <c r="AK95" s="18">
        <f t="shared" si="225"/>
        <v>3.0516287126468145</v>
      </c>
      <c r="AL95" s="18">
        <f t="shared" si="225"/>
        <v>3.0533127204175781</v>
      </c>
      <c r="AM95" s="18">
        <f t="shared" si="226"/>
        <v>1.4380528480665733</v>
      </c>
      <c r="AO95" s="18">
        <f t="shared" si="227"/>
        <v>3.052751381436325</v>
      </c>
      <c r="AP95" s="18">
        <f t="shared" si="228"/>
        <v>4.4472437707207435</v>
      </c>
      <c r="AQ95" s="18">
        <f t="shared" si="229"/>
        <v>6.272510352441163</v>
      </c>
      <c r="AS95" t="str">
        <f t="shared" si="258"/>
        <v>51 Skilled agricultural and related trades</v>
      </c>
      <c r="AT95" s="18">
        <f t="shared" si="230"/>
        <v>6.8138318709323187</v>
      </c>
      <c r="AU95" s="18">
        <f t="shared" si="230"/>
        <v>-21.652214438323359</v>
      </c>
      <c r="AV95" s="18">
        <f t="shared" si="230"/>
        <v>1.3359952186202451</v>
      </c>
      <c r="AW95" s="18">
        <f t="shared" si="230"/>
        <v>3.1559235421265042</v>
      </c>
      <c r="AX95" s="18">
        <f t="shared" si="231"/>
        <v>0.83509120570735007</v>
      </c>
      <c r="AZ95" s="18">
        <f t="shared" si="232"/>
        <v>2.5456778189310914</v>
      </c>
      <c r="BA95" s="18">
        <f t="shared" si="233"/>
        <v>3.8873443799010365</v>
      </c>
      <c r="BB95" s="18">
        <f t="shared" si="234"/>
        <v>5.4919149083810126</v>
      </c>
      <c r="BD95" t="str">
        <f t="shared" si="259"/>
        <v>51 Skilled agricultural and related trades</v>
      </c>
      <c r="BE95" s="18">
        <f t="shared" si="235"/>
        <v>-0.95065868864413483</v>
      </c>
      <c r="BF95" s="18">
        <f t="shared" si="235"/>
        <v>-18.831175632537889</v>
      </c>
      <c r="BG95" s="18">
        <f t="shared" si="235"/>
        <v>-0.68697066288917474</v>
      </c>
      <c r="BH95" s="18">
        <f t="shared" si="235"/>
        <v>0.20292043260079495</v>
      </c>
      <c r="BI95" s="18">
        <f t="shared" si="236"/>
        <v>-1.3830623596406522</v>
      </c>
      <c r="BK95" s="18">
        <f t="shared" si="237"/>
        <v>-9.4592404706894673E-2</v>
      </c>
      <c r="BL95" s="18">
        <f t="shared" si="238"/>
        <v>2.8357248755575437</v>
      </c>
      <c r="BM95" s="18">
        <f t="shared" si="239"/>
        <v>2.7719202871401061</v>
      </c>
      <c r="BO95" t="str">
        <f t="shared" si="260"/>
        <v>51 Skilled agricultural and related trades</v>
      </c>
      <c r="BP95" s="18">
        <f t="shared" si="240"/>
        <v>1.5245235631225151</v>
      </c>
      <c r="BQ95" s="18">
        <f t="shared" si="240"/>
        <v>-28.944585668511436</v>
      </c>
      <c r="BR95" s="18">
        <f t="shared" si="240"/>
        <v>0.86498879098735326</v>
      </c>
      <c r="BS95" s="18">
        <f t="shared" si="240"/>
        <v>0.28430370040515296</v>
      </c>
      <c r="BT95" s="18">
        <f t="shared" si="241"/>
        <v>-1.6749186057522736</v>
      </c>
      <c r="BV95" s="18">
        <f t="shared" si="242"/>
        <v>0.47749299532202638</v>
      </c>
      <c r="BW95" s="18">
        <f t="shared" si="243"/>
        <v>2.966090945667843</v>
      </c>
      <c r="BX95" s="18">
        <f t="shared" si="244"/>
        <v>3.286956670695651</v>
      </c>
      <c r="BZ95" t="str">
        <f t="shared" si="261"/>
        <v>51 Skilled agricultural and related trades</v>
      </c>
      <c r="CA95" s="18">
        <f t="shared" si="245"/>
        <v>-2.4821220559740564</v>
      </c>
      <c r="CB95" s="18">
        <f t="shared" si="245"/>
        <v>-17.140906461794692</v>
      </c>
      <c r="CC95" s="18">
        <f t="shared" si="245"/>
        <v>0.67724672145452747</v>
      </c>
      <c r="CD95" s="18">
        <f t="shared" si="245"/>
        <v>1.9902714278980493</v>
      </c>
      <c r="CE95" s="18">
        <f t="shared" si="246"/>
        <v>0.2678076044014821</v>
      </c>
      <c r="CG95" s="18">
        <f t="shared" si="247"/>
        <v>1.550704764259625</v>
      </c>
      <c r="CH95" s="18">
        <f t="shared" si="248"/>
        <v>2.7307861174300285</v>
      </c>
      <c r="CI95" s="18">
        <f t="shared" si="249"/>
        <v>3.8313261789690189</v>
      </c>
      <c r="CK95" t="str">
        <f t="shared" si="262"/>
        <v>51 Skilled agricultural and related trades</v>
      </c>
      <c r="CL95" s="18">
        <f t="shared" si="250"/>
        <v>3.9756058248813675</v>
      </c>
      <c r="CM95" s="18">
        <f t="shared" si="250"/>
        <v>-34.595830707594864</v>
      </c>
      <c r="CN95" s="18">
        <f t="shared" si="250"/>
        <v>2.5714000415373306</v>
      </c>
      <c r="CO95" s="18">
        <f t="shared" si="250"/>
        <v>-3.9759737737812051</v>
      </c>
      <c r="CP95" s="18">
        <f t="shared" si="251"/>
        <v>-4.3007579744120727</v>
      </c>
      <c r="CR95" s="18">
        <f t="shared" si="252"/>
        <v>-1.8413216393519116</v>
      </c>
      <c r="CS95" s="18">
        <f t="shared" si="253"/>
        <v>1.8250504952843638</v>
      </c>
      <c r="CT95" s="18">
        <f t="shared" si="254"/>
        <v>0.44184573673355931</v>
      </c>
    </row>
    <row r="96" spans="1:98" x14ac:dyDescent="0.2">
      <c r="A96" t="str">
        <f t="shared" si="209"/>
        <v>52 Skilled metal, electrical and electronic trades</v>
      </c>
      <c r="B96" s="18">
        <f t="shared" si="210"/>
        <v>-1.7278721509778716</v>
      </c>
      <c r="C96" s="18">
        <f t="shared" si="210"/>
        <v>10.921819662532183</v>
      </c>
      <c r="D96" s="18">
        <f t="shared" si="210"/>
        <v>1.4555513318535995</v>
      </c>
      <c r="E96" s="18">
        <f t="shared" si="210"/>
        <v>3.1334953802476306</v>
      </c>
      <c r="F96" s="18">
        <f t="shared" si="211"/>
        <v>3.0741090406037008</v>
      </c>
      <c r="H96" s="18">
        <f t="shared" si="212"/>
        <v>2.5711196981960782</v>
      </c>
      <c r="I96" s="18">
        <f t="shared" si="213"/>
        <v>2.9132422013196768</v>
      </c>
      <c r="J96" s="18">
        <f t="shared" si="214"/>
        <v>4.7358463663490502</v>
      </c>
      <c r="L96" t="str">
        <f t="shared" si="255"/>
        <v>52 Skilled metal, electrical and electronic trades</v>
      </c>
      <c r="M96" s="18">
        <f t="shared" si="215"/>
        <v>3.868136003942424</v>
      </c>
      <c r="N96" s="18">
        <f t="shared" si="215"/>
        <v>-6.8007975217594723</v>
      </c>
      <c r="O96" s="18">
        <f t="shared" si="215"/>
        <v>7.5306633897082031</v>
      </c>
      <c r="P96" s="18">
        <f t="shared" si="215"/>
        <v>4.3696987561750111</v>
      </c>
      <c r="Q96" s="18">
        <f t="shared" si="216"/>
        <v>4.6046841734001198</v>
      </c>
      <c r="S96" s="18">
        <f t="shared" si="217"/>
        <v>5.4128919970960032</v>
      </c>
      <c r="T96" s="18">
        <f t="shared" si="218"/>
        <v>4.1253837691493933</v>
      </c>
      <c r="U96" s="18">
        <f t="shared" si="219"/>
        <v>7.6911219996086411</v>
      </c>
      <c r="W96" t="str">
        <f t="shared" si="256"/>
        <v>52 Skilled metal, electrical and electronic trades</v>
      </c>
      <c r="X96" s="18">
        <f t="shared" si="220"/>
        <v>1.7302296638991965</v>
      </c>
      <c r="Y96" s="18">
        <f t="shared" si="220"/>
        <v>-17.292315096677903</v>
      </c>
      <c r="Z96" s="18">
        <f t="shared" si="220"/>
        <v>3.5858624357511193</v>
      </c>
      <c r="AA96" s="18">
        <f t="shared" si="220"/>
        <v>2.2894822365498557</v>
      </c>
      <c r="AB96" s="18">
        <f t="shared" si="221"/>
        <v>1.3380122167689468</v>
      </c>
      <c r="AD96" s="18">
        <f t="shared" si="222"/>
        <v>2.7197961757539302</v>
      </c>
      <c r="AE96" s="18">
        <f t="shared" si="223"/>
        <v>3.3728839665526644</v>
      </c>
      <c r="AF96" s="18">
        <f t="shared" si="224"/>
        <v>5.203974895616259</v>
      </c>
      <c r="AH96" t="str">
        <f t="shared" si="257"/>
        <v>52 Skilled metal, electrical and electronic trades</v>
      </c>
      <c r="AI96" s="18">
        <f t="shared" si="225"/>
        <v>3.6178152804080987</v>
      </c>
      <c r="AJ96" s="18">
        <f t="shared" si="225"/>
        <v>-15.046961847833273</v>
      </c>
      <c r="AK96" s="18">
        <f t="shared" si="225"/>
        <v>0.94894559920704058</v>
      </c>
      <c r="AL96" s="18">
        <f t="shared" si="225"/>
        <v>2.1211803762301029</v>
      </c>
      <c r="AM96" s="18">
        <f t="shared" si="226"/>
        <v>0.5895538528517541</v>
      </c>
      <c r="AO96" s="18">
        <f t="shared" si="227"/>
        <v>1.7289307403340448</v>
      </c>
      <c r="AP96" s="18">
        <f t="shared" si="228"/>
        <v>2.8395622948443444</v>
      </c>
      <c r="AQ96" s="18">
        <f t="shared" si="229"/>
        <v>4.0545483380241221</v>
      </c>
      <c r="AS96" t="str">
        <f t="shared" si="258"/>
        <v>52 Skilled metal, electrical and electronic trades</v>
      </c>
      <c r="AT96" s="18">
        <f t="shared" si="230"/>
        <v>2.3261338361648898</v>
      </c>
      <c r="AU96" s="18">
        <f t="shared" si="230"/>
        <v>-12.034611403855955</v>
      </c>
      <c r="AV96" s="18">
        <f t="shared" si="230"/>
        <v>0.6489534779760886</v>
      </c>
      <c r="AW96" s="18">
        <f t="shared" si="230"/>
        <v>1.8181656210440655</v>
      </c>
      <c r="AX96" s="18">
        <f t="shared" si="231"/>
        <v>0.52826257465365956</v>
      </c>
      <c r="AZ96" s="18">
        <f t="shared" si="232"/>
        <v>1.426926820876484</v>
      </c>
      <c r="BA96" s="18">
        <f t="shared" si="233"/>
        <v>2.7893624271427386</v>
      </c>
      <c r="BB96" s="18">
        <f t="shared" si="234"/>
        <v>3.7919519538619051</v>
      </c>
      <c r="BD96" t="str">
        <f t="shared" si="259"/>
        <v>52 Skilled metal, electrical and electronic trades</v>
      </c>
      <c r="BE96" s="18">
        <f t="shared" si="235"/>
        <v>-1.0297534350241055</v>
      </c>
      <c r="BF96" s="18">
        <f t="shared" si="235"/>
        <v>-6.2300577727187783</v>
      </c>
      <c r="BG96" s="18">
        <f t="shared" si="235"/>
        <v>-4.7172239617976341E-2</v>
      </c>
      <c r="BH96" s="18">
        <f t="shared" si="235"/>
        <v>-0.17350493070603656</v>
      </c>
      <c r="BI96" s="18">
        <f t="shared" si="236"/>
        <v>-0.52393861356669902</v>
      </c>
      <c r="BK96" s="18">
        <f t="shared" si="237"/>
        <v>-0.13141178529590958</v>
      </c>
      <c r="BL96" s="18">
        <f t="shared" si="238"/>
        <v>1.9907152358657809</v>
      </c>
      <c r="BM96" s="18">
        <f t="shared" si="239"/>
        <v>1.8912302058398334</v>
      </c>
      <c r="BO96" t="str">
        <f t="shared" si="260"/>
        <v>52 Skilled metal, electrical and electronic trades</v>
      </c>
      <c r="BP96" s="18">
        <f t="shared" si="240"/>
        <v>1.6047941978888369</v>
      </c>
      <c r="BQ96" s="18">
        <f t="shared" si="240"/>
        <v>-20.08353217841443</v>
      </c>
      <c r="BR96" s="18">
        <f t="shared" si="240"/>
        <v>-0.65211593382908939</v>
      </c>
      <c r="BS96" s="18">
        <f t="shared" si="240"/>
        <v>-1.5426477495663837</v>
      </c>
      <c r="BT96" s="18">
        <f t="shared" si="241"/>
        <v>-2.5443702721947181</v>
      </c>
      <c r="BV96" s="18">
        <f t="shared" si="242"/>
        <v>-1.2466943102449002</v>
      </c>
      <c r="BW96" s="18">
        <f t="shared" si="243"/>
        <v>1.9407920769718867</v>
      </c>
      <c r="BX96" s="18">
        <f t="shared" si="244"/>
        <v>1.0098194394293492</v>
      </c>
      <c r="BZ96" t="str">
        <f t="shared" si="261"/>
        <v>52 Skilled metal, electrical and electronic trades</v>
      </c>
      <c r="CA96" s="18">
        <f t="shared" si="245"/>
        <v>-4.3177423111605551</v>
      </c>
      <c r="CB96" s="18">
        <f t="shared" si="245"/>
        <v>-17.242058333891862</v>
      </c>
      <c r="CC96" s="18">
        <f t="shared" si="245"/>
        <v>0.69503422222603195</v>
      </c>
      <c r="CD96" s="18">
        <f t="shared" si="245"/>
        <v>-5.2573803347949593</v>
      </c>
      <c r="CE96" s="18">
        <f t="shared" si="246"/>
        <v>-4.2488519254635371</v>
      </c>
      <c r="CG96" s="18">
        <f t="shared" si="247"/>
        <v>-3.3134024980038035</v>
      </c>
      <c r="CH96" s="18">
        <f t="shared" si="248"/>
        <v>1.8807356567655198</v>
      </c>
      <c r="CI96" s="18">
        <f t="shared" si="249"/>
        <v>-0.51336996121361667</v>
      </c>
      <c r="CK96" t="str">
        <f t="shared" si="262"/>
        <v>52 Skilled metal, electrical and electronic trades</v>
      </c>
      <c r="CL96" s="18">
        <f t="shared" si="250"/>
        <v>3.3263056001244795</v>
      </c>
      <c r="CM96" s="18">
        <f t="shared" si="250"/>
        <v>-21.463963611424507</v>
      </c>
      <c r="CN96" s="18">
        <f t="shared" si="250"/>
        <v>3.5942009790420171</v>
      </c>
      <c r="CO96" s="18">
        <f t="shared" si="250"/>
        <v>-2.6795881125301069</v>
      </c>
      <c r="CP96" s="18">
        <f t="shared" si="251"/>
        <v>-2.0822108291177477</v>
      </c>
      <c r="CR96" s="18">
        <f t="shared" si="252"/>
        <v>-0.63171968775319609</v>
      </c>
      <c r="CS96" s="18">
        <f t="shared" si="253"/>
        <v>1.9539288748049666</v>
      </c>
      <c r="CT96" s="18">
        <f t="shared" si="254"/>
        <v>1.4775923690243387</v>
      </c>
    </row>
    <row r="97" spans="1:98" x14ac:dyDescent="0.2">
      <c r="A97" t="str">
        <f t="shared" si="209"/>
        <v>53 Skilled construction and building trades</v>
      </c>
      <c r="B97" s="18">
        <f t="shared" si="210"/>
        <v>-10.567848300435612</v>
      </c>
      <c r="C97" s="18">
        <f t="shared" si="210"/>
        <v>-14.507361900762717</v>
      </c>
      <c r="D97" s="18">
        <f t="shared" si="210"/>
        <v>9.4229559355570416</v>
      </c>
      <c r="E97" s="18">
        <f t="shared" si="210"/>
        <v>0.82272572837229774</v>
      </c>
      <c r="F97" s="18">
        <f t="shared" si="211"/>
        <v>2.3743022299519412</v>
      </c>
      <c r="H97" s="18">
        <f t="shared" si="212"/>
        <v>3.6116135595372079</v>
      </c>
      <c r="I97" s="18">
        <f t="shared" si="213"/>
        <v>3.7004076920000406</v>
      </c>
      <c r="J97" s="18">
        <f t="shared" si="214"/>
        <v>6.0901920032565782</v>
      </c>
      <c r="L97" t="str">
        <f t="shared" si="255"/>
        <v>53 Skilled construction and building trades</v>
      </c>
      <c r="M97" s="18">
        <f t="shared" si="215"/>
        <v>1.1128388992659666</v>
      </c>
      <c r="N97" s="18">
        <f t="shared" si="215"/>
        <v>-0.30650263087932395</v>
      </c>
      <c r="O97" s="18">
        <f t="shared" si="215"/>
        <v>3.6800483312705135</v>
      </c>
      <c r="P97" s="18">
        <f t="shared" si="215"/>
        <v>2.2348665341077156</v>
      </c>
      <c r="Q97" s="18">
        <f t="shared" si="216"/>
        <v>2.5228854459452776</v>
      </c>
      <c r="S97" s="18">
        <f t="shared" si="217"/>
        <v>2.7143415768431822</v>
      </c>
      <c r="T97" s="18">
        <f t="shared" si="218"/>
        <v>3.3650804690620539</v>
      </c>
      <c r="U97" s="18">
        <f t="shared" si="219"/>
        <v>5.1939664171430477</v>
      </c>
      <c r="W97" t="str">
        <f t="shared" si="256"/>
        <v>53 Skilled construction and building trades</v>
      </c>
      <c r="X97" s="18">
        <f t="shared" si="220"/>
        <v>-1.0895157504248187</v>
      </c>
      <c r="Y97" s="18">
        <f t="shared" si="220"/>
        <v>-10.304803772366499</v>
      </c>
      <c r="Z97" s="18">
        <f t="shared" si="220"/>
        <v>3.5743891746074619</v>
      </c>
      <c r="AA97" s="18">
        <f t="shared" si="220"/>
        <v>1.3114526024113005</v>
      </c>
      <c r="AB97" s="18">
        <f t="shared" si="221"/>
        <v>1.2397425168211074</v>
      </c>
      <c r="AD97" s="18">
        <f t="shared" si="222"/>
        <v>2.0602172495908677</v>
      </c>
      <c r="AE97" s="18">
        <f t="shared" si="223"/>
        <v>3.3961005872201078</v>
      </c>
      <c r="AF97" s="18">
        <f t="shared" si="224"/>
        <v>4.757754676639836</v>
      </c>
      <c r="AH97" t="str">
        <f t="shared" si="257"/>
        <v>53 Skilled construction and building trades</v>
      </c>
      <c r="AI97" s="18">
        <f t="shared" si="225"/>
        <v>2.8574665671901256</v>
      </c>
      <c r="AJ97" s="18">
        <f t="shared" si="225"/>
        <v>-11.470050533928822</v>
      </c>
      <c r="AK97" s="18">
        <f t="shared" si="225"/>
        <v>2.9638234554731913</v>
      </c>
      <c r="AL97" s="18">
        <f t="shared" si="225"/>
        <v>1.534187035575818</v>
      </c>
      <c r="AM97" s="18">
        <f t="shared" si="226"/>
        <v>1.1089918463856874</v>
      </c>
      <c r="AO97" s="18">
        <f t="shared" si="227"/>
        <v>2.0085132006411932</v>
      </c>
      <c r="AP97" s="18">
        <f t="shared" si="228"/>
        <v>3.580989386626876</v>
      </c>
      <c r="AQ97" s="18">
        <f t="shared" si="229"/>
        <v>4.8769290546276656</v>
      </c>
      <c r="AS97" t="str">
        <f t="shared" si="258"/>
        <v>53 Skilled construction and building trades</v>
      </c>
      <c r="AT97" s="18">
        <f t="shared" si="230"/>
        <v>-0.48683215148193071</v>
      </c>
      <c r="AU97" s="18">
        <f t="shared" si="230"/>
        <v>-5.3064546570314679</v>
      </c>
      <c r="AV97" s="18">
        <f t="shared" si="230"/>
        <v>3.6670712646820203</v>
      </c>
      <c r="AW97" s="18">
        <f t="shared" si="230"/>
        <v>0.72437753736707133</v>
      </c>
      <c r="AX97" s="18">
        <f t="shared" si="231"/>
        <v>1.2434422962814606</v>
      </c>
      <c r="AZ97" s="18">
        <f t="shared" si="232"/>
        <v>1.6958751210125245</v>
      </c>
      <c r="BA97" s="18">
        <f t="shared" si="233"/>
        <v>3.4827478216399976</v>
      </c>
      <c r="BB97" s="18">
        <f t="shared" si="234"/>
        <v>4.5816208323200769</v>
      </c>
      <c r="BD97" t="str">
        <f t="shared" si="259"/>
        <v>53 Skilled construction and building trades</v>
      </c>
      <c r="BE97" s="18">
        <f t="shared" si="235"/>
        <v>-4.2151896413673224</v>
      </c>
      <c r="BF97" s="18">
        <f t="shared" si="235"/>
        <v>-2.7975422196882538</v>
      </c>
      <c r="BG97" s="18">
        <f t="shared" si="235"/>
        <v>-5.2422805872998079E-2</v>
      </c>
      <c r="BH97" s="18">
        <f t="shared" si="235"/>
        <v>-1.3408466316875978</v>
      </c>
      <c r="BI97" s="18">
        <f t="shared" si="236"/>
        <v>-1.032060648952593</v>
      </c>
      <c r="BK97" s="18">
        <f t="shared" si="237"/>
        <v>-0.91322812831775568</v>
      </c>
      <c r="BL97" s="18">
        <f t="shared" si="238"/>
        <v>2.0616432621469949</v>
      </c>
      <c r="BM97" s="18">
        <f t="shared" si="239"/>
        <v>1.3872215497411577</v>
      </c>
      <c r="BO97" t="str">
        <f t="shared" si="260"/>
        <v>53 Skilled construction and building trades</v>
      </c>
      <c r="BP97" s="18">
        <f t="shared" si="240"/>
        <v>1.6968225621443622</v>
      </c>
      <c r="BQ97" s="18">
        <f t="shared" si="240"/>
        <v>-16.261669420908508</v>
      </c>
      <c r="BR97" s="18">
        <f t="shared" si="240"/>
        <v>2.165864530808026</v>
      </c>
      <c r="BS97" s="18">
        <f t="shared" si="240"/>
        <v>-0.1309723539589025</v>
      </c>
      <c r="BT97" s="18">
        <f t="shared" si="241"/>
        <v>-0.52015519539203581</v>
      </c>
      <c r="BV97" s="18">
        <f t="shared" si="242"/>
        <v>0.62884449298694634</v>
      </c>
      <c r="BW97" s="18">
        <f t="shared" si="243"/>
        <v>2.6478211426253395</v>
      </c>
      <c r="BX97" s="18">
        <f t="shared" si="244"/>
        <v>3.090121706189608</v>
      </c>
      <c r="BZ97" t="str">
        <f t="shared" si="261"/>
        <v>53 Skilled construction and building trades</v>
      </c>
      <c r="CA97" s="18">
        <f t="shared" si="245"/>
        <v>-4.9826835407683845</v>
      </c>
      <c r="CB97" s="18">
        <f t="shared" si="245"/>
        <v>-10.200466791425489</v>
      </c>
      <c r="CC97" s="18">
        <f t="shared" si="245"/>
        <v>2.3062718946686767</v>
      </c>
      <c r="CD97" s="18">
        <f t="shared" si="245"/>
        <v>-0.44795417504466251</v>
      </c>
      <c r="CE97" s="18">
        <f t="shared" si="246"/>
        <v>-0.24022654784499053</v>
      </c>
      <c r="CG97" s="18">
        <f t="shared" si="247"/>
        <v>0.4617824109403923</v>
      </c>
      <c r="CH97" s="18">
        <f t="shared" si="248"/>
        <v>2.4140552070830212</v>
      </c>
      <c r="CI97" s="18">
        <f t="shared" si="249"/>
        <v>2.7479108350910053</v>
      </c>
      <c r="CK97" t="str">
        <f t="shared" si="262"/>
        <v>53 Skilled construction and building trades</v>
      </c>
      <c r="CL97" s="18">
        <f t="shared" si="250"/>
        <v>-2.2054619781530449</v>
      </c>
      <c r="CM97" s="18">
        <f t="shared" si="250"/>
        <v>-19.595372108342513</v>
      </c>
      <c r="CN97" s="18">
        <f t="shared" si="250"/>
        <v>-1.8347005740986688</v>
      </c>
      <c r="CO97" s="18">
        <f t="shared" si="250"/>
        <v>-10.568353450423363</v>
      </c>
      <c r="CP97" s="18">
        <f t="shared" si="251"/>
        <v>-8.5362600413501184</v>
      </c>
      <c r="CR97" s="18">
        <f t="shared" si="252"/>
        <v>-7.7470739866602578</v>
      </c>
      <c r="CS97" s="18">
        <f t="shared" si="253"/>
        <v>1.1328682621198682</v>
      </c>
      <c r="CT97" s="18">
        <f t="shared" si="254"/>
        <v>-4.7433585947357919</v>
      </c>
    </row>
    <row r="98" spans="1:98" x14ac:dyDescent="0.2">
      <c r="A98" t="str">
        <f t="shared" si="209"/>
        <v>54 Textiles, printing and other skilled trades</v>
      </c>
      <c r="B98" s="18">
        <f t="shared" si="210"/>
        <v>1.7286853886501197</v>
      </c>
      <c r="C98" s="18">
        <f t="shared" si="210"/>
        <v>9.2108007011350246</v>
      </c>
      <c r="D98" s="18">
        <f t="shared" si="210"/>
        <v>5.0911427037405588</v>
      </c>
      <c r="E98" s="18">
        <f t="shared" si="210"/>
        <v>3.1760682735596291</v>
      </c>
      <c r="F98" s="18">
        <f t="shared" si="211"/>
        <v>4.1400709125340551</v>
      </c>
      <c r="H98" s="18">
        <f t="shared" si="212"/>
        <v>3.8105170767526175</v>
      </c>
      <c r="I98" s="18">
        <f t="shared" si="213"/>
        <v>3.7576612349787153</v>
      </c>
      <c r="J98" s="18">
        <f t="shared" si="214"/>
        <v>6.2745068834303197</v>
      </c>
      <c r="L98" t="str">
        <f t="shared" si="255"/>
        <v>54 Textiles, printing and other skilled trades</v>
      </c>
      <c r="M98" s="18">
        <f t="shared" si="215"/>
        <v>2.3930137836690735</v>
      </c>
      <c r="N98" s="18">
        <f t="shared" si="215"/>
        <v>8.6566478102868096</v>
      </c>
      <c r="O98" s="18">
        <f t="shared" si="215"/>
        <v>4.692304417836568</v>
      </c>
      <c r="P98" s="18">
        <f t="shared" si="215"/>
        <v>3.8499375972540273</v>
      </c>
      <c r="Q98" s="18">
        <f t="shared" si="216"/>
        <v>4.4072798508645095</v>
      </c>
      <c r="S98" s="18">
        <f t="shared" si="217"/>
        <v>4.1299707445122902</v>
      </c>
      <c r="T98" s="18">
        <f t="shared" si="218"/>
        <v>4.0002626289938226</v>
      </c>
      <c r="U98" s="18">
        <f t="shared" si="219"/>
        <v>6.6751253218270357</v>
      </c>
      <c r="W98" t="str">
        <f t="shared" si="256"/>
        <v>54 Textiles, printing and other skilled trades</v>
      </c>
      <c r="X98" s="18">
        <f t="shared" si="220"/>
        <v>0.21123686076913728</v>
      </c>
      <c r="Y98" s="18">
        <f t="shared" si="220"/>
        <v>-6.4209006968944156</v>
      </c>
      <c r="Z98" s="18">
        <f t="shared" si="220"/>
        <v>4.0519481707761429</v>
      </c>
      <c r="AA98" s="18">
        <f t="shared" si="220"/>
        <v>2.6675849212992153</v>
      </c>
      <c r="AB98" s="18">
        <f t="shared" si="221"/>
        <v>2.5026781464077663</v>
      </c>
      <c r="AD98" s="18">
        <f t="shared" si="222"/>
        <v>3.1269806624410146</v>
      </c>
      <c r="AE98" s="18">
        <f t="shared" si="223"/>
        <v>3.7544356728170136</v>
      </c>
      <c r="AF98" s="18">
        <f t="shared" si="224"/>
        <v>5.7866955136047116</v>
      </c>
      <c r="AH98" t="str">
        <f t="shared" si="257"/>
        <v>54 Textiles, printing and other skilled trades</v>
      </c>
      <c r="AI98" s="18">
        <f t="shared" si="225"/>
        <v>-0.93975886355668337</v>
      </c>
      <c r="AJ98" s="18">
        <f t="shared" si="225"/>
        <v>-4.1417958926202587</v>
      </c>
      <c r="AK98" s="18">
        <f t="shared" si="225"/>
        <v>1.4013646922934164</v>
      </c>
      <c r="AL98" s="18">
        <f t="shared" si="225"/>
        <v>2.2834957433689906</v>
      </c>
      <c r="AM98" s="18">
        <f t="shared" si="226"/>
        <v>1.5942186461171959</v>
      </c>
      <c r="AO98" s="18">
        <f t="shared" si="227"/>
        <v>1.9886026719064809</v>
      </c>
      <c r="AP98" s="18">
        <f t="shared" si="228"/>
        <v>3.3208203779599321</v>
      </c>
      <c r="AQ98" s="18">
        <f t="shared" si="229"/>
        <v>4.6450883862955816</v>
      </c>
      <c r="AS98" t="str">
        <f t="shared" si="258"/>
        <v>54 Textiles, printing and other skilled trades</v>
      </c>
      <c r="AT98" s="18">
        <f t="shared" si="230"/>
        <v>-0.67222596425710046</v>
      </c>
      <c r="AU98" s="18">
        <f t="shared" si="230"/>
        <v>-4.0914067986028257</v>
      </c>
      <c r="AV98" s="18">
        <f t="shared" si="230"/>
        <v>3.1039469216192161</v>
      </c>
      <c r="AW98" s="18">
        <f t="shared" si="230"/>
        <v>2.226542829145095</v>
      </c>
      <c r="AX98" s="18">
        <f t="shared" si="231"/>
        <v>2.0920488315238961</v>
      </c>
      <c r="AZ98" s="18">
        <f t="shared" si="232"/>
        <v>2.518178082128486</v>
      </c>
      <c r="BA98" s="18">
        <f t="shared" si="233"/>
        <v>3.4831904312492723</v>
      </c>
      <c r="BB98" s="18">
        <f t="shared" si="234"/>
        <v>5.1483590322198403</v>
      </c>
      <c r="BD98" t="str">
        <f t="shared" si="259"/>
        <v>54 Textiles, printing and other skilled trades</v>
      </c>
      <c r="BE98" s="18">
        <f t="shared" si="235"/>
        <v>-2.9102901036806572</v>
      </c>
      <c r="BF98" s="18">
        <f t="shared" si="235"/>
        <v>-3.5795616705049493</v>
      </c>
      <c r="BG98" s="18">
        <f t="shared" si="235"/>
        <v>1.6631340723035182</v>
      </c>
      <c r="BH98" s="18">
        <f t="shared" si="235"/>
        <v>1.0558319769443658</v>
      </c>
      <c r="BI98" s="18">
        <f t="shared" si="236"/>
        <v>0.94853586329266548</v>
      </c>
      <c r="BK98" s="18">
        <f t="shared" si="237"/>
        <v>1.2578618433715771</v>
      </c>
      <c r="BL98" s="18">
        <f t="shared" si="238"/>
        <v>2.5693782621158956</v>
      </c>
      <c r="BM98" s="18">
        <f t="shared" si="239"/>
        <v>3.4750691947828205</v>
      </c>
      <c r="BO98" t="str">
        <f t="shared" si="260"/>
        <v>54 Textiles, printing and other skilled trades</v>
      </c>
      <c r="BP98" s="18">
        <f t="shared" si="240"/>
        <v>-4.6905663038420586</v>
      </c>
      <c r="BQ98" s="18">
        <f t="shared" si="240"/>
        <v>-9.4426426724209538</v>
      </c>
      <c r="BR98" s="18">
        <f t="shared" si="240"/>
        <v>-2.075078863317581</v>
      </c>
      <c r="BS98" s="18">
        <f t="shared" si="240"/>
        <v>-1.0440090138743252</v>
      </c>
      <c r="BT98" s="18">
        <f t="shared" si="241"/>
        <v>-1.9126105788017544</v>
      </c>
      <c r="BV98" s="18">
        <f t="shared" si="242"/>
        <v>-1.3888996118972652</v>
      </c>
      <c r="BW98" s="18">
        <f t="shared" si="243"/>
        <v>1.9950917164007986</v>
      </c>
      <c r="BX98" s="18">
        <f t="shared" si="244"/>
        <v>0.96907025483856657</v>
      </c>
      <c r="BZ98" t="str">
        <f t="shared" si="261"/>
        <v>54 Textiles, printing and other skilled trades</v>
      </c>
      <c r="CA98" s="18">
        <f t="shared" si="245"/>
        <v>-4.8884727951217899</v>
      </c>
      <c r="CB98" s="18">
        <f t="shared" si="245"/>
        <v>-14.325128976619418</v>
      </c>
      <c r="CC98" s="18">
        <f t="shared" si="245"/>
        <v>0.8291510400853852</v>
      </c>
      <c r="CD98" s="18">
        <f t="shared" si="245"/>
        <v>-1.5431557300657484</v>
      </c>
      <c r="CE98" s="18">
        <f t="shared" si="246"/>
        <v>-1.6662287001657949</v>
      </c>
      <c r="CG98" s="18">
        <f t="shared" si="247"/>
        <v>-0.75865429489996306</v>
      </c>
      <c r="CH98" s="18">
        <f t="shared" si="248"/>
        <v>2.0857279901171033</v>
      </c>
      <c r="CI98" s="18">
        <f t="shared" si="249"/>
        <v>1.5256893526934823</v>
      </c>
      <c r="CK98" t="str">
        <f t="shared" si="262"/>
        <v>54 Textiles, printing and other skilled trades</v>
      </c>
      <c r="CL98" s="18">
        <f t="shared" si="250"/>
        <v>-2.0353444000789866</v>
      </c>
      <c r="CM98" s="18">
        <f t="shared" si="250"/>
        <v>-13.549310997572462</v>
      </c>
      <c r="CN98" s="18">
        <f t="shared" si="250"/>
        <v>-4.6198830548751513</v>
      </c>
      <c r="CO98" s="18">
        <f t="shared" si="250"/>
        <v>-3.5214377129737073</v>
      </c>
      <c r="CP98" s="18">
        <f t="shared" si="251"/>
        <v>-4.5231963462987075</v>
      </c>
      <c r="CR98" s="18">
        <f t="shared" si="252"/>
        <v>-3.8889845969895975</v>
      </c>
      <c r="CS98" s="18">
        <f t="shared" si="253"/>
        <v>1.2029116241713877</v>
      </c>
      <c r="CT98" s="18">
        <f t="shared" si="254"/>
        <v>-1.9169147403355846</v>
      </c>
    </row>
    <row r="99" spans="1:98" x14ac:dyDescent="0.2">
      <c r="A99" t="str">
        <f t="shared" si="209"/>
        <v>61 Caring personal service occupations</v>
      </c>
      <c r="B99" s="18">
        <f t="shared" si="210"/>
        <v>5.5943858563967108</v>
      </c>
      <c r="C99" s="18">
        <f t="shared" si="210"/>
        <v>0.63567960314869776</v>
      </c>
      <c r="D99" s="18">
        <f t="shared" si="210"/>
        <v>6.4810024456706916</v>
      </c>
      <c r="E99" s="18">
        <f t="shared" si="210"/>
        <v>3.3963175109217758</v>
      </c>
      <c r="F99" s="18">
        <f t="shared" si="211"/>
        <v>4.1742085488150282</v>
      </c>
      <c r="H99" s="18">
        <f t="shared" si="212"/>
        <v>4.4144867469402271</v>
      </c>
      <c r="I99" s="18">
        <f t="shared" si="213"/>
        <v>4.1266850552544865</v>
      </c>
      <c r="J99" s="18">
        <f t="shared" si="214"/>
        <v>6.9657017134791888</v>
      </c>
      <c r="L99" t="str">
        <f t="shared" si="255"/>
        <v>61 Caring personal service occupations</v>
      </c>
      <c r="M99" s="18">
        <f t="shared" si="215"/>
        <v>7.8963565692223625</v>
      </c>
      <c r="N99" s="18">
        <f t="shared" si="215"/>
        <v>1.2386696221539983</v>
      </c>
      <c r="O99" s="18">
        <f t="shared" si="215"/>
        <v>5.661557536785855</v>
      </c>
      <c r="P99" s="18">
        <f t="shared" si="215"/>
        <v>3.0333359300872109</v>
      </c>
      <c r="Q99" s="18">
        <f t="shared" si="216"/>
        <v>3.733568397074416</v>
      </c>
      <c r="S99" s="18">
        <f t="shared" si="217"/>
        <v>3.9020645025592104</v>
      </c>
      <c r="T99" s="18">
        <f t="shared" si="218"/>
        <v>4.1854813981573091</v>
      </c>
      <c r="U99" s="18">
        <f t="shared" si="219"/>
        <v>6.646441608698983</v>
      </c>
      <c r="W99" t="str">
        <f t="shared" si="256"/>
        <v>61 Caring personal service occupations</v>
      </c>
      <c r="X99" s="18">
        <f t="shared" si="220"/>
        <v>4.5022135460093482</v>
      </c>
      <c r="Y99" s="18">
        <f t="shared" si="220"/>
        <v>-5.8297723698001676</v>
      </c>
      <c r="Z99" s="18">
        <f t="shared" si="220"/>
        <v>3.5637640825574302</v>
      </c>
      <c r="AA99" s="18">
        <f t="shared" si="220"/>
        <v>1.7193608423186291</v>
      </c>
      <c r="AB99" s="18">
        <f t="shared" si="221"/>
        <v>1.8003593973659804</v>
      </c>
      <c r="AD99" s="18">
        <f t="shared" si="222"/>
        <v>2.3304829943302074</v>
      </c>
      <c r="AE99" s="18">
        <f t="shared" si="223"/>
        <v>3.9651177999286524</v>
      </c>
      <c r="AF99" s="18">
        <f t="shared" si="224"/>
        <v>5.4119366548076586</v>
      </c>
      <c r="AH99" t="str">
        <f t="shared" si="257"/>
        <v>61 Caring personal service occupations</v>
      </c>
      <c r="AI99" s="18">
        <f t="shared" si="225"/>
        <v>1.4110475832996627</v>
      </c>
      <c r="AJ99" s="18">
        <f t="shared" si="225"/>
        <v>-4.4242526954105799</v>
      </c>
      <c r="AK99" s="18">
        <f t="shared" si="225"/>
        <v>1.2238719077993787</v>
      </c>
      <c r="AL99" s="18">
        <f t="shared" si="225"/>
        <v>0.47245194476672747</v>
      </c>
      <c r="AM99" s="18">
        <f t="shared" si="226"/>
        <v>0.39267526487321014</v>
      </c>
      <c r="AO99" s="18">
        <f t="shared" si="227"/>
        <v>0.72230342855921226</v>
      </c>
      <c r="AP99" s="18">
        <f t="shared" si="228"/>
        <v>3.2555913738690379</v>
      </c>
      <c r="AQ99" s="18">
        <f t="shared" si="229"/>
        <v>3.7256241065219964</v>
      </c>
      <c r="AS99" t="str">
        <f t="shared" si="258"/>
        <v>61 Caring personal service occupations</v>
      </c>
      <c r="AT99" s="18">
        <f t="shared" si="230"/>
        <v>3.3977287314216564</v>
      </c>
      <c r="AU99" s="18">
        <f t="shared" si="230"/>
        <v>-3.813045016354677</v>
      </c>
      <c r="AV99" s="18">
        <f t="shared" si="230"/>
        <v>1.4460711293869277</v>
      </c>
      <c r="AW99" s="18">
        <f t="shared" si="230"/>
        <v>0.72694978820295741</v>
      </c>
      <c r="AX99" s="18">
        <f t="shared" si="231"/>
        <v>0.66055551841757154</v>
      </c>
      <c r="AZ99" s="18">
        <f t="shared" si="232"/>
        <v>0.96608870564627303</v>
      </c>
      <c r="BA99" s="18">
        <f t="shared" si="233"/>
        <v>3.3561993086338671</v>
      </c>
      <c r="BB99" s="18">
        <f t="shared" si="234"/>
        <v>3.980583453471942</v>
      </c>
      <c r="BD99" t="str">
        <f t="shared" si="259"/>
        <v>61 Caring personal service occupations</v>
      </c>
      <c r="BE99" s="18">
        <f t="shared" si="235"/>
        <v>1.578063964981169</v>
      </c>
      <c r="BF99" s="18">
        <f t="shared" si="235"/>
        <v>-0.25630990553987543</v>
      </c>
      <c r="BG99" s="18">
        <f t="shared" si="235"/>
        <v>1.3666054280813578</v>
      </c>
      <c r="BH99" s="18">
        <f t="shared" si="235"/>
        <v>1.2775311848104876</v>
      </c>
      <c r="BI99" s="18">
        <f t="shared" si="236"/>
        <v>1.2087795817552927</v>
      </c>
      <c r="BK99" s="18">
        <f t="shared" si="237"/>
        <v>1.3072138988878379</v>
      </c>
      <c r="BL99" s="18">
        <f t="shared" si="238"/>
        <v>3.3079155438623609</v>
      </c>
      <c r="BM99" s="18">
        <f t="shared" si="239"/>
        <v>4.1654185979940861</v>
      </c>
      <c r="BO99" t="str">
        <f t="shared" si="260"/>
        <v>61 Caring personal service occupations</v>
      </c>
      <c r="BP99" s="18">
        <f t="shared" si="240"/>
        <v>-1.2362378467437374</v>
      </c>
      <c r="BQ99" s="18">
        <f t="shared" si="240"/>
        <v>-8.9458403691366701</v>
      </c>
      <c r="BR99" s="18">
        <f t="shared" si="240"/>
        <v>0.17887671991809739</v>
      </c>
      <c r="BS99" s="18">
        <f t="shared" si="240"/>
        <v>-1.8401708668644434</v>
      </c>
      <c r="BT99" s="18">
        <f t="shared" si="241"/>
        <v>-1.6764824197889161</v>
      </c>
      <c r="BV99" s="18">
        <f t="shared" si="242"/>
        <v>-1.1717174036812161</v>
      </c>
      <c r="BW99" s="18">
        <f t="shared" si="243"/>
        <v>2.4772957314824318</v>
      </c>
      <c r="BX99" s="18">
        <f t="shared" si="244"/>
        <v>1.6669961603486882</v>
      </c>
      <c r="BZ99" t="str">
        <f t="shared" si="261"/>
        <v>61 Caring personal service occupations</v>
      </c>
      <c r="CA99" s="18">
        <f t="shared" si="245"/>
        <v>-11.604569161392696</v>
      </c>
      <c r="CB99" s="18">
        <f t="shared" si="245"/>
        <v>-16.916882070674898</v>
      </c>
      <c r="CC99" s="18">
        <f t="shared" si="245"/>
        <v>-3.4750575450030352</v>
      </c>
      <c r="CD99" s="18">
        <f t="shared" si="245"/>
        <v>-1.5709212785911864</v>
      </c>
      <c r="CE99" s="18">
        <f t="shared" si="246"/>
        <v>-3.2008493704367758</v>
      </c>
      <c r="CG99" s="18">
        <f t="shared" si="247"/>
        <v>-2.209770821111201</v>
      </c>
      <c r="CH99" s="18">
        <f t="shared" si="248"/>
        <v>1.5716326601026287</v>
      </c>
      <c r="CI99" s="18">
        <f t="shared" si="249"/>
        <v>-0.14315857595190717</v>
      </c>
      <c r="CK99" t="str">
        <f t="shared" si="262"/>
        <v>61 Caring personal service occupations</v>
      </c>
      <c r="CL99" s="18">
        <f t="shared" si="250"/>
        <v>-4.5805663802835461</v>
      </c>
      <c r="CM99" s="18">
        <f t="shared" si="250"/>
        <v>-2.0511268463807353</v>
      </c>
      <c r="CN99" s="18">
        <f t="shared" si="250"/>
        <v>5.0087585101276533</v>
      </c>
      <c r="CO99" s="18">
        <f t="shared" si="250"/>
        <v>2.3219841596229696</v>
      </c>
      <c r="CP99" s="18">
        <f t="shared" si="251"/>
        <v>2.8729128757011058</v>
      </c>
      <c r="CR99" s="18">
        <f t="shared" si="252"/>
        <v>3.2098491727903022</v>
      </c>
      <c r="CS99" s="18">
        <f t="shared" si="253"/>
        <v>2.0124248041092585</v>
      </c>
      <c r="CT99" s="18">
        <f t="shared" si="254"/>
        <v>4.5691979062019161</v>
      </c>
    </row>
    <row r="100" spans="1:98" x14ac:dyDescent="0.2">
      <c r="A100" t="str">
        <f t="shared" si="209"/>
        <v>62 Leisure, travel and related personal service occupations</v>
      </c>
      <c r="B100" s="18">
        <f t="shared" si="210"/>
        <v>8.3826263821817015</v>
      </c>
      <c r="C100" s="18">
        <f t="shared" si="210"/>
        <v>9.7889332429968778</v>
      </c>
      <c r="D100" s="18">
        <f t="shared" si="210"/>
        <v>4.0158005006338815</v>
      </c>
      <c r="E100" s="18">
        <f t="shared" si="210"/>
        <v>3.1831449868105599</v>
      </c>
      <c r="F100" s="18">
        <f t="shared" si="211"/>
        <v>3.8446010148108334</v>
      </c>
      <c r="H100" s="18">
        <f t="shared" si="212"/>
        <v>3.4599535685776672</v>
      </c>
      <c r="I100" s="18">
        <f t="shared" si="213"/>
        <v>3.7939502608470788</v>
      </c>
      <c r="J100" s="18">
        <f t="shared" si="214"/>
        <v>6.0506981046508201</v>
      </c>
      <c r="L100" t="str">
        <f t="shared" si="255"/>
        <v>62 Leisure, travel and related personal service occupations</v>
      </c>
      <c r="M100" s="18">
        <f t="shared" si="215"/>
        <v>5.7039308034560587</v>
      </c>
      <c r="N100" s="18">
        <f t="shared" si="215"/>
        <v>-3.887221519599604</v>
      </c>
      <c r="O100" s="18">
        <f t="shared" si="215"/>
        <v>4.2931313901289903</v>
      </c>
      <c r="P100" s="18">
        <f t="shared" si="215"/>
        <v>2.8842211623653746</v>
      </c>
      <c r="Q100" s="18">
        <f t="shared" si="216"/>
        <v>2.883732897716329</v>
      </c>
      <c r="S100" s="18">
        <f t="shared" si="217"/>
        <v>3.3517303108810514</v>
      </c>
      <c r="T100" s="18">
        <f t="shared" si="218"/>
        <v>3.8299885640976861</v>
      </c>
      <c r="U100" s="18">
        <f t="shared" si="219"/>
        <v>6.0012780639629559</v>
      </c>
      <c r="W100" t="str">
        <f t="shared" si="256"/>
        <v>62 Leisure, travel and related personal service occupations</v>
      </c>
      <c r="X100" s="18">
        <f t="shared" si="220"/>
        <v>4.9152248892581962</v>
      </c>
      <c r="Y100" s="18">
        <f t="shared" si="220"/>
        <v>-8.7180137429068374</v>
      </c>
      <c r="Z100" s="18">
        <f t="shared" si="220"/>
        <v>4.2027234057152807</v>
      </c>
      <c r="AA100" s="18">
        <f t="shared" si="220"/>
        <v>3.0153603031344955</v>
      </c>
      <c r="AB100" s="18">
        <f t="shared" si="221"/>
        <v>2.6065341017995847</v>
      </c>
      <c r="AD100" s="18">
        <f t="shared" si="222"/>
        <v>3.4096370402777465</v>
      </c>
      <c r="AE100" s="18">
        <f t="shared" si="223"/>
        <v>4.0633998498227353</v>
      </c>
      <c r="AF100" s="18">
        <f t="shared" si="224"/>
        <v>6.2164539896825133</v>
      </c>
      <c r="AH100" t="str">
        <f t="shared" si="257"/>
        <v>62 Leisure, travel and related personal service occupations</v>
      </c>
      <c r="AI100" s="18">
        <f t="shared" si="225"/>
        <v>4.62053213792879</v>
      </c>
      <c r="AJ100" s="18">
        <f t="shared" si="225"/>
        <v>-7.5538037798499102</v>
      </c>
      <c r="AK100" s="18">
        <f t="shared" si="225"/>
        <v>2.1986062007988805</v>
      </c>
      <c r="AL100" s="18">
        <f t="shared" si="225"/>
        <v>2.8224177100665271</v>
      </c>
      <c r="AM100" s="18">
        <f t="shared" si="226"/>
        <v>1.9470120335409735</v>
      </c>
      <c r="AO100" s="18">
        <f t="shared" si="227"/>
        <v>2.6140586071135674</v>
      </c>
      <c r="AP100" s="18">
        <f t="shared" si="228"/>
        <v>3.7873779582804357</v>
      </c>
      <c r="AQ100" s="18">
        <f t="shared" si="229"/>
        <v>5.4579287040549929</v>
      </c>
      <c r="AS100" t="str">
        <f t="shared" si="258"/>
        <v>62 Leisure, travel and related personal service occupations</v>
      </c>
      <c r="AT100" s="18">
        <f t="shared" si="230"/>
        <v>5.4420103159785738</v>
      </c>
      <c r="AU100" s="18">
        <f t="shared" si="230"/>
        <v>-1.073951305310139</v>
      </c>
      <c r="AV100" s="18">
        <f t="shared" si="230"/>
        <v>2.9890900863592362</v>
      </c>
      <c r="AW100" s="18">
        <f t="shared" si="230"/>
        <v>3.3592407351493714</v>
      </c>
      <c r="AX100" s="18">
        <f t="shared" si="231"/>
        <v>2.9609383749078066</v>
      </c>
      <c r="AZ100" s="18">
        <f t="shared" si="232"/>
        <v>3.2357096045454226</v>
      </c>
      <c r="BA100" s="18">
        <f t="shared" si="233"/>
        <v>4.0192434659609422</v>
      </c>
      <c r="BB100" s="18">
        <f t="shared" si="234"/>
        <v>6.0637254931435347</v>
      </c>
      <c r="BD100" t="str">
        <f t="shared" si="259"/>
        <v>62 Leisure, travel and related personal service occupations</v>
      </c>
      <c r="BE100" s="18">
        <f t="shared" si="235"/>
        <v>-1.9455845056120413</v>
      </c>
      <c r="BF100" s="18">
        <f t="shared" si="235"/>
        <v>-1.4188145530560803</v>
      </c>
      <c r="BG100" s="18">
        <f t="shared" si="235"/>
        <v>-1.4187349957288653</v>
      </c>
      <c r="BH100" s="18">
        <f t="shared" si="235"/>
        <v>-1.0542417958468442</v>
      </c>
      <c r="BI100" s="18">
        <f t="shared" si="236"/>
        <v>-1.1910893929815813</v>
      </c>
      <c r="BK100" s="18">
        <f t="shared" si="237"/>
        <v>-1.1758890250286091</v>
      </c>
      <c r="BL100" s="18">
        <f t="shared" si="238"/>
        <v>2.3781921069493173</v>
      </c>
      <c r="BM100" s="18">
        <f t="shared" si="239"/>
        <v>1.553298272615522</v>
      </c>
      <c r="BO100" t="str">
        <f t="shared" si="260"/>
        <v>62 Leisure, travel and related personal service occupations</v>
      </c>
      <c r="BP100" s="18">
        <f t="shared" si="240"/>
        <v>-2.383719457368183</v>
      </c>
      <c r="BQ100" s="18">
        <f t="shared" si="240"/>
        <v>-8.7596713465371234</v>
      </c>
      <c r="BR100" s="18">
        <f t="shared" si="240"/>
        <v>-1.9771581277431283</v>
      </c>
      <c r="BS100" s="18">
        <f t="shared" si="240"/>
        <v>-2.1359843432138925</v>
      </c>
      <c r="BT100" s="18">
        <f t="shared" si="241"/>
        <v>-2.5143143383244193</v>
      </c>
      <c r="BV100" s="18">
        <f t="shared" si="242"/>
        <v>-2.0830708859790881</v>
      </c>
      <c r="BW100" s="18">
        <f t="shared" si="243"/>
        <v>2.1931584729685927</v>
      </c>
      <c r="BX100" s="18">
        <f t="shared" si="244"/>
        <v>0.72136609137858354</v>
      </c>
      <c r="BZ100" t="str">
        <f t="shared" si="261"/>
        <v>62 Leisure, travel and related personal service occupations</v>
      </c>
      <c r="CA100" s="18">
        <f t="shared" si="245"/>
        <v>5.0256926602654239E-2</v>
      </c>
      <c r="CB100" s="18">
        <f t="shared" si="245"/>
        <v>-17.984606928072068</v>
      </c>
      <c r="CC100" s="18">
        <f t="shared" si="245"/>
        <v>2.8056043018342969E-2</v>
      </c>
      <c r="CD100" s="18">
        <f t="shared" si="245"/>
        <v>-2.9684761219691436</v>
      </c>
      <c r="CE100" s="18">
        <f t="shared" si="246"/>
        <v>-3.0657923548760624</v>
      </c>
      <c r="CG100" s="18">
        <f t="shared" si="247"/>
        <v>-1.9797413280437715</v>
      </c>
      <c r="CH100" s="18">
        <f t="shared" si="248"/>
        <v>2.1800947211504829</v>
      </c>
      <c r="CI100" s="18">
        <f t="shared" si="249"/>
        <v>0.77527625778432974</v>
      </c>
      <c r="CK100" t="str">
        <f t="shared" si="262"/>
        <v>62 Leisure, travel and related personal service occupations</v>
      </c>
      <c r="CL100" s="18">
        <f t="shared" si="250"/>
        <v>0.10390029738509554</v>
      </c>
      <c r="CM100" s="18">
        <f t="shared" si="250"/>
        <v>-15.706792228357658</v>
      </c>
      <c r="CN100" s="18">
        <f t="shared" si="250"/>
        <v>-2.4566607751377756</v>
      </c>
      <c r="CO100" s="18">
        <f t="shared" si="250"/>
        <v>-0.14780206201342461</v>
      </c>
      <c r="CP100" s="18">
        <f t="shared" si="251"/>
        <v>-1.9190168939483221</v>
      </c>
      <c r="CR100" s="18">
        <f t="shared" si="252"/>
        <v>-0.92343093951841038</v>
      </c>
      <c r="CS100" s="18">
        <f t="shared" si="253"/>
        <v>1.5568820327689137</v>
      </c>
      <c r="CT100" s="18">
        <f t="shared" si="254"/>
        <v>0.82330644386050533</v>
      </c>
    </row>
    <row r="101" spans="1:98" x14ac:dyDescent="0.2">
      <c r="A101" t="str">
        <f t="shared" si="209"/>
        <v>63 Community and civil enforcement occupations</v>
      </c>
      <c r="B101" s="18">
        <f t="shared" si="210"/>
        <v>-1.6429046684870885</v>
      </c>
      <c r="C101" s="18">
        <f t="shared" si="210"/>
        <v>20.82361814416933</v>
      </c>
      <c r="D101" s="18">
        <f t="shared" si="210"/>
        <v>0.92135355795466278</v>
      </c>
      <c r="E101" s="18">
        <f t="shared" si="210"/>
        <v>3.4903668932684484</v>
      </c>
      <c r="F101" s="18">
        <f t="shared" si="211"/>
        <v>3.679203528797359</v>
      </c>
      <c r="H101" s="18">
        <f t="shared" si="212"/>
        <v>2.6268439247604469</v>
      </c>
      <c r="I101" s="18">
        <f t="shared" si="213"/>
        <v>3.3970233957499874</v>
      </c>
      <c r="J101" s="18">
        <f t="shared" si="214"/>
        <v>5.1566328776257997</v>
      </c>
      <c r="L101" t="str">
        <f t="shared" si="255"/>
        <v>63 Community and civil enforcement occupations</v>
      </c>
      <c r="M101" s="18">
        <f t="shared" si="215"/>
        <v>-1.8759854271772625</v>
      </c>
      <c r="N101" s="18">
        <f t="shared" si="215"/>
        <v>47.883155499985541</v>
      </c>
      <c r="O101" s="18">
        <f t="shared" si="215"/>
        <v>-2.4260896470236215</v>
      </c>
      <c r="P101" s="18">
        <f t="shared" si="215"/>
        <v>3.5363055487479533</v>
      </c>
      <c r="Q101" s="18">
        <f t="shared" si="216"/>
        <v>3.9249008358887449</v>
      </c>
      <c r="S101" s="18">
        <f t="shared" si="217"/>
        <v>1.5094199474761982</v>
      </c>
      <c r="T101" s="18">
        <f t="shared" si="218"/>
        <v>2.9307455243439362</v>
      </c>
      <c r="U101" s="18">
        <f t="shared" si="219"/>
        <v>3.9743863280850444</v>
      </c>
      <c r="W101" t="str">
        <f t="shared" si="256"/>
        <v>63 Community and civil enforcement occupations</v>
      </c>
      <c r="X101" s="18">
        <f t="shared" si="220"/>
        <v>0.21133738888250431</v>
      </c>
      <c r="Y101" s="18">
        <f t="shared" si="220"/>
        <v>10.133540219946656</v>
      </c>
      <c r="Z101" s="18">
        <f t="shared" si="220"/>
        <v>1.2403563190993117</v>
      </c>
      <c r="AA101" s="18">
        <f t="shared" si="220"/>
        <v>1.8969472200476289</v>
      </c>
      <c r="AB101" s="18">
        <f t="shared" si="221"/>
        <v>2.1865480132564619</v>
      </c>
      <c r="AD101" s="18">
        <f t="shared" si="222"/>
        <v>1.677611800838652</v>
      </c>
      <c r="AE101" s="18">
        <f t="shared" si="223"/>
        <v>3.6338075538457693</v>
      </c>
      <c r="AF101" s="18">
        <f t="shared" si="224"/>
        <v>4.6999841108430251</v>
      </c>
      <c r="AH101" t="str">
        <f t="shared" si="257"/>
        <v>63 Community and civil enforcement occupations</v>
      </c>
      <c r="AI101" s="18">
        <f t="shared" si="225"/>
        <v>-1.8934372691449042</v>
      </c>
      <c r="AJ101" s="18">
        <f t="shared" si="225"/>
        <v>29.948918085490739</v>
      </c>
      <c r="AK101" s="18">
        <f t="shared" si="225"/>
        <v>-3.5170987335358728</v>
      </c>
      <c r="AL101" s="18">
        <f t="shared" si="225"/>
        <v>1.6353545295502592</v>
      </c>
      <c r="AM101" s="18">
        <f t="shared" si="226"/>
        <v>1.5440618353183666</v>
      </c>
      <c r="AO101" s="18">
        <f t="shared" si="227"/>
        <v>-0.11199889214525971</v>
      </c>
      <c r="AP101" s="18">
        <f t="shared" si="228"/>
        <v>2.87490087872595</v>
      </c>
      <c r="AQ101" s="18">
        <f t="shared" si="229"/>
        <v>2.799790787847467</v>
      </c>
      <c r="AS101" t="str">
        <f t="shared" si="258"/>
        <v>63 Community and civil enforcement occupations</v>
      </c>
      <c r="AT101" s="18">
        <f t="shared" si="230"/>
        <v>-4.2066577271329786</v>
      </c>
      <c r="AU101" s="18">
        <f t="shared" si="230"/>
        <v>25.857688526428447</v>
      </c>
      <c r="AV101" s="18">
        <f t="shared" si="230"/>
        <v>-4.6784284860673093</v>
      </c>
      <c r="AW101" s="18">
        <f t="shared" si="230"/>
        <v>0.61764106518669148</v>
      </c>
      <c r="AX101" s="18">
        <f t="shared" si="231"/>
        <v>0.32543802015572165</v>
      </c>
      <c r="AZ101" s="18">
        <f t="shared" si="232"/>
        <v>-1.1796277725050985</v>
      </c>
      <c r="BA101" s="18">
        <f t="shared" si="233"/>
        <v>2.6609662351341434</v>
      </c>
      <c r="BB101" s="18">
        <f t="shared" si="234"/>
        <v>1.8667631448017863</v>
      </c>
      <c r="BD101" t="str">
        <f t="shared" si="259"/>
        <v>63 Community and civil enforcement occupations</v>
      </c>
      <c r="BE101" s="18">
        <f t="shared" si="235"/>
        <v>-11.302084615160712</v>
      </c>
      <c r="BF101" s="18">
        <f t="shared" si="235"/>
        <v>51.707950835301752</v>
      </c>
      <c r="BG101" s="18">
        <f t="shared" si="235"/>
        <v>-8.3881244303338534</v>
      </c>
      <c r="BH101" s="18">
        <f t="shared" si="235"/>
        <v>0.4602909015810619</v>
      </c>
      <c r="BI101" s="18">
        <f t="shared" si="236"/>
        <v>0.15427016821125683</v>
      </c>
      <c r="BK101" s="18">
        <f t="shared" si="237"/>
        <v>-2.5802795259843192</v>
      </c>
      <c r="BL101" s="18">
        <f t="shared" si="238"/>
        <v>1.5406169148594717</v>
      </c>
      <c r="BM101" s="18">
        <f t="shared" si="239"/>
        <v>-0.45857365623213076</v>
      </c>
      <c r="BO101" t="str">
        <f t="shared" si="260"/>
        <v>63 Community and civil enforcement occupations</v>
      </c>
      <c r="BP101" s="18">
        <f t="shared" si="240"/>
        <v>-4.8299893005410155</v>
      </c>
      <c r="BQ101" s="18">
        <f t="shared" si="240"/>
        <v>20.746232951177145</v>
      </c>
      <c r="BR101" s="18">
        <f t="shared" si="240"/>
        <v>-5.848252636341611</v>
      </c>
      <c r="BS101" s="18">
        <f t="shared" si="240"/>
        <v>-0.54867885545903938</v>
      </c>
      <c r="BT101" s="18">
        <f t="shared" si="241"/>
        <v>-1.0433310966353915</v>
      </c>
      <c r="BV101" s="18">
        <f t="shared" si="242"/>
        <v>-2.3475449906604551</v>
      </c>
      <c r="BW101" s="18">
        <f t="shared" si="243"/>
        <v>1.8072670417450309</v>
      </c>
      <c r="BX101" s="18">
        <f t="shared" si="244"/>
        <v>5.6202683189021663E-2</v>
      </c>
      <c r="BZ101" t="str">
        <f t="shared" si="261"/>
        <v>63 Community and civil enforcement occupations</v>
      </c>
      <c r="CA101" s="18">
        <f t="shared" si="245"/>
        <v>-6.229601661068318</v>
      </c>
      <c r="CB101" s="18">
        <f t="shared" si="245"/>
        <v>20.149281488022574</v>
      </c>
      <c r="CC101" s="18">
        <f t="shared" si="245"/>
        <v>-4.059389094422416</v>
      </c>
      <c r="CD101" s="18">
        <f t="shared" si="245"/>
        <v>-1.6945373255243923</v>
      </c>
      <c r="CE101" s="18">
        <f t="shared" si="246"/>
        <v>-1.2085452448563405</v>
      </c>
      <c r="CG101" s="18">
        <f t="shared" si="247"/>
        <v>-2.4892281328330212</v>
      </c>
      <c r="CH101" s="18">
        <f t="shared" si="248"/>
        <v>1.8234936975169314</v>
      </c>
      <c r="CI101" s="18">
        <f t="shared" si="249"/>
        <v>-2.3311134431969194E-2</v>
      </c>
      <c r="CK101" t="str">
        <f t="shared" si="262"/>
        <v>63 Community and civil enforcement occupations</v>
      </c>
      <c r="CL101" s="18">
        <f t="shared" si="250"/>
        <v>-7.8144243139822933</v>
      </c>
      <c r="CM101" s="18">
        <f t="shared" si="250"/>
        <v>35.172340497574069</v>
      </c>
      <c r="CN101" s="18">
        <f t="shared" si="250"/>
        <v>-10.412541161238909</v>
      </c>
      <c r="CO101" s="18">
        <f t="shared" si="250"/>
        <v>-1.8285052177186678</v>
      </c>
      <c r="CP101" s="18">
        <f t="shared" si="251"/>
        <v>-2.6695743783989423</v>
      </c>
      <c r="CR101" s="18">
        <f t="shared" si="252"/>
        <v>-4.7775520946965022</v>
      </c>
      <c r="CS101" s="18">
        <f t="shared" si="253"/>
        <v>0.87728947462768492</v>
      </c>
      <c r="CT101" s="18">
        <f t="shared" si="254"/>
        <v>-3.1385016313525305</v>
      </c>
    </row>
    <row r="102" spans="1:98" x14ac:dyDescent="0.2">
      <c r="A102" t="str">
        <f t="shared" si="209"/>
        <v>71 Sales occupations</v>
      </c>
      <c r="B102" s="18">
        <f t="shared" si="210"/>
        <v>3.0940145478143499</v>
      </c>
      <c r="C102" s="18">
        <f t="shared" si="210"/>
        <v>-7.40336907254534</v>
      </c>
      <c r="D102" s="18">
        <f t="shared" si="210"/>
        <v>1.9483908340577338</v>
      </c>
      <c r="E102" s="18">
        <f t="shared" si="210"/>
        <v>2.3863906552163749</v>
      </c>
      <c r="F102" s="18">
        <f t="shared" si="211"/>
        <v>1.6090666860519853</v>
      </c>
      <c r="H102" s="18">
        <f t="shared" si="212"/>
        <v>2.2401820270610662</v>
      </c>
      <c r="I102" s="18">
        <f t="shared" si="213"/>
        <v>3.0314460338063398</v>
      </c>
      <c r="J102" s="18">
        <f t="shared" si="214"/>
        <v>4.5860142001327153</v>
      </c>
      <c r="L102" t="str">
        <f t="shared" si="255"/>
        <v>71 Sales occupations</v>
      </c>
      <c r="M102" s="18">
        <f t="shared" si="215"/>
        <v>4.0734272181120579</v>
      </c>
      <c r="N102" s="18">
        <f t="shared" si="215"/>
        <v>9.7809402604710947</v>
      </c>
      <c r="O102" s="18">
        <f t="shared" si="215"/>
        <v>2.4910838464037743</v>
      </c>
      <c r="P102" s="18">
        <f t="shared" si="215"/>
        <v>3.3275467337537501</v>
      </c>
      <c r="Q102" s="18">
        <f t="shared" si="216"/>
        <v>3.456411380182578</v>
      </c>
      <c r="S102" s="18">
        <f t="shared" si="217"/>
        <v>3.0479699935861415</v>
      </c>
      <c r="T102" s="18">
        <f t="shared" si="218"/>
        <v>3.2218084246266265</v>
      </c>
      <c r="U102" s="18">
        <f t="shared" si="219"/>
        <v>5.326213268448643</v>
      </c>
      <c r="W102" t="str">
        <f t="shared" si="256"/>
        <v>71 Sales occupations</v>
      </c>
      <c r="X102" s="18">
        <f t="shared" si="220"/>
        <v>2.3374907190895522</v>
      </c>
      <c r="Y102" s="18">
        <f t="shared" si="220"/>
        <v>2.7746654180338837</v>
      </c>
      <c r="Z102" s="18">
        <f t="shared" si="220"/>
        <v>1.1083395545316455</v>
      </c>
      <c r="AA102" s="18">
        <f t="shared" si="220"/>
        <v>2.2434753839581489</v>
      </c>
      <c r="AB102" s="18">
        <f t="shared" si="221"/>
        <v>1.9203865751852511</v>
      </c>
      <c r="AD102" s="18">
        <f t="shared" si="222"/>
        <v>1.8636877842167721</v>
      </c>
      <c r="AE102" s="18">
        <f t="shared" si="223"/>
        <v>3.1818403628317338</v>
      </c>
      <c r="AF102" s="18">
        <f t="shared" si="224"/>
        <v>4.4407149444575023</v>
      </c>
      <c r="AH102" t="str">
        <f t="shared" si="257"/>
        <v>71 Sales occupations</v>
      </c>
      <c r="AI102" s="18">
        <f t="shared" si="225"/>
        <v>0.30964650890406009</v>
      </c>
      <c r="AJ102" s="18">
        <f t="shared" si="225"/>
        <v>3.6218672555679676</v>
      </c>
      <c r="AK102" s="18">
        <f t="shared" si="225"/>
        <v>-0.12286311365362623</v>
      </c>
      <c r="AL102" s="18">
        <f t="shared" si="225"/>
        <v>1.5880501238276779</v>
      </c>
      <c r="AM102" s="18">
        <f t="shared" si="226"/>
        <v>1.1755339520906238</v>
      </c>
      <c r="AO102" s="18">
        <f t="shared" si="227"/>
        <v>1.0145137870187781</v>
      </c>
      <c r="AP102" s="18">
        <f t="shared" si="228"/>
        <v>2.9621872268419613</v>
      </c>
      <c r="AQ102" s="18">
        <f t="shared" si="229"/>
        <v>3.652997374962097</v>
      </c>
      <c r="AS102" t="str">
        <f t="shared" si="258"/>
        <v>71 Sales occupations</v>
      </c>
      <c r="AT102" s="18">
        <f t="shared" si="230"/>
        <v>-8.5438192352771392E-2</v>
      </c>
      <c r="AU102" s="18">
        <f t="shared" si="230"/>
        <v>1.899093810164354</v>
      </c>
      <c r="AV102" s="18">
        <f t="shared" si="230"/>
        <v>-0.76146714231415391</v>
      </c>
      <c r="AW102" s="18">
        <f t="shared" si="230"/>
        <v>1.5289267837982567</v>
      </c>
      <c r="AX102" s="18">
        <f t="shared" si="231"/>
        <v>0.83048867173542984</v>
      </c>
      <c r="AZ102" s="18">
        <f t="shared" si="232"/>
        <v>0.75964808378696791</v>
      </c>
      <c r="BA102" s="18">
        <f t="shared" si="233"/>
        <v>2.5498486869032888</v>
      </c>
      <c r="BB102" s="18">
        <f t="shared" si="234"/>
        <v>3.0925995464151645</v>
      </c>
      <c r="BD102" t="str">
        <f t="shared" si="259"/>
        <v>71 Sales occupations</v>
      </c>
      <c r="BE102" s="18">
        <f t="shared" si="235"/>
        <v>-1.3399143401407798</v>
      </c>
      <c r="BF102" s="18">
        <f t="shared" si="235"/>
        <v>9.7342400094961654</v>
      </c>
      <c r="BG102" s="18">
        <f t="shared" si="235"/>
        <v>-1.3503852039792097</v>
      </c>
      <c r="BH102" s="18">
        <f t="shared" si="235"/>
        <v>0.32121831004690016</v>
      </c>
      <c r="BI102" s="18">
        <f t="shared" si="236"/>
        <v>0.3567744043038612</v>
      </c>
      <c r="BK102" s="18">
        <f t="shared" si="237"/>
        <v>-0.23910662221391377</v>
      </c>
      <c r="BL102" s="18">
        <f t="shared" si="238"/>
        <v>2.3581138268008672</v>
      </c>
      <c r="BM102" s="18">
        <f t="shared" si="239"/>
        <v>2.1864348699856428</v>
      </c>
      <c r="BO102" t="str">
        <f t="shared" si="260"/>
        <v>71 Sales occupations</v>
      </c>
      <c r="BP102" s="18">
        <f t="shared" si="240"/>
        <v>-2.5958031135171034</v>
      </c>
      <c r="BQ102" s="18">
        <f t="shared" si="240"/>
        <v>-4.3573288264046939</v>
      </c>
      <c r="BR102" s="18">
        <f t="shared" si="240"/>
        <v>-2.6854906408150025</v>
      </c>
      <c r="BS102" s="18">
        <f t="shared" si="240"/>
        <v>-2.4276902179857895</v>
      </c>
      <c r="BT102" s="18">
        <f t="shared" si="241"/>
        <v>-2.6299604405403243</v>
      </c>
      <c r="BV102" s="18">
        <f t="shared" si="242"/>
        <v>-2.5136994865182505</v>
      </c>
      <c r="BW102" s="18">
        <f t="shared" si="243"/>
        <v>2.0121206968829464</v>
      </c>
      <c r="BX102" s="18">
        <f t="shared" si="244"/>
        <v>0.20276161192871456</v>
      </c>
      <c r="BZ102" t="str">
        <f t="shared" si="261"/>
        <v>71 Sales occupations</v>
      </c>
      <c r="CA102" s="18">
        <f t="shared" si="245"/>
        <v>-1.8666928482734324</v>
      </c>
      <c r="CB102" s="18">
        <f t="shared" si="245"/>
        <v>-12.2036876715798</v>
      </c>
      <c r="CC102" s="18">
        <f t="shared" si="245"/>
        <v>-3.9570029945976026</v>
      </c>
      <c r="CD102" s="18">
        <f t="shared" si="245"/>
        <v>-8.5395921185671515</v>
      </c>
      <c r="CE102" s="18">
        <f t="shared" si="246"/>
        <v>-7.368540203727159</v>
      </c>
      <c r="CG102" s="18">
        <f t="shared" si="247"/>
        <v>-7.0368872399376503</v>
      </c>
      <c r="CH102" s="18">
        <f t="shared" si="248"/>
        <v>1.3613029341736471</v>
      </c>
      <c r="CI102" s="18">
        <f t="shared" si="249"/>
        <v>-3.7968250805601844</v>
      </c>
      <c r="CK102" t="str">
        <f t="shared" si="262"/>
        <v>71 Sales occupations</v>
      </c>
      <c r="CL102" s="18">
        <f t="shared" si="250"/>
        <v>-0.75245474420575498</v>
      </c>
      <c r="CM102" s="18">
        <f t="shared" si="250"/>
        <v>-10.792861671898901</v>
      </c>
      <c r="CN102" s="18">
        <f t="shared" si="250"/>
        <v>-2.6515995001203052</v>
      </c>
      <c r="CO102" s="18">
        <f t="shared" si="250"/>
        <v>-2.1238291309359392</v>
      </c>
      <c r="CP102" s="18">
        <f t="shared" si="251"/>
        <v>-2.8537952903355701</v>
      </c>
      <c r="CR102" s="18">
        <f t="shared" si="252"/>
        <v>-2.3000697443093521</v>
      </c>
      <c r="CS102" s="18">
        <f t="shared" si="253"/>
        <v>1.2302269750247286</v>
      </c>
      <c r="CT102" s="18">
        <f t="shared" si="254"/>
        <v>-0.65105337441014877</v>
      </c>
    </row>
    <row r="103" spans="1:98" x14ac:dyDescent="0.2">
      <c r="A103" t="str">
        <f t="shared" si="209"/>
        <v>72 Customer service occupations</v>
      </c>
      <c r="B103" s="18">
        <f t="shared" si="210"/>
        <v>3.6499953646702554</v>
      </c>
      <c r="C103" s="18">
        <f t="shared" si="210"/>
        <v>15.841773075100685</v>
      </c>
      <c r="D103" s="18">
        <f t="shared" si="210"/>
        <v>8.2371752468781914</v>
      </c>
      <c r="E103" s="18">
        <f t="shared" si="210"/>
        <v>3.3031850870884227</v>
      </c>
      <c r="F103" s="18">
        <f t="shared" si="211"/>
        <v>5.5735888927422872</v>
      </c>
      <c r="H103" s="18">
        <f t="shared" si="212"/>
        <v>4.9223376239849292</v>
      </c>
      <c r="I103" s="18">
        <f t="shared" si="213"/>
        <v>3.7838107233677087</v>
      </c>
      <c r="J103" s="18">
        <f t="shared" si="214"/>
        <v>7.1092232537477429</v>
      </c>
      <c r="L103" t="str">
        <f t="shared" si="255"/>
        <v>72 Customer service occupations</v>
      </c>
      <c r="M103" s="18">
        <f t="shared" si="215"/>
        <v>5.7512685881242032</v>
      </c>
      <c r="N103" s="18">
        <f t="shared" si="215"/>
        <v>5.5090163485665977</v>
      </c>
      <c r="O103" s="18">
        <f t="shared" si="215"/>
        <v>8.4947944756114566</v>
      </c>
      <c r="P103" s="18">
        <f t="shared" si="215"/>
        <v>3.3745369105395939</v>
      </c>
      <c r="Q103" s="18">
        <f t="shared" si="216"/>
        <v>5.0822506060679062</v>
      </c>
      <c r="S103" s="18">
        <f t="shared" si="217"/>
        <v>5.0538610097299319</v>
      </c>
      <c r="T103" s="18">
        <f t="shared" si="218"/>
        <v>4.0108908077705729</v>
      </c>
      <c r="U103" s="18">
        <f t="shared" si="219"/>
        <v>7.3529825177929498</v>
      </c>
      <c r="W103" t="str">
        <f t="shared" si="256"/>
        <v>72 Customer service occupations</v>
      </c>
      <c r="X103" s="18">
        <f t="shared" si="220"/>
        <v>2.8143385321391712</v>
      </c>
      <c r="Y103" s="18">
        <f t="shared" si="220"/>
        <v>2.9065318162964759</v>
      </c>
      <c r="Z103" s="18">
        <f t="shared" si="220"/>
        <v>6.2732833938352384</v>
      </c>
      <c r="AA103" s="18">
        <f t="shared" si="220"/>
        <v>2.7191481520111749</v>
      </c>
      <c r="AB103" s="18">
        <f t="shared" si="221"/>
        <v>3.8286830231464286</v>
      </c>
      <c r="AD103" s="18">
        <f t="shared" si="222"/>
        <v>3.8904527661964394</v>
      </c>
      <c r="AE103" s="18">
        <f t="shared" si="223"/>
        <v>3.757666108061275</v>
      </c>
      <c r="AF103" s="18">
        <f t="shared" si="224"/>
        <v>6.3321610713723109</v>
      </c>
      <c r="AH103" t="str">
        <f t="shared" si="257"/>
        <v>72 Customer service occupations</v>
      </c>
      <c r="AI103" s="18">
        <f t="shared" si="225"/>
        <v>4.4619484756063477</v>
      </c>
      <c r="AJ103" s="18">
        <f t="shared" si="225"/>
        <v>10.570738085670017</v>
      </c>
      <c r="AK103" s="18">
        <f t="shared" si="225"/>
        <v>6.2784058714545843</v>
      </c>
      <c r="AL103" s="18">
        <f t="shared" si="225"/>
        <v>2.3896458186909664</v>
      </c>
      <c r="AM103" s="18">
        <f t="shared" si="226"/>
        <v>4.0882269658294224</v>
      </c>
      <c r="AO103" s="18">
        <f t="shared" si="227"/>
        <v>3.6698263296928602</v>
      </c>
      <c r="AP103" s="18">
        <f t="shared" si="228"/>
        <v>3.9397306100314999</v>
      </c>
      <c r="AQ103" s="18">
        <f t="shared" si="229"/>
        <v>6.3058724618180184</v>
      </c>
      <c r="AS103" t="str">
        <f t="shared" si="258"/>
        <v>72 Customer service occupations</v>
      </c>
      <c r="AT103" s="18">
        <f t="shared" si="230"/>
        <v>2.5593075638114193</v>
      </c>
      <c r="AU103" s="18">
        <f t="shared" si="230"/>
        <v>2.772153272852651</v>
      </c>
      <c r="AV103" s="18">
        <f t="shared" si="230"/>
        <v>4.9759331123224948</v>
      </c>
      <c r="AW103" s="18">
        <f t="shared" si="230"/>
        <v>1.5893657559553853</v>
      </c>
      <c r="AX103" s="18">
        <f t="shared" si="231"/>
        <v>2.7100442884222531</v>
      </c>
      <c r="AZ103" s="18">
        <f t="shared" si="232"/>
        <v>2.7059050242796978</v>
      </c>
      <c r="BA103" s="18">
        <f t="shared" si="233"/>
        <v>3.4405773481047452</v>
      </c>
      <c r="BB103" s="18">
        <f t="shared" si="234"/>
        <v>5.2471029299766991</v>
      </c>
      <c r="BD103" t="str">
        <f t="shared" si="259"/>
        <v>72 Customer service occupations</v>
      </c>
      <c r="BE103" s="18">
        <f t="shared" si="235"/>
        <v>-1.2165250656870019</v>
      </c>
      <c r="BF103" s="18">
        <f t="shared" si="235"/>
        <v>7.4730840818577837</v>
      </c>
      <c r="BG103" s="18">
        <f t="shared" si="235"/>
        <v>3.4423095061646647</v>
      </c>
      <c r="BH103" s="18">
        <f t="shared" si="235"/>
        <v>0.89854935838147298</v>
      </c>
      <c r="BI103" s="18">
        <f t="shared" si="236"/>
        <v>2.0886588598477029</v>
      </c>
      <c r="BK103" s="18">
        <f t="shared" si="237"/>
        <v>1.7394419070791312</v>
      </c>
      <c r="BL103" s="18">
        <f t="shared" si="238"/>
        <v>2.9289673556399221</v>
      </c>
      <c r="BM103" s="18">
        <f t="shared" si="239"/>
        <v>4.1380553381616947</v>
      </c>
      <c r="BO103" t="str">
        <f t="shared" si="260"/>
        <v>72 Customer service occupations</v>
      </c>
      <c r="BP103" s="18">
        <f t="shared" si="240"/>
        <v>-0.64154627364856331</v>
      </c>
      <c r="BQ103" s="18">
        <f t="shared" si="240"/>
        <v>-2.1363936910127501</v>
      </c>
      <c r="BR103" s="18">
        <f t="shared" si="240"/>
        <v>4.0669870005615394</v>
      </c>
      <c r="BS103" s="18">
        <f t="shared" si="240"/>
        <v>-0.51426882044854905</v>
      </c>
      <c r="BT103" s="18">
        <f t="shared" si="241"/>
        <v>0.79166746703924762</v>
      </c>
      <c r="BV103" s="18">
        <f t="shared" si="242"/>
        <v>0.98995787890781006</v>
      </c>
      <c r="BW103" s="18">
        <f t="shared" si="243"/>
        <v>2.8855949616083398</v>
      </c>
      <c r="BX103" s="18">
        <f t="shared" si="244"/>
        <v>3.5660168770325074</v>
      </c>
      <c r="BZ103" t="str">
        <f t="shared" si="261"/>
        <v>72 Customer service occupations</v>
      </c>
      <c r="CA103" s="18">
        <f t="shared" si="245"/>
        <v>-2.3725714128673636</v>
      </c>
      <c r="CB103" s="18">
        <f t="shared" si="245"/>
        <v>-8.771960802831769</v>
      </c>
      <c r="CC103" s="18">
        <f t="shared" si="245"/>
        <v>2.6938007460484137</v>
      </c>
      <c r="CD103" s="18">
        <f t="shared" si="245"/>
        <v>-1.3220207056215516</v>
      </c>
      <c r="CE103" s="18">
        <f t="shared" si="246"/>
        <v>-0.573249219435501</v>
      </c>
      <c r="CG103" s="18">
        <f t="shared" si="247"/>
        <v>-1.1725734165191071E-3</v>
      </c>
      <c r="CH103" s="18">
        <f t="shared" si="248"/>
        <v>2.056453273582326</v>
      </c>
      <c r="CI103" s="18">
        <f t="shared" si="249"/>
        <v>2.0555714858258911</v>
      </c>
      <c r="CK103" t="str">
        <f t="shared" si="262"/>
        <v>72 Customer service occupations</v>
      </c>
      <c r="CL103" s="18">
        <f t="shared" si="250"/>
        <v>7.4821757760219931</v>
      </c>
      <c r="CM103" s="18">
        <f t="shared" si="250"/>
        <v>-0.23527708764640165</v>
      </c>
      <c r="CN103" s="18">
        <f t="shared" si="250"/>
        <v>10.837564746495953</v>
      </c>
      <c r="CO103" s="18">
        <f t="shared" si="250"/>
        <v>3.0788894057243166</v>
      </c>
      <c r="CP103" s="18">
        <f t="shared" si="251"/>
        <v>5.2281230524120481</v>
      </c>
      <c r="CR103" s="18">
        <f t="shared" si="252"/>
        <v>5.6028110494946493</v>
      </c>
      <c r="CS103" s="18">
        <f t="shared" si="253"/>
        <v>2.8062932423525977</v>
      </c>
      <c r="CT103" s="18">
        <f t="shared" si="254"/>
        <v>7.0538294086639475</v>
      </c>
    </row>
    <row r="104" spans="1:98" x14ac:dyDescent="0.2">
      <c r="A104" t="str">
        <f t="shared" si="209"/>
        <v>81 Process, plant and machine operatives</v>
      </c>
      <c r="B104" s="18">
        <f t="shared" si="210"/>
        <v>6.3974446125699691</v>
      </c>
      <c r="C104" s="18">
        <f t="shared" si="210"/>
        <v>-5.5001166234202152</v>
      </c>
      <c r="D104" s="18">
        <f t="shared" si="210"/>
        <v>7.8018230510938924</v>
      </c>
      <c r="E104" s="18">
        <f t="shared" si="210"/>
        <v>4.6395905248544755</v>
      </c>
      <c r="F104" s="18">
        <f t="shared" si="211"/>
        <v>4.9470250645006653</v>
      </c>
      <c r="H104" s="18">
        <f t="shared" si="212"/>
        <v>5.6832246331815162</v>
      </c>
      <c r="I104" s="18">
        <f t="shared" si="213"/>
        <v>4.1874663815184787</v>
      </c>
      <c r="J104" s="18">
        <f t="shared" si="214"/>
        <v>7.9303119422069246</v>
      </c>
      <c r="L104" t="str">
        <f t="shared" si="255"/>
        <v>81 Process, plant and machine operatives</v>
      </c>
      <c r="M104" s="18">
        <f t="shared" si="215"/>
        <v>5.6399167231796277</v>
      </c>
      <c r="N104" s="18">
        <f t="shared" si="215"/>
        <v>0.27521206846001789</v>
      </c>
      <c r="O104" s="18">
        <f t="shared" si="215"/>
        <v>8.87603965826791</v>
      </c>
      <c r="P104" s="18">
        <f t="shared" si="215"/>
        <v>4.8160366329391691</v>
      </c>
      <c r="Q104" s="18">
        <f t="shared" si="216"/>
        <v>5.7750602708143806</v>
      </c>
      <c r="S104" s="18">
        <f t="shared" si="217"/>
        <v>6.1522639472341378</v>
      </c>
      <c r="T104" s="18">
        <f t="shared" si="218"/>
        <v>4.0875903742779052</v>
      </c>
      <c r="U104" s="18">
        <f t="shared" si="219"/>
        <v>8.2245380611334795</v>
      </c>
      <c r="W104" t="str">
        <f t="shared" si="256"/>
        <v>81 Process, plant and machine operatives</v>
      </c>
      <c r="X104" s="18">
        <f t="shared" si="220"/>
        <v>0.844852441729671</v>
      </c>
      <c r="Y104" s="18">
        <f t="shared" si="220"/>
        <v>-7.1128994616947772</v>
      </c>
      <c r="Z104" s="18">
        <f t="shared" si="220"/>
        <v>8.8904409463596892</v>
      </c>
      <c r="AA104" s="18">
        <f t="shared" si="220"/>
        <v>4.3307409027312671</v>
      </c>
      <c r="AB104" s="18">
        <f t="shared" si="221"/>
        <v>4.9697575271758332</v>
      </c>
      <c r="AD104" s="18">
        <f t="shared" si="222"/>
        <v>5.8290213052759832</v>
      </c>
      <c r="AE104" s="18">
        <f t="shared" si="223"/>
        <v>4.153790254361911</v>
      </c>
      <c r="AF104" s="18">
        <f t="shared" si="224"/>
        <v>8.0189544266477508</v>
      </c>
      <c r="AH104" t="str">
        <f t="shared" si="257"/>
        <v>81 Process, plant and machine operatives</v>
      </c>
      <c r="AI104" s="18">
        <f t="shared" si="225"/>
        <v>2.8396358857974979</v>
      </c>
      <c r="AJ104" s="18">
        <f t="shared" si="225"/>
        <v>-4.7798378509590123</v>
      </c>
      <c r="AK104" s="18">
        <f t="shared" si="225"/>
        <v>8.4267348874648373</v>
      </c>
      <c r="AL104" s="18">
        <f t="shared" si="225"/>
        <v>4.5579061200639703</v>
      </c>
      <c r="AM104" s="18">
        <f t="shared" si="226"/>
        <v>5.1353402146244953</v>
      </c>
      <c r="AO104" s="18">
        <f t="shared" si="227"/>
        <v>5.8319288770238398</v>
      </c>
      <c r="AP104" s="18">
        <f t="shared" si="228"/>
        <v>4.1310994355433728</v>
      </c>
      <c r="AQ104" s="18">
        <f t="shared" si="229"/>
        <v>8.0075259541195543</v>
      </c>
      <c r="AS104" t="str">
        <f t="shared" si="258"/>
        <v>81 Process, plant and machine operatives</v>
      </c>
      <c r="AT104" s="18">
        <f t="shared" si="230"/>
        <v>2.3646494116603467</v>
      </c>
      <c r="AU104" s="18">
        <f t="shared" si="230"/>
        <v>-7.1055033623495749</v>
      </c>
      <c r="AV104" s="18">
        <f t="shared" si="230"/>
        <v>6.947450760592</v>
      </c>
      <c r="AW104" s="18">
        <f t="shared" si="230"/>
        <v>2.8967519835890743</v>
      </c>
      <c r="AX104" s="18">
        <f t="shared" si="231"/>
        <v>3.4823248343161195</v>
      </c>
      <c r="AZ104" s="18">
        <f t="shared" si="232"/>
        <v>4.2296444824310608</v>
      </c>
      <c r="BA104" s="18">
        <f t="shared" si="233"/>
        <v>3.6991311301128871</v>
      </c>
      <c r="BB104" s="18">
        <f t="shared" si="234"/>
        <v>6.5386592084530903</v>
      </c>
      <c r="BD104" t="str">
        <f t="shared" si="259"/>
        <v>81 Process, plant and machine operatives</v>
      </c>
      <c r="BE104" s="18">
        <f t="shared" si="235"/>
        <v>-0.3914973465539151</v>
      </c>
      <c r="BF104" s="18">
        <f t="shared" si="235"/>
        <v>-4.1118160799187287</v>
      </c>
      <c r="BG104" s="18">
        <f t="shared" si="235"/>
        <v>5.362448194415248</v>
      </c>
      <c r="BH104" s="18">
        <f t="shared" si="235"/>
        <v>1.5313051630727159</v>
      </c>
      <c r="BI104" s="18">
        <f t="shared" si="236"/>
        <v>2.3468847567887252</v>
      </c>
      <c r="BK104" s="18">
        <f t="shared" si="237"/>
        <v>2.7926187772172817</v>
      </c>
      <c r="BL104" s="18">
        <f t="shared" si="238"/>
        <v>2.6905616172600899</v>
      </c>
      <c r="BM104" s="18">
        <f t="shared" si="239"/>
        <v>4.7321669942192779</v>
      </c>
      <c r="BO104" t="str">
        <f t="shared" si="260"/>
        <v>81 Process, plant and machine operatives</v>
      </c>
      <c r="BP104" s="18">
        <f t="shared" si="240"/>
        <v>2.3279735753959807</v>
      </c>
      <c r="BQ104" s="18">
        <f t="shared" si="240"/>
        <v>-17.908081788612972</v>
      </c>
      <c r="BR104" s="18">
        <f t="shared" si="240"/>
        <v>5.3812059922041078</v>
      </c>
      <c r="BS104" s="18">
        <f t="shared" si="240"/>
        <v>-3.0546024504141123E-3</v>
      </c>
      <c r="BT104" s="18">
        <f t="shared" si="241"/>
        <v>0.40352784691803922</v>
      </c>
      <c r="BV104" s="18">
        <f t="shared" si="242"/>
        <v>1.7604168490648719</v>
      </c>
      <c r="BW104" s="18">
        <f t="shared" si="243"/>
        <v>2.6613988109845721</v>
      </c>
      <c r="BX104" s="18">
        <f t="shared" si="244"/>
        <v>3.9271263430100678</v>
      </c>
      <c r="BZ104" t="str">
        <f t="shared" si="261"/>
        <v>81 Process, plant and machine operatives</v>
      </c>
      <c r="CA104" s="18">
        <f t="shared" si="245"/>
        <v>-3.9550335135139059</v>
      </c>
      <c r="CB104" s="18">
        <f t="shared" si="245"/>
        <v>-14.376090516610617</v>
      </c>
      <c r="CC104" s="18">
        <f t="shared" si="245"/>
        <v>1.7734816704582768</v>
      </c>
      <c r="CD104" s="18">
        <f t="shared" si="245"/>
        <v>-8.0097496608439229</v>
      </c>
      <c r="CE104" s="18">
        <f t="shared" si="246"/>
        <v>-5.4826277910312466</v>
      </c>
      <c r="CG104" s="18">
        <f t="shared" si="247"/>
        <v>-4.8578974940485242</v>
      </c>
      <c r="CH104" s="18">
        <f t="shared" si="248"/>
        <v>1.7005696479063692</v>
      </c>
      <c r="CI104" s="18">
        <f t="shared" si="249"/>
        <v>-1.7991529299563713</v>
      </c>
      <c r="CK104" t="str">
        <f t="shared" si="262"/>
        <v>81 Process, plant and machine operatives</v>
      </c>
      <c r="CL104" s="18">
        <f t="shared" si="250"/>
        <v>-4.2694430499019891</v>
      </c>
      <c r="CM104" s="18">
        <f t="shared" si="250"/>
        <v>-19.987680520263098</v>
      </c>
      <c r="CN104" s="18">
        <f t="shared" si="250"/>
        <v>-7.4999672006416436</v>
      </c>
      <c r="CO104" s="18">
        <f t="shared" si="250"/>
        <v>-4.1863726210246588</v>
      </c>
      <c r="CP104" s="18">
        <f t="shared" si="251"/>
        <v>-6.2958781945819169</v>
      </c>
      <c r="CR104" s="18">
        <f t="shared" si="252"/>
        <v>-5.3038875231260496</v>
      </c>
      <c r="CS104" s="18">
        <f t="shared" si="253"/>
        <v>0.90420966757032151</v>
      </c>
      <c r="CT104" s="18">
        <f t="shared" si="254"/>
        <v>-3.4989244459695201</v>
      </c>
    </row>
    <row r="105" spans="1:98" x14ac:dyDescent="0.2">
      <c r="A105" t="str">
        <f t="shared" si="209"/>
        <v>82 Transport and mobile machine drivers and operatives</v>
      </c>
      <c r="B105" s="18">
        <f t="shared" si="210"/>
        <v>7.8401587113078541</v>
      </c>
      <c r="C105" s="18">
        <f t="shared" si="210"/>
        <v>-6.4896212909279711</v>
      </c>
      <c r="D105" s="18">
        <f t="shared" si="210"/>
        <v>6.6374644092540791</v>
      </c>
      <c r="E105" s="18">
        <f t="shared" si="210"/>
        <v>3.3793688162109259</v>
      </c>
      <c r="F105" s="18">
        <f t="shared" si="211"/>
        <v>3.7341438138315919</v>
      </c>
      <c r="H105" s="18">
        <f t="shared" si="212"/>
        <v>4.4541872415894357</v>
      </c>
      <c r="I105" s="18">
        <f t="shared" si="213"/>
        <v>4.7108446527502457</v>
      </c>
      <c r="J105" s="18">
        <f t="shared" si="214"/>
        <v>7.3985874691901765</v>
      </c>
      <c r="L105" t="str">
        <f t="shared" si="255"/>
        <v>82 Transport and mobile machine drivers and operatives</v>
      </c>
      <c r="M105" s="18">
        <f t="shared" si="215"/>
        <v>8.3335128412462609</v>
      </c>
      <c r="N105" s="18">
        <f t="shared" si="215"/>
        <v>-2.166785738100363</v>
      </c>
      <c r="O105" s="18">
        <f t="shared" si="215"/>
        <v>4.3958401505713729</v>
      </c>
      <c r="P105" s="18">
        <f t="shared" si="215"/>
        <v>3.3943147540223428</v>
      </c>
      <c r="Q105" s="18">
        <f t="shared" si="216"/>
        <v>3.3485303573030922</v>
      </c>
      <c r="S105" s="18">
        <f t="shared" si="217"/>
        <v>3.7270844007218473</v>
      </c>
      <c r="T105" s="18">
        <f t="shared" si="218"/>
        <v>4.3026785890384112</v>
      </c>
      <c r="U105" s="18">
        <f t="shared" si="219"/>
        <v>6.6115013092425512</v>
      </c>
      <c r="W105" t="str">
        <f t="shared" si="256"/>
        <v>82 Transport and mobile machine drivers and operatives</v>
      </c>
      <c r="X105" s="18">
        <f t="shared" si="220"/>
        <v>6.5735334443341786</v>
      </c>
      <c r="Y105" s="18">
        <f t="shared" si="220"/>
        <v>-11.581561411122699</v>
      </c>
      <c r="Z105" s="18">
        <f t="shared" si="220"/>
        <v>2.6998410620919122</v>
      </c>
      <c r="AA105" s="18">
        <f t="shared" si="220"/>
        <v>2.8369811792709809</v>
      </c>
      <c r="AB105" s="18">
        <f t="shared" si="221"/>
        <v>1.8281387635553425</v>
      </c>
      <c r="AD105" s="18">
        <f t="shared" si="222"/>
        <v>2.7912474711779156</v>
      </c>
      <c r="AE105" s="18">
        <f t="shared" si="223"/>
        <v>4.1210120711370424</v>
      </c>
      <c r="AF105" s="18">
        <f t="shared" si="224"/>
        <v>5.8431247491411931</v>
      </c>
      <c r="AH105" t="str">
        <f t="shared" si="257"/>
        <v>82 Transport and mobile machine drivers and operatives</v>
      </c>
      <c r="AI105" s="18">
        <f t="shared" si="225"/>
        <v>6.6816842112881414</v>
      </c>
      <c r="AJ105" s="18">
        <f t="shared" si="225"/>
        <v>-11.761135565986491</v>
      </c>
      <c r="AK105" s="18">
        <f t="shared" si="225"/>
        <v>3.256861442231207</v>
      </c>
      <c r="AL105" s="18">
        <f t="shared" si="225"/>
        <v>2.1681271082963915</v>
      </c>
      <c r="AM105" s="18">
        <f t="shared" si="226"/>
        <v>1.5723620696440399</v>
      </c>
      <c r="AO105" s="18">
        <f t="shared" si="227"/>
        <v>2.5297570329339436</v>
      </c>
      <c r="AP105" s="18">
        <f t="shared" si="228"/>
        <v>4.1475824688785856</v>
      </c>
      <c r="AQ105" s="18">
        <f t="shared" si="229"/>
        <v>5.6922359932494393</v>
      </c>
      <c r="AS105" t="str">
        <f t="shared" si="258"/>
        <v>82 Transport and mobile machine drivers and operatives</v>
      </c>
      <c r="AT105" s="18">
        <f t="shared" si="230"/>
        <v>5.6870652441862735</v>
      </c>
      <c r="AU105" s="18">
        <f t="shared" si="230"/>
        <v>-6.141573808518408</v>
      </c>
      <c r="AV105" s="18">
        <f t="shared" si="230"/>
        <v>2.4770809037259589</v>
      </c>
      <c r="AW105" s="18">
        <f t="shared" si="230"/>
        <v>1.7922504414308316</v>
      </c>
      <c r="AX105" s="18">
        <f t="shared" si="231"/>
        <v>1.4897387987644839</v>
      </c>
      <c r="AZ105" s="18">
        <f t="shared" si="232"/>
        <v>2.0200172390152149</v>
      </c>
      <c r="BA105" s="18">
        <f t="shared" si="233"/>
        <v>4.0323259041502801</v>
      </c>
      <c r="BB105" s="18">
        <f t="shared" si="234"/>
        <v>5.2655133617611316</v>
      </c>
      <c r="BD105" t="str">
        <f t="shared" si="259"/>
        <v>82 Transport and mobile machine drivers and operatives</v>
      </c>
      <c r="BE105" s="18">
        <f t="shared" si="235"/>
        <v>1.2231096762644889</v>
      </c>
      <c r="BF105" s="18">
        <f t="shared" si="235"/>
        <v>-6.0000016609763618</v>
      </c>
      <c r="BG105" s="18">
        <f t="shared" si="235"/>
        <v>2.0775092268288331</v>
      </c>
      <c r="BH105" s="18">
        <f t="shared" si="235"/>
        <v>1.200702766181716</v>
      </c>
      <c r="BI105" s="18">
        <f t="shared" si="236"/>
        <v>1.0068530963007083</v>
      </c>
      <c r="BK105" s="18">
        <f t="shared" si="237"/>
        <v>1.4921315501218668</v>
      </c>
      <c r="BL105" s="18">
        <f t="shared" si="238"/>
        <v>3.104130833210883</v>
      </c>
      <c r="BM105" s="18">
        <f t="shared" si="239"/>
        <v>4.1130787473708574</v>
      </c>
      <c r="BO105" t="str">
        <f t="shared" si="260"/>
        <v>82 Transport and mobile machine drivers and operatives</v>
      </c>
      <c r="BP105" s="18">
        <f t="shared" si="240"/>
        <v>3.9430198153702634</v>
      </c>
      <c r="BQ105" s="18">
        <f t="shared" si="240"/>
        <v>-22.042365178801894</v>
      </c>
      <c r="BR105" s="18">
        <f t="shared" si="240"/>
        <v>1.6704337755990784</v>
      </c>
      <c r="BS105" s="18">
        <f t="shared" si="240"/>
        <v>-0.30656754810430842</v>
      </c>
      <c r="BT105" s="18">
        <f t="shared" si="241"/>
        <v>-1.2229400508952493</v>
      </c>
      <c r="BV105" s="18">
        <f t="shared" si="242"/>
        <v>0.34812408974405074</v>
      </c>
      <c r="BW105" s="18">
        <f t="shared" si="243"/>
        <v>3.0548060345302996</v>
      </c>
      <c r="BX105" s="18">
        <f t="shared" si="244"/>
        <v>3.2852585606340856</v>
      </c>
      <c r="BZ105" t="str">
        <f t="shared" si="261"/>
        <v>82 Transport and mobile machine drivers and operatives</v>
      </c>
      <c r="CA105" s="18">
        <f t="shared" si="245"/>
        <v>-2.6171101807046737</v>
      </c>
      <c r="CB105" s="18">
        <f t="shared" si="245"/>
        <v>-22.376780485352398</v>
      </c>
      <c r="CC105" s="18">
        <f t="shared" si="245"/>
        <v>-0.22974834793905163</v>
      </c>
      <c r="CD105" s="18">
        <f t="shared" si="245"/>
        <v>-2.6866857200631311</v>
      </c>
      <c r="CE105" s="18">
        <f t="shared" si="246"/>
        <v>-3.3014466679925802</v>
      </c>
      <c r="CG105" s="18">
        <f t="shared" si="247"/>
        <v>-1.8745039632494076</v>
      </c>
      <c r="CH105" s="18">
        <f t="shared" si="248"/>
        <v>2.3214161389373267</v>
      </c>
      <c r="CI105" s="18">
        <f t="shared" si="249"/>
        <v>1.0163429213232433</v>
      </c>
      <c r="CK105" t="str">
        <f t="shared" si="262"/>
        <v>82 Transport and mobile machine drivers and operatives</v>
      </c>
      <c r="CL105" s="18">
        <f t="shared" si="250"/>
        <v>4.2938404621988058</v>
      </c>
      <c r="CM105" s="18">
        <f t="shared" si="250"/>
        <v>-19.972847629450463</v>
      </c>
      <c r="CN105" s="18">
        <f t="shared" si="250"/>
        <v>1.482004082190258</v>
      </c>
      <c r="CO105" s="18">
        <f t="shared" si="250"/>
        <v>-2.3407891360917699</v>
      </c>
      <c r="CP105" s="18">
        <f t="shared" si="251"/>
        <v>-2.3843017053160498</v>
      </c>
      <c r="CR105" s="18">
        <f t="shared" si="252"/>
        <v>-1.0827990193473913</v>
      </c>
      <c r="CS105" s="18">
        <f t="shared" si="253"/>
        <v>2.1348934170189793</v>
      </c>
      <c r="CT105" s="18">
        <f t="shared" si="254"/>
        <v>1.3463767018033534</v>
      </c>
    </row>
    <row r="106" spans="1:98" x14ac:dyDescent="0.2">
      <c r="A106" t="str">
        <f t="shared" si="209"/>
        <v>91 Elementary trades and related occupations</v>
      </c>
      <c r="B106" s="18">
        <f t="shared" si="210"/>
        <v>-6.0920967599829119</v>
      </c>
      <c r="C106" s="18">
        <f t="shared" si="210"/>
        <v>1.4286788191535393</v>
      </c>
      <c r="D106" s="18">
        <f t="shared" si="210"/>
        <v>-2.0588863325495366</v>
      </c>
      <c r="E106" s="18">
        <f t="shared" si="210"/>
        <v>1.4741803453506508</v>
      </c>
      <c r="F106" s="18">
        <f t="shared" si="211"/>
        <v>0.35380468170336243</v>
      </c>
      <c r="H106" s="18">
        <f t="shared" si="212"/>
        <v>0.28255275447996997</v>
      </c>
      <c r="I106" s="18">
        <f t="shared" si="213"/>
        <v>3.0504254083908666</v>
      </c>
      <c r="J106" s="18">
        <f t="shared" si="214"/>
        <v>3.2372749037252069</v>
      </c>
      <c r="L106" t="str">
        <f t="shared" si="255"/>
        <v>91 Elementary trades and related occupations</v>
      </c>
      <c r="M106" s="18">
        <f t="shared" si="215"/>
        <v>5.2176013075475813</v>
      </c>
      <c r="N106" s="18">
        <f t="shared" si="215"/>
        <v>-6.3641260512365179</v>
      </c>
      <c r="O106" s="18">
        <f t="shared" si="215"/>
        <v>0.62778914872345659</v>
      </c>
      <c r="P106" s="18">
        <f t="shared" si="215"/>
        <v>3.5063798430222004</v>
      </c>
      <c r="Q106" s="18">
        <f t="shared" si="216"/>
        <v>1.9574452498313244</v>
      </c>
      <c r="S106" s="18">
        <f t="shared" si="217"/>
        <v>2.5378144904568023</v>
      </c>
      <c r="T106" s="18">
        <f t="shared" si="218"/>
        <v>2.9926474644491163</v>
      </c>
      <c r="U106" s="18">
        <f t="shared" si="219"/>
        <v>4.7733863591390646</v>
      </c>
      <c r="W106" t="str">
        <f t="shared" si="256"/>
        <v>91 Elementary trades and related occupations</v>
      </c>
      <c r="X106" s="18">
        <f t="shared" si="220"/>
        <v>0.7328421303366417</v>
      </c>
      <c r="Y106" s="18">
        <f t="shared" si="220"/>
        <v>-12.237993690957627</v>
      </c>
      <c r="Z106" s="18">
        <f t="shared" si="220"/>
        <v>-2.7926172732468002</v>
      </c>
      <c r="AA106" s="18">
        <f t="shared" si="220"/>
        <v>1.0106495566583495</v>
      </c>
      <c r="AB106" s="18">
        <f t="shared" si="221"/>
        <v>-1.066778262156054</v>
      </c>
      <c r="AD106" s="18">
        <f t="shared" si="222"/>
        <v>-0.27335871037964532</v>
      </c>
      <c r="AE106" s="18">
        <f t="shared" si="223"/>
        <v>2.7660729288233821</v>
      </c>
      <c r="AF106" s="18">
        <f t="shared" si="224"/>
        <v>2.5807111618626255</v>
      </c>
      <c r="AH106" t="str">
        <f t="shared" si="257"/>
        <v>91 Elementary trades and related occupations</v>
      </c>
      <c r="AI106" s="18">
        <f t="shared" si="225"/>
        <v>2.0515878292976852</v>
      </c>
      <c r="AJ106" s="18">
        <f t="shared" si="225"/>
        <v>-15.910081966406475</v>
      </c>
      <c r="AK106" s="18">
        <f t="shared" si="225"/>
        <v>-0.56720208397288419</v>
      </c>
      <c r="AL106" s="18">
        <f t="shared" si="225"/>
        <v>2.824261500756764</v>
      </c>
      <c r="AM106" s="18">
        <f t="shared" si="226"/>
        <v>0.48107292026842163</v>
      </c>
      <c r="AO106" s="18">
        <f t="shared" si="227"/>
        <v>1.6811117580237678</v>
      </c>
      <c r="AP106" s="18">
        <f t="shared" si="228"/>
        <v>3.0444179279641936</v>
      </c>
      <c r="AQ106" s="18">
        <f t="shared" si="229"/>
        <v>4.1947248617257848</v>
      </c>
      <c r="AS106" t="str">
        <f t="shared" si="258"/>
        <v>91 Elementary trades and related occupations</v>
      </c>
      <c r="AT106" s="18">
        <f t="shared" si="230"/>
        <v>-0.62062313395851998</v>
      </c>
      <c r="AU106" s="18">
        <f t="shared" si="230"/>
        <v>1.3903467221136001</v>
      </c>
      <c r="AV106" s="18">
        <f t="shared" si="230"/>
        <v>-2.590165588033988</v>
      </c>
      <c r="AW106" s="18">
        <f t="shared" si="230"/>
        <v>1.0592643791424106</v>
      </c>
      <c r="AX106" s="18">
        <f t="shared" si="231"/>
        <v>-7.5209246968022114E-2</v>
      </c>
      <c r="AZ106" s="18">
        <f t="shared" si="232"/>
        <v>-0.1721563578959695</v>
      </c>
      <c r="BA106" s="18">
        <f t="shared" si="233"/>
        <v>2.5125804853353806</v>
      </c>
      <c r="BB106" s="18">
        <f t="shared" si="234"/>
        <v>2.3914073026718885</v>
      </c>
      <c r="BD106" t="str">
        <f t="shared" si="259"/>
        <v>91 Elementary trades and related occupations</v>
      </c>
      <c r="BE106" s="18">
        <f t="shared" si="235"/>
        <v>-4.3218711244087382</v>
      </c>
      <c r="BF106" s="18">
        <f t="shared" si="235"/>
        <v>-1.3787936995107941</v>
      </c>
      <c r="BG106" s="18">
        <f t="shared" si="235"/>
        <v>-1.1506819592856821</v>
      </c>
      <c r="BH106" s="18">
        <f t="shared" si="235"/>
        <v>1.5429854490714101</v>
      </c>
      <c r="BI106" s="18">
        <f t="shared" si="236"/>
        <v>0.50984969472482877</v>
      </c>
      <c r="BK106" s="18">
        <f t="shared" si="237"/>
        <v>0.63703765115108446</v>
      </c>
      <c r="BL106" s="18">
        <f t="shared" si="238"/>
        <v>1.9779173304354192</v>
      </c>
      <c r="BM106" s="18">
        <f t="shared" si="239"/>
        <v>2.4675746871119619</v>
      </c>
      <c r="BO106" t="str">
        <f t="shared" si="260"/>
        <v>91 Elementary trades and related occupations</v>
      </c>
      <c r="BP106" s="18">
        <f t="shared" si="240"/>
        <v>-1.6471025374063974</v>
      </c>
      <c r="BQ106" s="18">
        <f t="shared" si="240"/>
        <v>-14.836399689759816</v>
      </c>
      <c r="BR106" s="18">
        <f t="shared" si="240"/>
        <v>-3.3418808224638052</v>
      </c>
      <c r="BS106" s="18">
        <f t="shared" si="240"/>
        <v>-0.57088321804592557</v>
      </c>
      <c r="BT106" s="18">
        <f t="shared" si="241"/>
        <v>-2.3945999882091895</v>
      </c>
      <c r="BV106" s="18">
        <f t="shared" si="242"/>
        <v>-1.5032650288912208</v>
      </c>
      <c r="BW106" s="18">
        <f t="shared" si="243"/>
        <v>1.7642900372054848</v>
      </c>
      <c r="BX106" s="18">
        <f t="shared" si="244"/>
        <v>0.6174111463588039</v>
      </c>
      <c r="BZ106" t="str">
        <f t="shared" si="261"/>
        <v>91 Elementary trades and related occupations</v>
      </c>
      <c r="CA106" s="18">
        <f t="shared" si="245"/>
        <v>-5.8731038595376877</v>
      </c>
      <c r="CB106" s="18">
        <f t="shared" si="245"/>
        <v>-14.401344638158186</v>
      </c>
      <c r="CC106" s="18">
        <f t="shared" si="245"/>
        <v>-4.2949993436813276</v>
      </c>
      <c r="CD106" s="18">
        <f t="shared" si="245"/>
        <v>-2.9450916318158549</v>
      </c>
      <c r="CE106" s="18">
        <f t="shared" si="246"/>
        <v>-4.1245984482017999</v>
      </c>
      <c r="CG106" s="18">
        <f t="shared" si="247"/>
        <v>-3.3971633025555059</v>
      </c>
      <c r="CH106" s="18">
        <f t="shared" si="248"/>
        <v>1.5453309595335307</v>
      </c>
      <c r="CI106" s="18">
        <f t="shared" si="249"/>
        <v>-1.0459667766512304</v>
      </c>
      <c r="CK106" t="str">
        <f t="shared" si="262"/>
        <v>91 Elementary trades and related occupations</v>
      </c>
      <c r="CL106" s="18">
        <f t="shared" si="250"/>
        <v>-3.5694799127882204</v>
      </c>
      <c r="CM106" s="18">
        <f t="shared" si="250"/>
        <v>-8.8931380717653603</v>
      </c>
      <c r="CN106" s="18">
        <f t="shared" si="250"/>
        <v>-5.1811789957997174</v>
      </c>
      <c r="CO106" s="18">
        <f t="shared" si="250"/>
        <v>-2.6296250416228517</v>
      </c>
      <c r="CP106" s="18">
        <f t="shared" si="251"/>
        <v>-3.8347274802190356</v>
      </c>
      <c r="CR106" s="18">
        <f t="shared" si="252"/>
        <v>-3.4876822752693992</v>
      </c>
      <c r="CS106" s="18">
        <f t="shared" si="253"/>
        <v>1.2642232815448518</v>
      </c>
      <c r="CT106" s="18">
        <f t="shared" si="254"/>
        <v>-1.5218344973813913</v>
      </c>
    </row>
    <row r="107" spans="1:98" x14ac:dyDescent="0.2">
      <c r="A107" t="str">
        <f t="shared" si="209"/>
        <v>92 Elementary administration and service occupations</v>
      </c>
      <c r="B107" s="18">
        <f t="shared" si="210"/>
        <v>4.30774003384371</v>
      </c>
      <c r="C107" s="18">
        <f t="shared" si="210"/>
        <v>7.4257588020816501</v>
      </c>
      <c r="D107" s="18">
        <f t="shared" si="210"/>
        <v>4.0565405779542374</v>
      </c>
      <c r="E107" s="18">
        <f t="shared" si="210"/>
        <v>2.5591034664093959</v>
      </c>
      <c r="F107" s="18">
        <f t="shared" si="211"/>
        <v>3.3236748441975328</v>
      </c>
      <c r="H107" s="18">
        <f t="shared" si="212"/>
        <v>3.0558393896131131</v>
      </c>
      <c r="I107" s="18">
        <f t="shared" si="213"/>
        <v>3.7954302748741897</v>
      </c>
      <c r="J107" s="18">
        <f t="shared" si="214"/>
        <v>5.7684371797653622</v>
      </c>
      <c r="L107" t="str">
        <f t="shared" ref="L107" si="263">A107</f>
        <v>92 Elementary administration and service occupations</v>
      </c>
      <c r="M107" s="18">
        <f t="shared" si="215"/>
        <v>6.8943601627376561</v>
      </c>
      <c r="N107" s="18">
        <f t="shared" si="215"/>
        <v>7.7819725870304168</v>
      </c>
      <c r="O107" s="18">
        <f t="shared" si="215"/>
        <v>5.3840696309702007</v>
      </c>
      <c r="P107" s="18">
        <f t="shared" si="215"/>
        <v>3.8186931990139783</v>
      </c>
      <c r="Q107" s="18">
        <f t="shared" si="216"/>
        <v>4.5498787549889341</v>
      </c>
      <c r="S107" s="18">
        <f t="shared" si="217"/>
        <v>4.3378845683170741</v>
      </c>
      <c r="T107" s="18">
        <f t="shared" si="218"/>
        <v>4.1199985789262872</v>
      </c>
      <c r="U107" s="18">
        <f t="shared" si="219"/>
        <v>6.9065320505244054</v>
      </c>
      <c r="W107" t="str">
        <f t="shared" ref="W107" si="264">A107</f>
        <v>92 Elementary administration and service occupations</v>
      </c>
      <c r="X107" s="18">
        <f t="shared" si="220"/>
        <v>4.541241150825237</v>
      </c>
      <c r="Y107" s="18">
        <f t="shared" si="220"/>
        <v>-2.3368943677506193</v>
      </c>
      <c r="Z107" s="18">
        <f t="shared" si="220"/>
        <v>3.5741740231006736</v>
      </c>
      <c r="AA107" s="18">
        <f t="shared" si="220"/>
        <v>2.898895912176247</v>
      </c>
      <c r="AB107" s="18">
        <f t="shared" si="221"/>
        <v>2.7734515199087317</v>
      </c>
      <c r="AD107" s="18">
        <f t="shared" si="222"/>
        <v>3.1234980099125176</v>
      </c>
      <c r="AE107" s="18">
        <f t="shared" si="223"/>
        <v>4.075117341489487</v>
      </c>
      <c r="AF107" s="18">
        <f t="shared" si="224"/>
        <v>6.0300762335777636</v>
      </c>
      <c r="AH107" t="str">
        <f t="shared" ref="AH107" si="265">L107</f>
        <v>92 Elementary administration and service occupations</v>
      </c>
      <c r="AI107" s="18">
        <f t="shared" si="225"/>
        <v>4.9154710468730212</v>
      </c>
      <c r="AJ107" s="18">
        <f t="shared" si="225"/>
        <v>-0.66052346458645994</v>
      </c>
      <c r="AK107" s="18">
        <f t="shared" si="225"/>
        <v>3.1790792774212484</v>
      </c>
      <c r="AL107" s="18">
        <f t="shared" si="225"/>
        <v>2.9331896047995576</v>
      </c>
      <c r="AM107" s="18">
        <f t="shared" si="226"/>
        <v>2.7814288340552773</v>
      </c>
      <c r="AO107" s="18">
        <f t="shared" si="227"/>
        <v>3.0150876501395585</v>
      </c>
      <c r="AP107" s="18">
        <f t="shared" si="228"/>
        <v>3.9249292994073759</v>
      </c>
      <c r="AQ107" s="18">
        <f t="shared" si="229"/>
        <v>5.8402109625628196</v>
      </c>
      <c r="AS107" t="str">
        <f t="shared" ref="AS107" si="266">W107</f>
        <v>92 Elementary administration and service occupations</v>
      </c>
      <c r="AT107" s="18">
        <f t="shared" si="230"/>
        <v>3.3993455148112472</v>
      </c>
      <c r="AU107" s="18">
        <f t="shared" si="230"/>
        <v>2.7904197699835764</v>
      </c>
      <c r="AV107" s="18">
        <f t="shared" si="230"/>
        <v>2.9934803135116317</v>
      </c>
      <c r="AW107" s="18">
        <f t="shared" si="230"/>
        <v>2.8965974852230403</v>
      </c>
      <c r="AX107" s="18">
        <f t="shared" si="231"/>
        <v>2.9202223030641017</v>
      </c>
      <c r="AZ107" s="18">
        <f t="shared" si="232"/>
        <v>2.9288816310029775</v>
      </c>
      <c r="BA107" s="18">
        <f t="shared" si="233"/>
        <v>3.8703326281333883</v>
      </c>
      <c r="BB107" s="18">
        <f t="shared" si="234"/>
        <v>5.7387270080709429</v>
      </c>
      <c r="BD107" t="str">
        <f t="shared" ref="BD107" si="267">AH107</f>
        <v>92 Elementary administration and service occupations</v>
      </c>
      <c r="BE107" s="18">
        <f t="shared" si="235"/>
        <v>-2.9726503825783124</v>
      </c>
      <c r="BF107" s="18">
        <f t="shared" si="235"/>
        <v>0.38182548521952242</v>
      </c>
      <c r="BG107" s="18">
        <f t="shared" si="235"/>
        <v>-0.37816064446444253</v>
      </c>
      <c r="BH107" s="18">
        <f t="shared" si="235"/>
        <v>-8.7745062430844012E-2</v>
      </c>
      <c r="BI107" s="18">
        <f t="shared" si="236"/>
        <v>-0.14933368770647659</v>
      </c>
      <c r="BK107" s="18">
        <f t="shared" si="237"/>
        <v>-0.18464420295554174</v>
      </c>
      <c r="BL107" s="18">
        <f t="shared" si="238"/>
        <v>2.7358037508561805</v>
      </c>
      <c r="BM107" s="18">
        <f t="shared" si="239"/>
        <v>2.6098097125109465</v>
      </c>
      <c r="BO107" t="str">
        <f t="shared" ref="BO107" si="268">AS107</f>
        <v>92 Elementary administration and service occupations</v>
      </c>
      <c r="BP107" s="18">
        <f t="shared" si="240"/>
        <v>-0.65004306575418003</v>
      </c>
      <c r="BQ107" s="18">
        <f t="shared" si="240"/>
        <v>-11.703743939165301</v>
      </c>
      <c r="BR107" s="18">
        <f t="shared" si="240"/>
        <v>0.91746598267958834</v>
      </c>
      <c r="BS107" s="18">
        <f t="shared" si="240"/>
        <v>-1.0372953281126862</v>
      </c>
      <c r="BT107" s="18">
        <f t="shared" si="241"/>
        <v>-1.1377259553898678</v>
      </c>
      <c r="BV107" s="18">
        <f t="shared" si="242"/>
        <v>-0.38995191622355208</v>
      </c>
      <c r="BW107" s="18">
        <f t="shared" si="243"/>
        <v>2.5890866604487695</v>
      </c>
      <c r="BX107" s="18">
        <f t="shared" si="244"/>
        <v>2.3188342647848748</v>
      </c>
      <c r="BZ107" t="str">
        <f t="shared" ref="BZ107" si="269">BD107</f>
        <v>92 Elementary administration and service occupations</v>
      </c>
      <c r="CA107" s="18">
        <f t="shared" si="245"/>
        <v>-2.0312643242338502</v>
      </c>
      <c r="CB107" s="18">
        <f t="shared" si="245"/>
        <v>-16.233676656194952</v>
      </c>
      <c r="CC107" s="18">
        <f t="shared" si="245"/>
        <v>0.37600757393663198</v>
      </c>
      <c r="CD107" s="18">
        <f t="shared" si="245"/>
        <v>-3.6155359198463577</v>
      </c>
      <c r="CE107" s="18">
        <f t="shared" si="246"/>
        <v>-3.2378324709803508</v>
      </c>
      <c r="CG107" s="18">
        <f t="shared" si="247"/>
        <v>-2.3029769245906606</v>
      </c>
      <c r="CH107" s="18">
        <f t="shared" si="248"/>
        <v>2.0716442859847417</v>
      </c>
      <c r="CI107" s="18">
        <f t="shared" si="249"/>
        <v>0.42177242692476025</v>
      </c>
      <c r="CK107" t="str">
        <f t="shared" ref="CK107" si="270">BO107</f>
        <v>92 Elementary administration and service occupations</v>
      </c>
      <c r="CL107" s="18">
        <f t="shared" si="250"/>
        <v>-3.1656181251510485</v>
      </c>
      <c r="CM107" s="18">
        <f t="shared" si="250"/>
        <v>-15.508616256988972</v>
      </c>
      <c r="CN107" s="18">
        <f t="shared" si="250"/>
        <v>-5.4431848428157963</v>
      </c>
      <c r="CO107" s="18">
        <f t="shared" si="250"/>
        <v>-2.7743554074477705</v>
      </c>
      <c r="CP107" s="18">
        <f t="shared" si="251"/>
        <v>-4.4583346297593973</v>
      </c>
      <c r="CR107" s="18">
        <f t="shared" si="252"/>
        <v>-3.6722315556828145</v>
      </c>
      <c r="CS107" s="18">
        <f t="shared" si="253"/>
        <v>1.0840968535706486</v>
      </c>
      <c r="CT107" s="18">
        <f t="shared" si="254"/>
        <v>-1.9339076369370822</v>
      </c>
    </row>
    <row r="108" spans="1:98" x14ac:dyDescent="0.2">
      <c r="B108" s="18"/>
      <c r="C108" s="18"/>
      <c r="D108" s="18"/>
      <c r="E108" s="18"/>
      <c r="F108" s="18"/>
      <c r="H108" s="18"/>
      <c r="I108" s="18"/>
      <c r="J108" s="18"/>
      <c r="M108" s="18"/>
      <c r="N108" s="18"/>
      <c r="O108" s="18"/>
      <c r="P108" s="18"/>
      <c r="Q108" s="18"/>
      <c r="S108" s="18"/>
      <c r="T108" s="18"/>
      <c r="U108" s="18"/>
      <c r="X108" s="18"/>
      <c r="Y108" s="18"/>
      <c r="Z108" s="18"/>
      <c r="AA108" s="18"/>
      <c r="AB108" s="18"/>
      <c r="AD108" s="18"/>
      <c r="AE108" s="18"/>
      <c r="AF108" s="18"/>
      <c r="AI108" s="18"/>
      <c r="AJ108" s="18"/>
      <c r="AK108" s="18"/>
      <c r="AL108" s="18"/>
      <c r="AM108" s="18"/>
      <c r="AO108" s="18"/>
      <c r="AP108" s="18"/>
      <c r="AQ108" s="18"/>
      <c r="AT108" s="18"/>
      <c r="AU108" s="18"/>
      <c r="AV108" s="18"/>
      <c r="AW108" s="18"/>
      <c r="AX108" s="18"/>
      <c r="AZ108" s="18"/>
      <c r="BA108" s="18"/>
      <c r="BB108" s="18"/>
      <c r="BE108" s="18"/>
      <c r="BF108" s="18"/>
      <c r="BG108" s="18"/>
      <c r="BH108" s="18"/>
      <c r="BI108" s="18"/>
      <c r="BK108" s="18"/>
      <c r="BL108" s="18"/>
      <c r="BM108" s="18"/>
      <c r="BP108" s="18"/>
      <c r="BQ108" s="18"/>
      <c r="BR108" s="18"/>
      <c r="BS108" s="18"/>
      <c r="BT108" s="18"/>
      <c r="BV108" s="18"/>
      <c r="BW108" s="18"/>
      <c r="BX108" s="18"/>
      <c r="CA108" s="18"/>
      <c r="CB108" s="18"/>
      <c r="CC108" s="18"/>
      <c r="CD108" s="18"/>
      <c r="CE108" s="18"/>
      <c r="CG108" s="18"/>
      <c r="CH108" s="18"/>
      <c r="CI108" s="18"/>
      <c r="CL108" s="18"/>
      <c r="CM108" s="18"/>
      <c r="CN108" s="18"/>
      <c r="CO108" s="18"/>
      <c r="CP108" s="18"/>
      <c r="CR108" s="18"/>
      <c r="CS108" s="18"/>
      <c r="CT108" s="18"/>
    </row>
    <row r="109" spans="1:98" x14ac:dyDescent="0.2">
      <c r="A109" s="24" t="str">
        <f>A35</f>
        <v>All occupations</v>
      </c>
      <c r="B109" s="26">
        <f>IF(AND(C$6-B$6 &lt;&gt; 0,B35&lt;&gt;0,C35&lt;&gt;0),(EXP(LN(C35/B35)/(C$6-B$6))-1)*100,0)</f>
        <v>4.8438212146734827</v>
      </c>
      <c r="C109" s="26">
        <f>IF(AND(D$6-C$6 &lt;&gt; 0,C35&lt;&gt;0,D35&lt;&gt;0),(EXP(LN(D35/C35)/(D$6-C$6))-1)*100,0)</f>
        <v>7.7281616578348755</v>
      </c>
      <c r="D109" s="26">
        <f>IF(AND(E$6-D$6 &lt;&gt; 0,D35&lt;&gt;0,E35&lt;&gt;0),(EXP(LN(E35/D35)/(E$6-D$6))-1)*100,0)</f>
        <v>2.9006320410387421</v>
      </c>
      <c r="E109" s="26">
        <f>IF(AND(F$6-E$6 &lt;&gt; 0,E35&lt;&gt;0,F35&lt;&gt;0),(EXP(LN(F35/E35)/(F$6-E$6))-1)*100,0)</f>
        <v>2.4014477457255046</v>
      </c>
      <c r="F109" s="26">
        <f>IF(AND(F$6-C$6 &lt;&gt; 0,C35&lt;&gt;0,F35&lt;&gt;0),(EXP(LN(F35/C35)/(F$6-C$6))-1)*100,0)</f>
        <v>2.8827411235487599</v>
      </c>
      <c r="H109" s="26">
        <f t="shared" ref="H109" si="271">IF($F$6-$D$6 &lt;&gt; 0,(EXP(LN(1+(H72/100))/($F$6-$D$6))-1)*100,0)</f>
        <v>2.5675728615380367</v>
      </c>
      <c r="I109" s="26">
        <f t="shared" ref="I109" si="272">IF(D35&gt;0,((1+(I35/D35))^(1/($F$6-$D$6))-1)*100,0)</f>
        <v>3.1922035021259898</v>
      </c>
      <c r="J109" s="26">
        <f t="shared" ref="J109" si="273">IF($F$6-$D$6 &lt;&gt; 0,(EXP(LN(1+(J72/100))/($F$6-$D$6))-1)*100,0)</f>
        <v>4.952401518943117</v>
      </c>
      <c r="L109" s="24" t="str">
        <f>L35</f>
        <v>All occupations</v>
      </c>
      <c r="M109" s="26">
        <f>IF(AND(N$6-M$6 &lt;&gt; 0,M35&lt;&gt;0,N35&lt;&gt;0),(EXP(LN(N35/M35)/(N$6-M$6))-1)*100,0)</f>
        <v>5.1092452464836846</v>
      </c>
      <c r="N109" s="26">
        <f>IF(AND(O$6-N$6 &lt;&gt; 0,N35&lt;&gt;0,O35&lt;&gt;0),(EXP(LN(O35/N35)/(O$6-N$6))-1)*100,0)</f>
        <v>7.7288326172964661</v>
      </c>
      <c r="O109" s="26">
        <f>IF(AND(P$6-O$6 &lt;&gt; 0,O35&lt;&gt;0,P35&lt;&gt;0),(EXP(LN(P35/O35)/(P$6-O$6))-1)*100,0)</f>
        <v>3.033650683681044</v>
      </c>
      <c r="P109" s="26">
        <f>IF(AND(Q$6-P$6 &lt;&gt; 0,P35&lt;&gt;0,Q35&lt;&gt;0),(EXP(LN(Q35/P35)/(Q$6-P$6))-1)*100,0)</f>
        <v>2.4566540615686083</v>
      </c>
      <c r="Q109" s="26">
        <f>IF(AND(Q$6-N$6 &lt;&gt; 0,N35&lt;&gt;0,Q35&lt;&gt;0),(EXP(LN(Q35/N35)/(Q$6-N$6))-1)*100,0)</f>
        <v>2.959000456772487</v>
      </c>
      <c r="S109" s="26">
        <f t="shared" ref="S109" si="274">IF($F$6-$D$6 &lt;&gt; 0,(EXP(LN(1+(S72/100))/($F$6-$D$6))-1)*100,0)</f>
        <v>2.6486263472136562</v>
      </c>
      <c r="T109" s="26">
        <f t="shared" ref="T109" si="275">IF(O35&gt;0,((1+(T35/O35))^(1/($F$6-$D$6))-1)*100,0)</f>
        <v>3.3339642155039817</v>
      </c>
      <c r="U109" s="26">
        <f t="shared" ref="U109" si="276">IF($F$6-$D$6 &lt;&gt; 0,(EXP(LN(1+(U72/100))/($F$6-$D$6))-1)*100,0)</f>
        <v>5.1224896345409832</v>
      </c>
      <c r="W109" s="24" t="str">
        <f>W35</f>
        <v>All occupations</v>
      </c>
      <c r="X109" s="26">
        <f>IF(AND(Y$6-X$6 &lt;&gt; 0,X35&lt;&gt;0,Y35&lt;&gt;0),(EXP(LN(Y35/X35)/(Y$6-X$6))-1)*100,0)</f>
        <v>2.3014320702357205</v>
      </c>
      <c r="Y109" s="26">
        <f>IF(AND(Z$6-Y$6 &lt;&gt; 0,Y35&lt;&gt;0,Z35&lt;&gt;0),(EXP(LN(Z35/Y35)/(Z$6-Y$6))-1)*100,0)</f>
        <v>-1.021070080303732</v>
      </c>
      <c r="Z109" s="26">
        <f>IF(AND(AA$6-Z$6 &lt;&gt; 0,Z35&lt;&gt;0,AA35&lt;&gt;0),(EXP(LN(AA35/Z35)/(AA$6-Z$6))-1)*100,0)</f>
        <v>1.3869736998255444</v>
      </c>
      <c r="AA109" s="26">
        <f>IF(AND(AB$6-AA$6 &lt;&gt; 0,AA35&lt;&gt;0,AB35&lt;&gt;0),(EXP(LN(AB35/AA35)/(AB$6-AA$6))-1)*100,0)</f>
        <v>1.3620225154231891</v>
      </c>
      <c r="AB109" s="26">
        <f>IF(AND(AB$6-Y$6 &lt;&gt; 0,Y35&lt;&gt;0,AB35&lt;&gt;0),(EXP(LN(AB35/Y35)/(AB$6-Y$6))-1)*100,0)</f>
        <v>1.2191974159511121</v>
      </c>
      <c r="AD109" s="26">
        <f t="shared" ref="AD109" si="277">IF($F$6-$D$6 &lt;&gt; 0,(EXP(LN(1+(AD72/100))/($F$6-$D$6))-1)*100,0)</f>
        <v>1.3703388945438322</v>
      </c>
      <c r="AE109" s="26">
        <f t="shared" ref="AE109" si="278">IF(Z35&gt;0,((1+(AE35/Z35))^(1/($F$6-$D$6))-1)*100,0)</f>
        <v>3.1605715017538616</v>
      </c>
      <c r="AF109" s="26">
        <f t="shared" ref="AF109" si="279">IF($F$6-$D$6 &lt;&gt; 0,(EXP(LN(1+(AF72/100))/($F$6-$D$6))-1)*100,0)</f>
        <v>4.0779129689024307</v>
      </c>
      <c r="AH109" s="24" t="str">
        <f>AH35</f>
        <v>All occupations</v>
      </c>
      <c r="AI109" s="26">
        <f>IF(AND(AJ$6-AI$6 &lt;&gt; 0,AI35&lt;&gt;0,AJ35&lt;&gt;0),(EXP(LN(AJ35/AI35)/(AJ$6-AI$6))-1)*100,0)</f>
        <v>1.1318193179302716</v>
      </c>
      <c r="AJ109" s="26">
        <f>IF(AND(AK$6-AJ$6 &lt;&gt; 0,AJ35&lt;&gt;0,AK35&lt;&gt;0),(EXP(LN(AK35/AJ35)/(AK$6-AJ$6))-1)*100,0)</f>
        <v>-0.66344242605048676</v>
      </c>
      <c r="AK109" s="26">
        <f>IF(AND(AL$6-AK$6 &lt;&gt; 0,AK35&lt;&gt;0,AL35&lt;&gt;0),(EXP(LN(AL35/AK35)/(AL$6-AK$6))-1)*100,0)</f>
        <v>0.19837816791536955</v>
      </c>
      <c r="AL109" s="26">
        <f>IF(AND(AM$6-AL$6 &lt;&gt; 0,AL35&lt;&gt;0,AM35&lt;&gt;0),(EXP(LN(AM35/AL35)/(AM$6-AL$6))-1)*100,0)</f>
        <v>1.1335993228636987</v>
      </c>
      <c r="AM109" s="26">
        <f>IF(AND(AM$6-AJ$6 &lt;&gt; 0,AJ35&lt;&gt;0,AM35&lt;&gt;0),(EXP(LN(AM35/AJ35)/(AM$6-AJ$6))-1)*100,0)</f>
        <v>0.72747569372570986</v>
      </c>
      <c r="AO109" s="26">
        <f t="shared" ref="AO109" si="280">IF($F$6-$D$6 &lt;&gt; 0,(EXP(LN(1+(AO72/100))/($F$6-$D$6))-1)*100,0)</f>
        <v>0.8208930429279393</v>
      </c>
      <c r="AP109" s="26">
        <f t="shared" ref="AP109" si="281">IF(AK35&gt;0,((1+(AP35/AK35))^(1/($F$6-$D$6))-1)*100,0)</f>
        <v>2.9877300711045995</v>
      </c>
      <c r="AQ109" s="26">
        <f t="shared" ref="AQ109" si="282">IF($F$6-$D$6 &lt;&gt; 0,(EXP(LN(1+(AQ72/100))/($F$6-$D$6))-1)*100,0)</f>
        <v>3.5423184153262843</v>
      </c>
      <c r="AS109" s="24" t="str">
        <f>AS35</f>
        <v>All occupations</v>
      </c>
      <c r="AT109" s="26">
        <f>IF(AND(AU$6-AT$6 &lt;&gt; 0,AT35&lt;&gt;0,AU35&lt;&gt;0),(EXP(LN(AU35/AT35)/(AU$6-AT$6))-1)*100,0)</f>
        <v>1.9607982659398226</v>
      </c>
      <c r="AU109" s="26">
        <f>IF(AND(AV$6-AU$6 &lt;&gt; 0,AU35&lt;&gt;0,AV35&lt;&gt;0),(EXP(LN(AV35/AU35)/(AV$6-AU$6))-1)*100,0)</f>
        <v>-0.18011091516059174</v>
      </c>
      <c r="AV109" s="26">
        <f>IF(AND(AW$6-AV$6 &lt;&gt; 0,AV35&lt;&gt;0,AW35&lt;&gt;0),(EXP(LN(AW35/AV35)/(AW$6-AV$6))-1)*100,0)</f>
        <v>0.62235831512753581</v>
      </c>
      <c r="AW109" s="26">
        <f>IF(AND(AX$6-AW$6 &lt;&gt; 0,AW35&lt;&gt;0,AX35&lt;&gt;0),(EXP(LN(AX35/AW35)/(AX$6-AW$6))-1)*100,0)</f>
        <v>1.2989523651361523</v>
      </c>
      <c r="AX109" s="26">
        <f>IF(AND(AX$6-AU$6 &lt;&gt; 0,AU35&lt;&gt;0,AX35&lt;&gt;0),(EXP(LN(AX35/AU35)/(AX$6-AU$6))-1)*100,0)</f>
        <v>0.99414399741650783</v>
      </c>
      <c r="AZ109" s="26">
        <f t="shared" ref="AZ109" si="283">IF($F$6-$D$6 &lt;&gt; 0,(EXP(LN(1+(AZ72/100))/($F$6-$D$6))-1)*100,0)</f>
        <v>1.072917022017239</v>
      </c>
      <c r="BA109" s="26">
        <f t="shared" ref="BA109" si="284">IF(AV35&gt;0,((1+(BA35/AV35))^(1/($F$6-$D$6))-1)*100,0)</f>
        <v>3.0054198193070425</v>
      </c>
      <c r="BB109" s="26">
        <f t="shared" ref="BB109" si="285">IF($F$6-$D$6 &lt;&gt; 0,(EXP(LN(1+(BB72/100))/($F$6-$D$6))-1)*100,0)</f>
        <v>3.7329210664976964</v>
      </c>
      <c r="BD109" s="24" t="str">
        <f>BD35</f>
        <v>All occupations</v>
      </c>
      <c r="BE109" s="26">
        <f>IF(AND(BF$6-BE$6 &lt;&gt; 0,BE35&lt;&gt;0,BF35&lt;&gt;0),(EXP(LN(BF35/BE35)/(BF$6-BE$6))-1)*100,0)</f>
        <v>-1.389701735689175</v>
      </c>
      <c r="BF109" s="26">
        <f>IF(AND(BG$6-BF$6 &lt;&gt; 0,BF35&lt;&gt;0,BG35&lt;&gt;0),(EXP(LN(BG35/BF35)/(BG$6-BF$6))-1)*100,0)</f>
        <v>4.0318464365803885</v>
      </c>
      <c r="BG109" s="26">
        <f>IF(AND(BH$6-BG$6 &lt;&gt; 0,BG35&lt;&gt;0,BH35&lt;&gt;0),(EXP(LN(BH35/BG35)/(BH$6-BG$6))-1)*100,0)</f>
        <v>-0.36791189367829658</v>
      </c>
      <c r="BH109" s="26">
        <f>IF(AND(BI$6-BH$6 &lt;&gt; 0,BH35&lt;&gt;0,BI35&lt;&gt;0),(EXP(LN(BI35/BH35)/(BI$6-BH$6))-1)*100,0)</f>
        <v>-7.3712370493583812E-3</v>
      </c>
      <c r="BI109" s="26">
        <f>IF(AND(BI$6-BF$6 &lt;&gt; 0,BF35&lt;&gt;0,BI35&lt;&gt;0),(EXP(LN(BI35/BF35)/(BI$6-BF$6))-1)*100,0)</f>
        <v>0.12733233284447643</v>
      </c>
      <c r="BK109" s="26">
        <f t="shared" ref="BK109" si="286">IF($F$6-$D$6 &lt;&gt; 0,(EXP(LN(1+(BK72/100))/($F$6-$D$6))-1)*100,0)</f>
        <v>-0.12769618946257832</v>
      </c>
      <c r="BL109" s="26">
        <f t="shared" ref="BL109" si="287">IF(BG35&gt;0,((1+(BL35/BG35))^(1/($F$6-$D$6))-1)*100,0)</f>
        <v>2.5003770335980224</v>
      </c>
      <c r="BM109" s="26">
        <f t="shared" ref="BM109" si="288">IF($F$6-$D$6 &lt;&gt; 0,(EXP(LN(1+(BM72/100))/($F$6-$D$6))-1)*100,0)</f>
        <v>2.410258436633117</v>
      </c>
      <c r="BO109" s="24" t="str">
        <f>BO35</f>
        <v>All occupations</v>
      </c>
      <c r="BP109" s="26">
        <f>IF(AND(BQ$6-BP$6 &lt;&gt; 0,BP35&lt;&gt;0,BQ35&lt;&gt;0),(EXP(LN(BQ35/BP35)/(BQ$6-BP$6))-1)*100,0)</f>
        <v>-0.85020528378381144</v>
      </c>
      <c r="BQ109" s="26">
        <f>IF(AND(BR$6-BQ$6 &lt;&gt; 0,BQ35&lt;&gt;0,BR35&lt;&gt;0),(EXP(LN(BR35/BQ35)/(BR$6-BQ$6))-1)*100,0)</f>
        <v>-8.568325929720821</v>
      </c>
      <c r="BR109" s="26">
        <f>IF(AND(BS$6-BR$6 &lt;&gt; 0,BR35&lt;&gt;0,BS35&lt;&gt;0),(EXP(LN(BS35/BR35)/(BS$6-BR$6))-1)*100,0)</f>
        <v>-0.407702809695909</v>
      </c>
      <c r="BS109" s="26">
        <f>IF(AND(BT$6-BS$6 &lt;&gt; 0,BS35&lt;&gt;0,BT35&lt;&gt;0),(EXP(LN(BT35/BS35)/(BT$6-BS$6))-1)*100,0)</f>
        <v>-1.6374936437525078</v>
      </c>
      <c r="BT109" s="26">
        <f>IF(AND(BT$6-BQ$6 &lt;&gt; 0,BQ35&lt;&gt;0,BT35&lt;&gt;0),(EXP(LN(BT35/BQ35)/(BT$6-BQ$6))-1)*100,0)</f>
        <v>-1.7047389717756878</v>
      </c>
      <c r="BV109" s="26">
        <f t="shared" ref="BV109" si="289">IF($F$6-$D$6 &lt;&gt; 0,(EXP(LN(1+(BV72/100))/($F$6-$D$6))-1)*100,0)</f>
        <v>-1.2292600006514443</v>
      </c>
      <c r="BW109" s="26">
        <f t="shared" ref="BW109" si="290">IF(BR35&gt;0,((1+(BW35/BR35))^(1/($F$6-$D$6))-1)*100,0)</f>
        <v>2.3013005881475035</v>
      </c>
      <c r="BX109" s="26">
        <f t="shared" ref="BX109" si="291">IF($F$6-$D$6 &lt;&gt; 0,(EXP(LN(1+(BX72/100))/($F$6-$D$6))-1)*100,0)</f>
        <v>1.4302892844089365</v>
      </c>
      <c r="BZ109" s="24" t="str">
        <f>BZ35</f>
        <v>All occupations</v>
      </c>
      <c r="CA109" s="26">
        <f>IF(AND(CB$6-CA$6 &lt;&gt; 0,CA35&lt;&gt;0,CB35&lt;&gt;0),(EXP(LN(CB35/CA35)/(CB$6-CA$6))-1)*100,0)</f>
        <v>-2.8391414587460972</v>
      </c>
      <c r="CB109" s="26">
        <f>IF(AND(CC$6-CB$6 &lt;&gt; 0,CB35&lt;&gt;0,CC35&lt;&gt;0),(EXP(LN(CC35/CB35)/(CC$6-CB$6))-1)*100,0)</f>
        <v>-13.107782386139434</v>
      </c>
      <c r="CC109" s="26">
        <f>IF(AND(CD$6-CC$6 &lt;&gt; 0,CC35&lt;&gt;0,CD35&lt;&gt;0),(EXP(LN(CD35/CC35)/(CD$6-CC$6))-1)*100,0)</f>
        <v>-1.0459611231473542</v>
      </c>
      <c r="CD109" s="26">
        <f>IF(AND(CE$6-CD$6 &lt;&gt; 0,CD35&lt;&gt;0,CE35&lt;&gt;0),(EXP(LN(CE35/CD35)/(CE$6-CD$6))-1)*100,0)</f>
        <v>-3.8010912494278348</v>
      </c>
      <c r="CE109" s="26">
        <f>IF(AND(CE$6-CB$6 &lt;&gt; 0,CB35&lt;&gt;0,CE35&lt;&gt;0),(EXP(LN(CE35/CB35)/(CE$6-CB$6))-1)*100,0)</f>
        <v>-3.5636815085570817</v>
      </c>
      <c r="CG109" s="26">
        <f t="shared" ref="CG109" si="292">IF($F$6-$D$6 &lt;&gt; 0,(EXP(LN(1+(CG72/100))/($F$6-$D$6))-1)*100,0)</f>
        <v>-2.8913450657021</v>
      </c>
      <c r="CH109" s="26">
        <f t="shared" ref="CH109" si="293">IF(CC35&gt;0,((1+(CH35/CC35))^(1/($F$6-$D$6))-1)*100,0)</f>
        <v>1.9008488102626009</v>
      </c>
      <c r="CI109" s="26">
        <f t="shared" ref="CI109" si="294">IF($F$6-$D$6 &lt;&gt; 0,(EXP(LN(1+(CI72/100))/($F$6-$D$6))-1)*100,0)</f>
        <v>-0.20043981868287375</v>
      </c>
      <c r="CK109" s="24" t="str">
        <f>CK35</f>
        <v>All occupations</v>
      </c>
      <c r="CL109" s="26">
        <f>IF(AND(CM$6-CL$6 &lt;&gt; 0,CL35&lt;&gt;0,CM35&lt;&gt;0),(EXP(LN(CM35/CL35)/(CM$6-CL$6))-1)*100,0)</f>
        <v>-0.12459492922930471</v>
      </c>
      <c r="CM109" s="26">
        <f>IF(AND(CN$6-CM$6 &lt;&gt; 0,CM35&lt;&gt;0,CN35&lt;&gt;0),(EXP(LN(CN35/CM35)/(CN$6-CM$6))-1)*100,0)</f>
        <v>-12.530955891747498</v>
      </c>
      <c r="CN109" s="26">
        <f>IF(AND(CO$6-CN$6 &lt;&gt; 0,CN35&lt;&gt;0,CO35&lt;&gt;0),(EXP(LN(CO35/CN35)/(CO$6-CN$6))-1)*100,0)</f>
        <v>-0.61517033656582898</v>
      </c>
      <c r="CO109" s="26">
        <f>IF(AND(CP$6-CO$6 &lt;&gt; 0,CO35&lt;&gt;0,CP35&lt;&gt;0),(EXP(LN(CP35/CO35)/(CP$6-CO$6))-1)*100,0)</f>
        <v>-0.27785529079472626</v>
      </c>
      <c r="CP109" s="26">
        <f>IF(AND(CP$6-CM$6 &lt;&gt; 0,CM35&lt;&gt;0,CP35&lt;&gt;0),(EXP(LN(CP35/CM35)/(CP$6-CM$6))-1)*100,0)</f>
        <v>-1.1963051497502319</v>
      </c>
      <c r="CR109" s="26">
        <f t="shared" ref="CR109" si="295">IF($F$6-$D$6 &lt;&gt; 0,(EXP(LN(1+(CR72/100))/($F$6-$D$6))-1)*100,0)</f>
        <v>-0.39042065423686712</v>
      </c>
      <c r="CS109" s="26">
        <f t="shared" ref="CS109" si="296">IF(CN35&gt;0,((1+(CS35/CN35))^(1/($F$6-$D$6))-1)*100,0)</f>
        <v>1.6549224980783039</v>
      </c>
      <c r="CT109" s="26">
        <f t="shared" ref="CT109" si="297">IF($F$6-$D$6 &lt;&gt; 0,(EXP(LN(1+(CT72/100))/($F$6-$D$6))-1)*100,0)</f>
        <v>1.3465298183422902</v>
      </c>
    </row>
    <row r="112" spans="1:98" ht="47.25" customHeight="1" x14ac:dyDescent="0.2">
      <c r="A112" s="381" t="str">
        <f>CONCATENATE(A$1," (Continued)")</f>
        <v>Basic Table 2  Employment Change by Occupation and Replacement Demand, RQF8 Doctorate, 2015-2035, Enterprise M3 (Continued)</v>
      </c>
      <c r="B112" s="381"/>
      <c r="C112" s="381"/>
      <c r="D112" s="381"/>
      <c r="E112" s="381"/>
      <c r="F112" s="381"/>
      <c r="G112" s="381"/>
      <c r="H112" s="381"/>
      <c r="I112" s="381"/>
      <c r="J112" s="381"/>
      <c r="L112" s="381" t="str">
        <f>CONCATENATE(L$1," (Continued)")</f>
        <v>Basic Table 2.1  Employment Change by Occupation and Replacement Demand, RQF7 Other higher degree, 2015-2035, Enterprise M3 (Continued)</v>
      </c>
      <c r="M112" s="381"/>
      <c r="N112" s="381"/>
      <c r="O112" s="381"/>
      <c r="P112" s="381"/>
      <c r="Q112" s="381"/>
      <c r="R112" s="381"/>
      <c r="S112" s="381"/>
      <c r="T112" s="381"/>
      <c r="U112" s="381"/>
      <c r="W112" s="381" t="str">
        <f>CONCATENATE(W$1," (Continued)")</f>
        <v>Basic Table 2.2  Employment Change by Occupation and Replacement Demand, RQF6 First degree, 2015-2035, Enterprise M3 (Continued)</v>
      </c>
      <c r="X112" s="381"/>
      <c r="Y112" s="381"/>
      <c r="Z112" s="381"/>
      <c r="AA112" s="381"/>
      <c r="AB112" s="381"/>
      <c r="AC112" s="381"/>
      <c r="AD112" s="381"/>
      <c r="AE112" s="381"/>
      <c r="AF112" s="381"/>
      <c r="AH112" s="381" t="str">
        <f>CONCATENATE(AH$1," (Continued)")</f>
        <v>Basic Table 2.3  Employment Change by Occupation and Replacement Demand, RQF5 Foundation degree;Nursing;Teaching, 2015-2035, Enterprise M3 (Continued)</v>
      </c>
      <c r="AI112" s="381"/>
      <c r="AJ112" s="381"/>
      <c r="AK112" s="381"/>
      <c r="AL112" s="381"/>
      <c r="AM112" s="381"/>
      <c r="AN112" s="381"/>
      <c r="AO112" s="381"/>
      <c r="AP112" s="381"/>
      <c r="AQ112" s="381"/>
      <c r="AS112" s="381" t="str">
        <f>CONCATENATE(AS$1," (Continued)")</f>
        <v>Basic Table 2.4  Employment Change by Occupation and Replacement Demand, RQF4 HE below degree level, 2015-2035, Enterprise M3 (Continued)</v>
      </c>
      <c r="AT112" s="381"/>
      <c r="AU112" s="381"/>
      <c r="AV112" s="381"/>
      <c r="AW112" s="381"/>
      <c r="AX112" s="381"/>
      <c r="AY112" s="381"/>
      <c r="AZ112" s="381"/>
      <c r="BA112" s="381"/>
      <c r="BB112" s="381"/>
      <c r="BD112" s="381" t="str">
        <f>CONCATENATE(BD$1," (Continued)")</f>
        <v>Basic Table 2.5  Employment Change by Occupation and Replacement Demand, RQF3 A level &amp; equivalent, 2015-2035, Enterprise M3 (Continued)</v>
      </c>
      <c r="BE112" s="381"/>
      <c r="BF112" s="381"/>
      <c r="BG112" s="381"/>
      <c r="BH112" s="381"/>
      <c r="BI112" s="381"/>
      <c r="BJ112" s="381"/>
      <c r="BK112" s="381"/>
      <c r="BL112" s="381"/>
      <c r="BM112" s="381"/>
      <c r="BO112" s="381" t="str">
        <f>CONCATENATE(BO$1," (Continued)")</f>
        <v>Basic Table 2.6  Employment Change by Occupation and Replacement Demand, RQF2 GCSE(A-C) &amp; equivalent, 2015-2035, Enterprise M3 (Continued)</v>
      </c>
      <c r="BP112" s="381"/>
      <c r="BQ112" s="381"/>
      <c r="BR112" s="381"/>
      <c r="BS112" s="381"/>
      <c r="BT112" s="381"/>
      <c r="BU112" s="381"/>
      <c r="BV112" s="381"/>
      <c r="BW112" s="381"/>
      <c r="BX112" s="381"/>
      <c r="BZ112" s="381" t="str">
        <f>CONCATENATE(BZ$1," (Continued)")</f>
        <v>Basic Table 2.7  Employment Change by Occupation and Replacement Demand, RQF1 GCSE(below grade C) &amp; equivalent, 2015-2035, Enterprise M3 (Continued)</v>
      </c>
      <c r="CA112" s="381"/>
      <c r="CB112" s="381"/>
      <c r="CC112" s="381"/>
      <c r="CD112" s="381"/>
      <c r="CE112" s="381"/>
      <c r="CF112" s="381"/>
      <c r="CG112" s="381"/>
      <c r="CH112" s="381"/>
      <c r="CI112" s="381"/>
      <c r="CK112" s="381" t="str">
        <f>CONCATENATE(CK$1," (Continued)")</f>
        <v>Basic Table 2.8  Employment Change by Occupation and Replacement Demand, No Qualification, 2015-2035, Enterprise M3 (Continued)</v>
      </c>
      <c r="CL112" s="381"/>
      <c r="CM112" s="381"/>
      <c r="CN112" s="381"/>
      <c r="CO112" s="381"/>
      <c r="CP112" s="381"/>
      <c r="CQ112" s="381"/>
      <c r="CR112" s="381"/>
      <c r="CS112" s="381"/>
      <c r="CT112" s="381"/>
    </row>
    <row r="114" spans="1:94" x14ac:dyDescent="0.2">
      <c r="F114" s="16" t="s">
        <v>36</v>
      </c>
      <c r="Q114" s="16" t="s">
        <v>36</v>
      </c>
      <c r="AB114" s="16" t="s">
        <v>36</v>
      </c>
      <c r="AM114" s="16" t="s">
        <v>36</v>
      </c>
      <c r="AX114" s="16" t="s">
        <v>36</v>
      </c>
      <c r="BI114" s="16" t="s">
        <v>36</v>
      </c>
      <c r="BT114" s="16" t="s">
        <v>36</v>
      </c>
      <c r="CE114" s="16" t="s">
        <v>36</v>
      </c>
      <c r="CP114" s="16" t="s">
        <v>36</v>
      </c>
    </row>
    <row r="115" spans="1:94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  <c r="AH115" s="36"/>
      <c r="AI115" s="36"/>
      <c r="AJ115" s="36"/>
      <c r="AK115" s="36"/>
      <c r="AL115" s="36"/>
      <c r="AM115" s="36"/>
      <c r="AS115" s="36"/>
      <c r="AT115" s="36"/>
      <c r="AU115" s="36"/>
      <c r="AV115" s="36"/>
      <c r="AW115" s="36"/>
      <c r="AX115" s="36"/>
      <c r="BD115" s="36"/>
      <c r="BE115" s="36"/>
      <c r="BF115" s="36"/>
      <c r="BG115" s="36"/>
      <c r="BH115" s="36"/>
      <c r="BI115" s="36"/>
      <c r="BO115" s="36"/>
      <c r="BP115" s="36"/>
      <c r="BQ115" s="36"/>
      <c r="BR115" s="36"/>
      <c r="BS115" s="36"/>
      <c r="BT115" s="36"/>
      <c r="BZ115" s="36"/>
      <c r="CA115" s="36"/>
      <c r="CB115" s="36"/>
      <c r="CC115" s="36"/>
      <c r="CD115" s="36"/>
      <c r="CE115" s="36"/>
      <c r="CK115" s="36"/>
      <c r="CL115" s="36"/>
      <c r="CM115" s="36"/>
      <c r="CN115" s="36"/>
      <c r="CO115" s="36"/>
      <c r="CP115" s="36"/>
    </row>
    <row r="117" spans="1:94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  <c r="AH117" s="41" t="s">
        <v>19</v>
      </c>
      <c r="AI117" s="64" t="str">
        <f>CONCATENATE(AI$6,"-",AJ$6)</f>
        <v>2015-2019</v>
      </c>
      <c r="AJ117" s="64" t="str">
        <f>CONCATENATE(AJ$6,"-",AK$6)</f>
        <v>2019-2020</v>
      </c>
      <c r="AK117" s="64" t="str">
        <f>CONCATENATE(AK$6,"-",AL$6)</f>
        <v>2020-2025</v>
      </c>
      <c r="AL117" s="64" t="str">
        <f>CONCATENATE(AL$6,"-",AM$6)</f>
        <v>2025-2035</v>
      </c>
      <c r="AM117" s="64" t="str">
        <f>CONCATENATE(AK$6,"-",AM$6)</f>
        <v>2020-2035</v>
      </c>
      <c r="AS117" s="41" t="s">
        <v>19</v>
      </c>
      <c r="AT117" s="64" t="str">
        <f>CONCATENATE(AT$6,"-",AU$6)</f>
        <v>2015-2019</v>
      </c>
      <c r="AU117" s="64" t="str">
        <f>CONCATENATE(AU$6,"-",AV$6)</f>
        <v>2019-2020</v>
      </c>
      <c r="AV117" s="64" t="str">
        <f>CONCATENATE(AV$6,"-",AW$6)</f>
        <v>2020-2025</v>
      </c>
      <c r="AW117" s="64" t="str">
        <f>CONCATENATE(AW$6,"-",AX$6)</f>
        <v>2025-2035</v>
      </c>
      <c r="AX117" s="64" t="str">
        <f>CONCATENATE(AV$6,"-",AX$6)</f>
        <v>2020-2035</v>
      </c>
      <c r="BD117" s="41" t="s">
        <v>19</v>
      </c>
      <c r="BE117" s="64" t="str">
        <f>CONCATENATE(BE$6,"-",BF$6)</f>
        <v>2015-2019</v>
      </c>
      <c r="BF117" s="64" t="str">
        <f>CONCATENATE(BF$6,"-",BG$6)</f>
        <v>2019-2020</v>
      </c>
      <c r="BG117" s="64" t="str">
        <f>CONCATENATE(BG$6,"-",BH$6)</f>
        <v>2020-2025</v>
      </c>
      <c r="BH117" s="64" t="str">
        <f>CONCATENATE(BH$6,"-",BI$6)</f>
        <v>2025-2035</v>
      </c>
      <c r="BI117" s="64" t="str">
        <f>CONCATENATE(BG$6,"-",BI$6)</f>
        <v>2020-2035</v>
      </c>
      <c r="BO117" s="41" t="s">
        <v>19</v>
      </c>
      <c r="BP117" s="64" t="str">
        <f>CONCATENATE(BP$6,"-",BQ$6)</f>
        <v>2015-2019</v>
      </c>
      <c r="BQ117" s="64" t="str">
        <f>CONCATENATE(BQ$6,"-",BR$6)</f>
        <v>2019-2020</v>
      </c>
      <c r="BR117" s="64" t="str">
        <f>CONCATENATE(BR$6,"-",BS$6)</f>
        <v>2020-2025</v>
      </c>
      <c r="BS117" s="64" t="str">
        <f>CONCATENATE(BS$6,"-",BT$6)</f>
        <v>2025-2035</v>
      </c>
      <c r="BT117" s="64" t="str">
        <f>CONCATENATE(BR$6,"-",BT$6)</f>
        <v>2020-2035</v>
      </c>
      <c r="BZ117" s="41" t="s">
        <v>19</v>
      </c>
      <c r="CA117" s="64" t="str">
        <f>CONCATENATE(CA$6,"-",CB$6)</f>
        <v>2015-2019</v>
      </c>
      <c r="CB117" s="64" t="str">
        <f>CONCATENATE(CB$6,"-",CC$6)</f>
        <v>2019-2020</v>
      </c>
      <c r="CC117" s="64" t="str">
        <f>CONCATENATE(CC$6,"-",CD$6)</f>
        <v>2020-2025</v>
      </c>
      <c r="CD117" s="64" t="str">
        <f>CONCATENATE(CD$6,"-",CE$6)</f>
        <v>2025-2035</v>
      </c>
      <c r="CE117" s="64" t="str">
        <f>CONCATENATE(CC$6,"-",CE$6)</f>
        <v>2020-2035</v>
      </c>
      <c r="CK117" s="41" t="s">
        <v>19</v>
      </c>
      <c r="CL117" s="64" t="str">
        <f>CONCATENATE(CL$6,"-",CM$6)</f>
        <v>2015-2019</v>
      </c>
      <c r="CM117" s="64" t="str">
        <f>CONCATENATE(CM$6,"-",CN$6)</f>
        <v>2019-2020</v>
      </c>
      <c r="CN117" s="64" t="str">
        <f>CONCATENATE(CN$6,"-",CO$6)</f>
        <v>2020-2025</v>
      </c>
      <c r="CO117" s="64" t="str">
        <f>CONCATENATE(CO$6,"-",CP$6)</f>
        <v>2025-2035</v>
      </c>
      <c r="CP117" s="64" t="str">
        <f>CONCATENATE(CN$6,"-",CP$6)</f>
        <v>2020-2035</v>
      </c>
    </row>
    <row r="118" spans="1:94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  <c r="AI118" s="20"/>
      <c r="AJ118" s="20"/>
      <c r="AK118" s="20"/>
      <c r="AL118" s="20"/>
      <c r="AM118" s="20"/>
      <c r="AT118" s="20"/>
      <c r="AU118" s="20"/>
      <c r="AV118" s="20"/>
      <c r="AW118" s="20"/>
      <c r="AX118" s="20"/>
      <c r="BE118" s="20"/>
      <c r="BF118" s="20"/>
      <c r="BG118" s="20"/>
      <c r="BH118" s="20"/>
      <c r="BI118" s="20"/>
      <c r="BP118" s="20"/>
      <c r="BQ118" s="20"/>
      <c r="BR118" s="20"/>
      <c r="BS118" s="20"/>
      <c r="BT118" s="20"/>
      <c r="CA118" s="20"/>
      <c r="CB118" s="20"/>
      <c r="CC118" s="20"/>
      <c r="CD118" s="20"/>
      <c r="CE118" s="20"/>
      <c r="CL118" s="20"/>
      <c r="CM118" s="20"/>
      <c r="CN118" s="20"/>
      <c r="CO118" s="20"/>
      <c r="CP118" s="20"/>
    </row>
    <row r="119" spans="1:94" x14ac:dyDescent="0.2">
      <c r="A119" t="str">
        <f t="shared" ref="A119:A144" si="298">A8</f>
        <v>11 Corporate managers and directors</v>
      </c>
      <c r="B119" s="27">
        <f t="shared" ref="B119:E144" si="299">C8-B8</f>
        <v>0.22161533192263594</v>
      </c>
      <c r="C119" s="27">
        <f t="shared" si="299"/>
        <v>0.17493556111418895</v>
      </c>
      <c r="D119" s="27">
        <f t="shared" si="299"/>
        <v>6.7715888721438411E-2</v>
      </c>
      <c r="E119" s="27">
        <f t="shared" si="299"/>
        <v>0.4629758895037337</v>
      </c>
      <c r="F119" s="27">
        <f t="shared" ref="F119:F144" si="300">F8-D8</f>
        <v>0.53069177822517211</v>
      </c>
      <c r="L119" t="str">
        <f>A119</f>
        <v>11 Corporate managers and directors</v>
      </c>
      <c r="M119" s="27">
        <f t="shared" ref="M119:P144" si="301">N8-M8</f>
        <v>2.3303073057561097</v>
      </c>
      <c r="N119" s="27">
        <f t="shared" si="301"/>
        <v>0.95196267015696812</v>
      </c>
      <c r="O119" s="27">
        <f t="shared" si="301"/>
        <v>0.39309172941202064</v>
      </c>
      <c r="P119" s="27">
        <f t="shared" si="301"/>
        <v>3.529348339704157</v>
      </c>
      <c r="Q119" s="27">
        <f t="shared" ref="Q119:Q144" si="302">Q8-O8</f>
        <v>3.9224400691161776</v>
      </c>
      <c r="W119" t="str">
        <f>A119</f>
        <v>11 Corporate managers and directors</v>
      </c>
      <c r="X119" s="27">
        <f t="shared" ref="X119:AA144" si="303">Y8-X8</f>
        <v>3.9171925680974802</v>
      </c>
      <c r="Y119" s="27">
        <f t="shared" si="303"/>
        <v>-0.76298847188818897</v>
      </c>
      <c r="Z119" s="27">
        <f t="shared" si="303"/>
        <v>-0.87261283982554616</v>
      </c>
      <c r="AA119" s="27">
        <f t="shared" si="303"/>
        <v>3.3789151255129042</v>
      </c>
      <c r="AB119" s="27">
        <f t="shared" ref="AB119:AB144" si="304">AB8-Z8</f>
        <v>2.506302285687358</v>
      </c>
      <c r="AH119" t="str">
        <f>L119</f>
        <v>11 Corporate managers and directors</v>
      </c>
      <c r="AI119" s="27">
        <f t="shared" ref="AI119:AL144" si="305">AJ8-AI8</f>
        <v>0.72868111325183937</v>
      </c>
      <c r="AJ119" s="27">
        <f t="shared" si="305"/>
        <v>9.5354960260972454E-2</v>
      </c>
      <c r="AK119" s="27">
        <f t="shared" si="305"/>
        <v>-0.34969317272540223</v>
      </c>
      <c r="AL119" s="27">
        <f t="shared" si="305"/>
        <v>0.46768090428461928</v>
      </c>
      <c r="AM119" s="27">
        <f t="shared" ref="AM119:AM144" si="306">AM8-AK8</f>
        <v>0.11798773155921705</v>
      </c>
      <c r="AS119" t="str">
        <f>W119</f>
        <v>11 Corporate managers and directors</v>
      </c>
      <c r="AT119" s="27">
        <f t="shared" ref="AT119:AW144" si="307">AU8-AT8</f>
        <v>0.91691845280555739</v>
      </c>
      <c r="AU119" s="27">
        <f t="shared" si="307"/>
        <v>-3.9970846649959313E-3</v>
      </c>
      <c r="AV119" s="27">
        <f t="shared" si="307"/>
        <v>-0.64788953754143286</v>
      </c>
      <c r="AW119" s="27">
        <f t="shared" si="307"/>
        <v>0.67311690838903093</v>
      </c>
      <c r="AX119" s="27">
        <f t="shared" ref="AX119:AX144" si="308">AX8-AV8</f>
        <v>2.5227370847598074E-2</v>
      </c>
      <c r="BD119" t="str">
        <f>AH119</f>
        <v>11 Corporate managers and directors</v>
      </c>
      <c r="BE119" s="27">
        <f t="shared" ref="BE119:BH144" si="309">BF8-BE8</f>
        <v>0.45628484791031454</v>
      </c>
      <c r="BF119" s="27">
        <f t="shared" si="309"/>
        <v>1.034789192706576</v>
      </c>
      <c r="BG119" s="27">
        <f t="shared" si="309"/>
        <v>-1.8073257022456559</v>
      </c>
      <c r="BH119" s="27">
        <f t="shared" si="309"/>
        <v>0.7937724946355118</v>
      </c>
      <c r="BI119" s="27">
        <f t="shared" ref="BI119:BI144" si="310">BI8-BG8</f>
        <v>-1.0135532076101441</v>
      </c>
      <c r="BO119" t="str">
        <f>AS119</f>
        <v>11 Corporate managers and directors</v>
      </c>
      <c r="BP119" s="27">
        <f t="shared" ref="BP119:BS144" si="311">BQ8-BP8</f>
        <v>0.88382722141199466</v>
      </c>
      <c r="BQ119" s="27">
        <f t="shared" si="311"/>
        <v>-0.68078709910722779</v>
      </c>
      <c r="BR119" s="27">
        <f t="shared" si="311"/>
        <v>-1.1591462755680411</v>
      </c>
      <c r="BS119" s="27">
        <f t="shared" si="311"/>
        <v>-1.4397946024234463</v>
      </c>
      <c r="BT119" s="27">
        <f t="shared" ref="BT119:BT144" si="312">BT8-BR8</f>
        <v>-2.5989408779914873</v>
      </c>
      <c r="BZ119" t="str">
        <f>BD119</f>
        <v>11 Corporate managers and directors</v>
      </c>
      <c r="CA119" s="68">
        <f t="shared" ref="CA119:CD144" si="313">CB8-CA8</f>
        <v>3.0118004761686024E-2</v>
      </c>
      <c r="CB119" s="68">
        <f t="shared" si="313"/>
        <v>-0.19251129774200493</v>
      </c>
      <c r="CC119" s="68">
        <f t="shared" si="313"/>
        <v>-0.14071137249147547</v>
      </c>
      <c r="CD119" s="68">
        <f t="shared" si="313"/>
        <v>-1.3933720425356464</v>
      </c>
      <c r="CE119" s="68">
        <f t="shared" ref="CE119:CE144" si="314">CE8-CC8</f>
        <v>-1.5340834150271219</v>
      </c>
      <c r="CK119" t="str">
        <f>BO119</f>
        <v>11 Corporate managers and directors</v>
      </c>
      <c r="CL119" s="68">
        <f t="shared" ref="CL119:CO144" si="315">CM8-CL8</f>
        <v>0.19581812365354412</v>
      </c>
      <c r="CM119" s="68">
        <f t="shared" si="315"/>
        <v>-9.1075308696153767E-2</v>
      </c>
      <c r="CN119" s="68">
        <f t="shared" si="315"/>
        <v>5.2812331934787071E-2</v>
      </c>
      <c r="CO119" s="68">
        <f t="shared" si="315"/>
        <v>0.31721499976978795</v>
      </c>
      <c r="CP119" s="68">
        <f t="shared" ref="CP119:CP144" si="316">CP8-CN8</f>
        <v>0.37002733170457502</v>
      </c>
    </row>
    <row r="120" spans="1:94" x14ac:dyDescent="0.2">
      <c r="A120" t="str">
        <f t="shared" si="298"/>
        <v>12 Other managers and proprietors</v>
      </c>
      <c r="B120" s="27">
        <f t="shared" si="299"/>
        <v>9.4992695911888525E-2</v>
      </c>
      <c r="C120" s="27">
        <f t="shared" si="299"/>
        <v>9.1633940241030443E-3</v>
      </c>
      <c r="D120" s="27">
        <f t="shared" si="299"/>
        <v>0.19729202457060274</v>
      </c>
      <c r="E120" s="27">
        <f t="shared" si="299"/>
        <v>0.25614336745713295</v>
      </c>
      <c r="F120" s="27">
        <f t="shared" si="300"/>
        <v>0.4534353920277357</v>
      </c>
      <c r="L120" t="str">
        <f t="shared" ref="L120:L143" si="317">A120</f>
        <v>12 Other managers and proprietors</v>
      </c>
      <c r="M120" s="27">
        <f t="shared" si="301"/>
        <v>0.63104798484248503</v>
      </c>
      <c r="N120" s="27">
        <f t="shared" si="301"/>
        <v>0.31560958991150212</v>
      </c>
      <c r="O120" s="27">
        <f t="shared" si="301"/>
        <v>1.6441503679528147</v>
      </c>
      <c r="P120" s="27">
        <f t="shared" si="301"/>
        <v>2.3209261750869841</v>
      </c>
      <c r="Q120" s="27">
        <f t="shared" si="302"/>
        <v>3.9650765430397987</v>
      </c>
      <c r="W120" t="str">
        <f t="shared" ref="W120:W143" si="318">A120</f>
        <v>12 Other managers and proprietors</v>
      </c>
      <c r="X120" s="27">
        <f t="shared" si="303"/>
        <v>0.64740969281041227</v>
      </c>
      <c r="Y120" s="27">
        <f t="shared" si="303"/>
        <v>-0.32555112755374438</v>
      </c>
      <c r="Z120" s="27">
        <f t="shared" si="303"/>
        <v>2.2861343201747157</v>
      </c>
      <c r="AA120" s="27">
        <f t="shared" si="303"/>
        <v>2.402534026809354</v>
      </c>
      <c r="AB120" s="27">
        <f t="shared" si="304"/>
        <v>4.6886683469840698</v>
      </c>
      <c r="AH120" t="str">
        <f t="shared" ref="AH120:AH143" si="319">L120</f>
        <v>12 Other managers and proprietors</v>
      </c>
      <c r="AI120" s="27">
        <f t="shared" si="305"/>
        <v>0.26102801395005448</v>
      </c>
      <c r="AJ120" s="27">
        <f t="shared" si="305"/>
        <v>7.1351817911643245E-2</v>
      </c>
      <c r="AK120" s="27">
        <f t="shared" si="305"/>
        <v>0.55043935270891975</v>
      </c>
      <c r="AL120" s="27">
        <f t="shared" si="305"/>
        <v>0.6998899022858116</v>
      </c>
      <c r="AM120" s="27">
        <f t="shared" si="306"/>
        <v>1.2503292549947314</v>
      </c>
      <c r="AS120" t="str">
        <f t="shared" ref="AS120:AS143" si="320">W120</f>
        <v>12 Other managers and proprietors</v>
      </c>
      <c r="AT120" s="27">
        <f t="shared" si="307"/>
        <v>0.16045163814418517</v>
      </c>
      <c r="AU120" s="27">
        <f t="shared" si="307"/>
        <v>-3.512334650234461E-2</v>
      </c>
      <c r="AV120" s="27">
        <f t="shared" si="307"/>
        <v>0.6779440055053354</v>
      </c>
      <c r="AW120" s="27">
        <f t="shared" si="307"/>
        <v>0.65136066668580428</v>
      </c>
      <c r="AX120" s="27">
        <f t="shared" si="308"/>
        <v>1.3293046721911397</v>
      </c>
      <c r="BD120" t="str">
        <f t="shared" ref="BD120:BD143" si="321">AH120</f>
        <v>12 Other managers and proprietors</v>
      </c>
      <c r="BE120" s="27">
        <f t="shared" si="309"/>
        <v>-0.72983494325926035</v>
      </c>
      <c r="BF120" s="27">
        <f t="shared" si="309"/>
        <v>0.29693641932787607</v>
      </c>
      <c r="BG120" s="27">
        <f t="shared" si="309"/>
        <v>0.77204198784525602</v>
      </c>
      <c r="BH120" s="27">
        <f t="shared" si="309"/>
        <v>0.42758205109374625</v>
      </c>
      <c r="BI120" s="27">
        <f t="shared" si="310"/>
        <v>1.1996240389390023</v>
      </c>
      <c r="BO120" t="str">
        <f t="shared" ref="BO120:BO143" si="322">AS120</f>
        <v>12 Other managers and proprietors</v>
      </c>
      <c r="BP120" s="27">
        <f t="shared" si="311"/>
        <v>-0.21115167816247116</v>
      </c>
      <c r="BQ120" s="27">
        <f t="shared" si="311"/>
        <v>-0.28442774713541485</v>
      </c>
      <c r="BR120" s="27">
        <f t="shared" si="311"/>
        <v>1.2213203269013722</v>
      </c>
      <c r="BS120" s="27">
        <f t="shared" si="311"/>
        <v>-5.0642387588681892E-2</v>
      </c>
      <c r="BT120" s="27">
        <f t="shared" si="312"/>
        <v>1.1706779393126903</v>
      </c>
      <c r="BZ120" t="str">
        <f t="shared" ref="BZ120:BZ143" si="323">BD120</f>
        <v>12 Other managers and proprietors</v>
      </c>
      <c r="CA120" s="68">
        <f t="shared" si="313"/>
        <v>-0.44409521876379365</v>
      </c>
      <c r="CB120" s="68">
        <f t="shared" si="313"/>
        <v>-0.43539530618768874</v>
      </c>
      <c r="CC120" s="68">
        <f t="shared" si="313"/>
        <v>0.47015669028360163</v>
      </c>
      <c r="CD120" s="68">
        <f t="shared" si="313"/>
        <v>-0.66118504909616238</v>
      </c>
      <c r="CE120" s="68">
        <f t="shared" si="314"/>
        <v>-0.19102835881256075</v>
      </c>
      <c r="CK120" t="str">
        <f t="shared" ref="CK120:CK143" si="324">BO120</f>
        <v>12 Other managers and proprietors</v>
      </c>
      <c r="CL120" s="68">
        <f t="shared" si="315"/>
        <v>5.5208404033868508E-4</v>
      </c>
      <c r="CM120" s="68">
        <f t="shared" si="315"/>
        <v>-0.12286993994905748</v>
      </c>
      <c r="CN120" s="68">
        <f t="shared" si="315"/>
        <v>0.40668692225128478</v>
      </c>
      <c r="CO120" s="68">
        <f t="shared" si="315"/>
        <v>0.42062961229984408</v>
      </c>
      <c r="CP120" s="68">
        <f t="shared" si="316"/>
        <v>0.82731653455112886</v>
      </c>
    </row>
    <row r="121" spans="1:94" x14ac:dyDescent="0.2">
      <c r="A121" t="str">
        <f t="shared" si="298"/>
        <v>21 Science, research, engineering and technology professionals</v>
      </c>
      <c r="B121" s="27">
        <f t="shared" si="299"/>
        <v>0.60343176361856843</v>
      </c>
      <c r="C121" s="27">
        <f t="shared" si="299"/>
        <v>0.21917765716380355</v>
      </c>
      <c r="D121" s="27">
        <f t="shared" si="299"/>
        <v>0.4758022358631071</v>
      </c>
      <c r="E121" s="27">
        <f t="shared" si="299"/>
        <v>0.99062975295830924</v>
      </c>
      <c r="F121" s="27">
        <f t="shared" si="300"/>
        <v>1.4664319888214163</v>
      </c>
      <c r="L121" t="str">
        <f t="shared" si="317"/>
        <v>21 Science, research, engineering and technology professionals</v>
      </c>
      <c r="M121" s="27">
        <f t="shared" si="301"/>
        <v>2.8117924280828479</v>
      </c>
      <c r="N121" s="27">
        <f t="shared" si="301"/>
        <v>1.9970785300667053</v>
      </c>
      <c r="O121" s="27">
        <f t="shared" si="301"/>
        <v>3.1470944733860691</v>
      </c>
      <c r="P121" s="27">
        <f t="shared" si="301"/>
        <v>6.1682699134968395</v>
      </c>
      <c r="Q121" s="27">
        <f t="shared" si="302"/>
        <v>9.3153643868829086</v>
      </c>
      <c r="W121" t="str">
        <f t="shared" si="318"/>
        <v>21 Science, research, engineering and technology professionals</v>
      </c>
      <c r="X121" s="27">
        <f t="shared" si="303"/>
        <v>1.6101637520183196</v>
      </c>
      <c r="Y121" s="27">
        <f t="shared" si="303"/>
        <v>-0.31484757624000892</v>
      </c>
      <c r="Z121" s="27">
        <f t="shared" si="303"/>
        <v>1.2341854842585036</v>
      </c>
      <c r="AA121" s="27">
        <f t="shared" si="303"/>
        <v>1.3025656439053996</v>
      </c>
      <c r="AB121" s="27">
        <f t="shared" si="304"/>
        <v>2.5367511281639032</v>
      </c>
      <c r="AH121" t="str">
        <f t="shared" si="319"/>
        <v>21 Science, research, engineering and technology professionals</v>
      </c>
      <c r="AI121" s="27">
        <f t="shared" si="305"/>
        <v>0.25137096454390218</v>
      </c>
      <c r="AJ121" s="27">
        <f t="shared" si="305"/>
        <v>7.8278509039540367E-2</v>
      </c>
      <c r="AK121" s="27">
        <f t="shared" si="305"/>
        <v>0.22350089416907037</v>
      </c>
      <c r="AL121" s="27">
        <f t="shared" si="305"/>
        <v>0.42330729186427218</v>
      </c>
      <c r="AM121" s="27">
        <f t="shared" si="306"/>
        <v>0.64680818603334256</v>
      </c>
      <c r="AS121" t="str">
        <f t="shared" si="320"/>
        <v>21 Science, research, engineering and technology professionals</v>
      </c>
      <c r="AT121" s="27">
        <f t="shared" si="307"/>
        <v>0.20383188117482387</v>
      </c>
      <c r="AU121" s="27">
        <f t="shared" si="307"/>
        <v>-0.10455737978397472</v>
      </c>
      <c r="AV121" s="27">
        <f t="shared" si="307"/>
        <v>-0.28160677932343781</v>
      </c>
      <c r="AW121" s="27">
        <f t="shared" si="307"/>
        <v>-3.5793125770573475E-2</v>
      </c>
      <c r="AX121" s="27">
        <f t="shared" si="308"/>
        <v>-0.31739990509401128</v>
      </c>
      <c r="BD121" t="str">
        <f t="shared" si="321"/>
        <v>21 Science, research, engineering and technology professionals</v>
      </c>
      <c r="BE121" s="27">
        <f t="shared" si="309"/>
        <v>-0.66032231963342625</v>
      </c>
      <c r="BF121" s="27">
        <f t="shared" si="309"/>
        <v>0.53929275398775722</v>
      </c>
      <c r="BG121" s="27">
        <f t="shared" si="309"/>
        <v>-0.90547345629939002</v>
      </c>
      <c r="BH121" s="27">
        <f t="shared" si="309"/>
        <v>-0.39541096210103444</v>
      </c>
      <c r="BI121" s="27">
        <f t="shared" si="310"/>
        <v>-1.3008844184004245</v>
      </c>
      <c r="BO121" t="str">
        <f t="shared" si="322"/>
        <v>21 Science, research, engineering and technology professionals</v>
      </c>
      <c r="BP121" s="27">
        <f t="shared" si="311"/>
        <v>3.3823692854474174E-2</v>
      </c>
      <c r="BQ121" s="27">
        <f t="shared" si="311"/>
        <v>-0.2507571223948819</v>
      </c>
      <c r="BR121" s="27">
        <f t="shared" si="311"/>
        <v>-8.2510017366969279E-2</v>
      </c>
      <c r="BS121" s="27">
        <f t="shared" si="311"/>
        <v>-0.56477134790748185</v>
      </c>
      <c r="BT121" s="27">
        <f t="shared" si="312"/>
        <v>-0.64728136527445113</v>
      </c>
      <c r="BZ121" t="str">
        <f t="shared" si="323"/>
        <v>21 Science, research, engineering and technology professionals</v>
      </c>
      <c r="CA121" s="68">
        <f t="shared" si="313"/>
        <v>-0.25925815303451172</v>
      </c>
      <c r="CB121" s="68">
        <f t="shared" si="313"/>
        <v>-0.18537986999174594</v>
      </c>
      <c r="CC121" s="68">
        <f t="shared" si="313"/>
        <v>0.30717668683509425</v>
      </c>
      <c r="CD121" s="68">
        <f t="shared" si="313"/>
        <v>-1.0030391606259563</v>
      </c>
      <c r="CE121" s="68">
        <f t="shared" si="314"/>
        <v>-0.69586247379086208</v>
      </c>
      <c r="CK121" t="str">
        <f t="shared" si="324"/>
        <v>21 Science, research, engineering and technology professionals</v>
      </c>
      <c r="CL121" s="68">
        <f t="shared" si="315"/>
        <v>0.19101138986898714</v>
      </c>
      <c r="CM121" s="68">
        <f t="shared" si="315"/>
        <v>-7.514251122781701E-3</v>
      </c>
      <c r="CN121" s="68">
        <f t="shared" si="315"/>
        <v>0.40258639827004161</v>
      </c>
      <c r="CO121" s="68">
        <f t="shared" si="315"/>
        <v>0.63809855109176805</v>
      </c>
      <c r="CP121" s="68">
        <f t="shared" si="316"/>
        <v>1.0406849493618098</v>
      </c>
    </row>
    <row r="122" spans="1:94" x14ac:dyDescent="0.2">
      <c r="A122" t="str">
        <f t="shared" si="298"/>
        <v>22 Health professionals</v>
      </c>
      <c r="B122" s="27">
        <f t="shared" si="299"/>
        <v>0.5433690805996183</v>
      </c>
      <c r="C122" s="27">
        <f t="shared" si="299"/>
        <v>8.0808368208736381E-2</v>
      </c>
      <c r="D122" s="27">
        <f t="shared" si="299"/>
        <v>0.41437143222490214</v>
      </c>
      <c r="E122" s="27">
        <f t="shared" si="299"/>
        <v>0.54578971630577877</v>
      </c>
      <c r="F122" s="27">
        <f t="shared" si="300"/>
        <v>0.96016114853068091</v>
      </c>
      <c r="L122" t="str">
        <f t="shared" si="317"/>
        <v>22 Health professionals</v>
      </c>
      <c r="M122" s="27">
        <f t="shared" si="301"/>
        <v>1.8235796103315085</v>
      </c>
      <c r="N122" s="27">
        <f t="shared" si="301"/>
        <v>0.31331460251661891</v>
      </c>
      <c r="O122" s="27">
        <f t="shared" si="301"/>
        <v>1.2324432690396883</v>
      </c>
      <c r="P122" s="27">
        <f t="shared" si="301"/>
        <v>1.5128266583744781</v>
      </c>
      <c r="Q122" s="27">
        <f t="shared" si="302"/>
        <v>2.7452699274141663</v>
      </c>
      <c r="W122" t="str">
        <f t="shared" si="318"/>
        <v>22 Health professionals</v>
      </c>
      <c r="X122" s="27">
        <f t="shared" si="303"/>
        <v>2.5886589850291717</v>
      </c>
      <c r="Y122" s="27">
        <f t="shared" si="303"/>
        <v>-0.26883579424560722</v>
      </c>
      <c r="Z122" s="27">
        <f t="shared" si="303"/>
        <v>1.3120117762608992</v>
      </c>
      <c r="AA122" s="27">
        <f t="shared" si="303"/>
        <v>1.2874678130062982</v>
      </c>
      <c r="AB122" s="27">
        <f t="shared" si="304"/>
        <v>2.5994795892671974</v>
      </c>
      <c r="AH122" t="str">
        <f t="shared" si="319"/>
        <v>22 Health professionals</v>
      </c>
      <c r="AI122" s="27">
        <f t="shared" si="305"/>
        <v>-0.7091850069083705</v>
      </c>
      <c r="AJ122" s="27">
        <f t="shared" si="305"/>
        <v>-0.53247223801188115</v>
      </c>
      <c r="AK122" s="27">
        <f t="shared" si="305"/>
        <v>-1.5389871224608846</v>
      </c>
      <c r="AL122" s="27">
        <f t="shared" si="305"/>
        <v>-1.465363236804349</v>
      </c>
      <c r="AM122" s="27">
        <f t="shared" si="306"/>
        <v>-3.0043503592652336</v>
      </c>
      <c r="AS122" t="str">
        <f t="shared" si="320"/>
        <v>22 Health professionals</v>
      </c>
      <c r="AT122" s="27">
        <f t="shared" si="307"/>
        <v>0.16114721250623432</v>
      </c>
      <c r="AU122" s="27">
        <f t="shared" si="307"/>
        <v>0.10562200183092729</v>
      </c>
      <c r="AV122" s="27">
        <f t="shared" si="307"/>
        <v>3.6930819280085903E-2</v>
      </c>
      <c r="AW122" s="27">
        <f t="shared" si="307"/>
        <v>7.8540404091726579E-2</v>
      </c>
      <c r="AX122" s="27">
        <f t="shared" si="308"/>
        <v>0.11547122337181248</v>
      </c>
      <c r="BD122" t="str">
        <f t="shared" si="321"/>
        <v>22 Health professionals</v>
      </c>
      <c r="BE122" s="27">
        <f t="shared" si="309"/>
        <v>0.53968922775363692</v>
      </c>
      <c r="BF122" s="27">
        <f t="shared" si="309"/>
        <v>0.27744785889780355</v>
      </c>
      <c r="BG122" s="27">
        <f t="shared" si="309"/>
        <v>0.21032782955353868</v>
      </c>
      <c r="BH122" s="27">
        <f t="shared" si="309"/>
        <v>0.31694666301331287</v>
      </c>
      <c r="BI122" s="27">
        <f t="shared" si="310"/>
        <v>0.52727449256685155</v>
      </c>
      <c r="BO122" t="str">
        <f t="shared" si="322"/>
        <v>22 Health professionals</v>
      </c>
      <c r="BP122" s="27">
        <f t="shared" si="311"/>
        <v>0.26284994933379524</v>
      </c>
      <c r="BQ122" s="27">
        <f t="shared" si="311"/>
        <v>-1.3228503735855934E-2</v>
      </c>
      <c r="BR122" s="27">
        <f t="shared" si="311"/>
        <v>3.3225832589439896E-2</v>
      </c>
      <c r="BS122" s="27">
        <f t="shared" si="311"/>
        <v>-0.47071201868091928</v>
      </c>
      <c r="BT122" s="27">
        <f t="shared" si="312"/>
        <v>-0.43748618609147938</v>
      </c>
      <c r="BZ122" t="str">
        <f t="shared" si="323"/>
        <v>22 Health professionals</v>
      </c>
      <c r="CA122" s="68">
        <f t="shared" si="313"/>
        <v>0.25475612858195351</v>
      </c>
      <c r="CB122" s="68">
        <f t="shared" si="313"/>
        <v>-0.26321446023585504</v>
      </c>
      <c r="CC122" s="68">
        <f t="shared" si="313"/>
        <v>8.3107240405351668E-2</v>
      </c>
      <c r="CD122" s="68">
        <f t="shared" si="313"/>
        <v>-0.46800350264620549</v>
      </c>
      <c r="CE122" s="68">
        <f t="shared" si="314"/>
        <v>-0.38489626224085383</v>
      </c>
      <c r="CK122" t="str">
        <f t="shared" si="324"/>
        <v>22 Health professionals</v>
      </c>
      <c r="CL122" s="68">
        <f t="shared" si="315"/>
        <v>7.2202320794191921E-2</v>
      </c>
      <c r="CM122" s="68">
        <f t="shared" si="315"/>
        <v>3.38463561762814E-3</v>
      </c>
      <c r="CN122" s="68">
        <f t="shared" si="315"/>
        <v>0.15580933149393428</v>
      </c>
      <c r="CO122" s="68">
        <f t="shared" si="315"/>
        <v>0.36191517176065008</v>
      </c>
      <c r="CP122" s="68">
        <f t="shared" si="316"/>
        <v>0.5177245032545843</v>
      </c>
    </row>
    <row r="123" spans="1:94" x14ac:dyDescent="0.2">
      <c r="A123" t="str">
        <f t="shared" si="298"/>
        <v>23 Teaching and other educational professionals</v>
      </c>
      <c r="B123" s="27">
        <f t="shared" si="299"/>
        <v>0.35899642303622636</v>
      </c>
      <c r="C123" s="27">
        <f t="shared" si="299"/>
        <v>0.16032438031067198</v>
      </c>
      <c r="D123" s="27">
        <f t="shared" si="299"/>
        <v>0.39652800580102276</v>
      </c>
      <c r="E123" s="27">
        <f t="shared" si="299"/>
        <v>0.69169818963745389</v>
      </c>
      <c r="F123" s="27">
        <f t="shared" si="300"/>
        <v>1.0882261954384767</v>
      </c>
      <c r="L123" t="str">
        <f t="shared" si="317"/>
        <v>23 Teaching and other educational professionals</v>
      </c>
      <c r="M123" s="27">
        <f t="shared" si="301"/>
        <v>2.4474792685147264</v>
      </c>
      <c r="N123" s="27">
        <f t="shared" si="301"/>
        <v>0.42185135011034802</v>
      </c>
      <c r="O123" s="27">
        <f t="shared" si="301"/>
        <v>2.1515558220626936</v>
      </c>
      <c r="P123" s="27">
        <f t="shared" si="301"/>
        <v>3.4089431171799127</v>
      </c>
      <c r="Q123" s="27">
        <f t="shared" si="302"/>
        <v>5.5604989392426063</v>
      </c>
      <c r="W123" t="str">
        <f t="shared" si="318"/>
        <v>23 Teaching and other educational professionals</v>
      </c>
      <c r="X123" s="27">
        <f t="shared" si="303"/>
        <v>-1.033436558358078</v>
      </c>
      <c r="Y123" s="27">
        <f t="shared" si="303"/>
        <v>-0.32653078638973732</v>
      </c>
      <c r="Z123" s="27">
        <f t="shared" si="303"/>
        <v>-1.1343900597171395</v>
      </c>
      <c r="AA123" s="27">
        <f t="shared" si="303"/>
        <v>-1.1570618794645249</v>
      </c>
      <c r="AB123" s="27">
        <f t="shared" si="304"/>
        <v>-2.2914519391816643</v>
      </c>
      <c r="AH123" t="str">
        <f t="shared" si="319"/>
        <v>23 Teaching and other educational professionals</v>
      </c>
      <c r="AI123" s="27">
        <f t="shared" si="305"/>
        <v>-0.64146211419345778</v>
      </c>
      <c r="AJ123" s="27">
        <f t="shared" si="305"/>
        <v>-0.12554131012780723</v>
      </c>
      <c r="AK123" s="27">
        <f t="shared" si="305"/>
        <v>-0.25800040464128038</v>
      </c>
      <c r="AL123" s="27">
        <f t="shared" si="305"/>
        <v>1.0312760063535098E-2</v>
      </c>
      <c r="AM123" s="27">
        <f t="shared" si="306"/>
        <v>-0.24768764457774528</v>
      </c>
      <c r="AS123" t="str">
        <f t="shared" si="320"/>
        <v>23 Teaching and other educational professionals</v>
      </c>
      <c r="AT123" s="27">
        <f t="shared" si="307"/>
        <v>-2.968379049857528E-3</v>
      </c>
      <c r="AU123" s="27">
        <f t="shared" si="307"/>
        <v>-7.1627487436887183E-5</v>
      </c>
      <c r="AV123" s="27">
        <f t="shared" si="307"/>
        <v>-6.4623624505044219E-2</v>
      </c>
      <c r="AW123" s="27">
        <f t="shared" si="307"/>
        <v>-2.964893813930447E-2</v>
      </c>
      <c r="AX123" s="27">
        <f t="shared" si="308"/>
        <v>-9.427256264434869E-2</v>
      </c>
      <c r="BD123" t="str">
        <f t="shared" si="321"/>
        <v>23 Teaching and other educational professionals</v>
      </c>
      <c r="BE123" s="27">
        <f t="shared" si="309"/>
        <v>-0.11823741408053356</v>
      </c>
      <c r="BF123" s="27">
        <f t="shared" si="309"/>
        <v>0.18454102883168755</v>
      </c>
      <c r="BG123" s="27">
        <f t="shared" si="309"/>
        <v>7.8160042052892731E-2</v>
      </c>
      <c r="BH123" s="27">
        <f t="shared" si="309"/>
        <v>0.3298717484635878</v>
      </c>
      <c r="BI123" s="27">
        <f t="shared" si="310"/>
        <v>0.40803179051648053</v>
      </c>
      <c r="BO123" t="str">
        <f t="shared" si="322"/>
        <v>23 Teaching and other educational professionals</v>
      </c>
      <c r="BP123" s="27">
        <f t="shared" si="311"/>
        <v>-8.0958751597433709E-2</v>
      </c>
      <c r="BQ123" s="27">
        <f t="shared" si="311"/>
        <v>5.0992182434714817E-3</v>
      </c>
      <c r="BR123" s="27">
        <f t="shared" si="311"/>
        <v>-1.9653246397455248E-2</v>
      </c>
      <c r="BS123" s="27">
        <f t="shared" si="311"/>
        <v>-8.2615122023252496E-2</v>
      </c>
      <c r="BT123" s="27">
        <f t="shared" si="312"/>
        <v>-0.10226836842070774</v>
      </c>
      <c r="BZ123" t="str">
        <f t="shared" si="323"/>
        <v>23 Teaching and other educational professionals</v>
      </c>
      <c r="CA123" s="68">
        <f t="shared" si="313"/>
        <v>-6.0360340751205221E-2</v>
      </c>
      <c r="CB123" s="68">
        <f t="shared" si="313"/>
        <v>-4.2682590856872205E-2</v>
      </c>
      <c r="CC123" s="68">
        <f t="shared" si="313"/>
        <v>0.10571643611630799</v>
      </c>
      <c r="CD123" s="68">
        <f t="shared" si="313"/>
        <v>-5.8202967230283731E-2</v>
      </c>
      <c r="CE123" s="68">
        <f t="shared" si="314"/>
        <v>4.7513468886024257E-2</v>
      </c>
      <c r="CK123" t="str">
        <f t="shared" si="324"/>
        <v>23 Teaching and other educational professionals</v>
      </c>
      <c r="CL123" s="68">
        <f t="shared" si="315"/>
        <v>3.4375121905600076E-2</v>
      </c>
      <c r="CM123" s="68">
        <f t="shared" si="315"/>
        <v>1.5081726571544024E-2</v>
      </c>
      <c r="CN123" s="68">
        <f t="shared" si="315"/>
        <v>6.869071158211329E-2</v>
      </c>
      <c r="CO123" s="68">
        <f t="shared" si="315"/>
        <v>4.8094308365071642E-2</v>
      </c>
      <c r="CP123" s="68">
        <f t="shared" si="316"/>
        <v>0.11678501994718493</v>
      </c>
    </row>
    <row r="124" spans="1:94" x14ac:dyDescent="0.2">
      <c r="A124" t="str">
        <f t="shared" si="298"/>
        <v>24 Business, media and public service professionals</v>
      </c>
      <c r="B124" s="27">
        <f t="shared" si="299"/>
        <v>0.2267563510391285</v>
      </c>
      <c r="C124" s="27">
        <f t="shared" si="299"/>
        <v>0.17664917434891847</v>
      </c>
      <c r="D124" s="27">
        <f t="shared" si="299"/>
        <v>0.34990781514352109</v>
      </c>
      <c r="E124" s="27">
        <f t="shared" si="299"/>
        <v>0.59935982649300246</v>
      </c>
      <c r="F124" s="27">
        <f t="shared" si="300"/>
        <v>0.94926764163652355</v>
      </c>
      <c r="L124" t="str">
        <f t="shared" si="317"/>
        <v>24 Business, media and public service professionals</v>
      </c>
      <c r="M124" s="27">
        <f t="shared" si="301"/>
        <v>3.2246849773981712</v>
      </c>
      <c r="N124" s="27">
        <f t="shared" si="301"/>
        <v>1.2789891701931637</v>
      </c>
      <c r="O124" s="27">
        <f t="shared" si="301"/>
        <v>3.2400928041524253</v>
      </c>
      <c r="P124" s="27">
        <f t="shared" si="301"/>
        <v>5.0645347360025781</v>
      </c>
      <c r="Q124" s="27">
        <f t="shared" si="302"/>
        <v>8.3046275401550034</v>
      </c>
      <c r="W124" t="str">
        <f t="shared" si="318"/>
        <v>24 Business, media and public service professionals</v>
      </c>
      <c r="X124" s="27">
        <f t="shared" si="303"/>
        <v>2.249439106249735</v>
      </c>
      <c r="Y124" s="27">
        <f t="shared" si="303"/>
        <v>0.67336358063750978</v>
      </c>
      <c r="Z124" s="27">
        <f t="shared" si="303"/>
        <v>2.668599151430417</v>
      </c>
      <c r="AA124" s="27">
        <f t="shared" si="303"/>
        <v>2.5239899482844024</v>
      </c>
      <c r="AB124" s="27">
        <f t="shared" si="304"/>
        <v>5.1925890997148194</v>
      </c>
      <c r="AH124" t="str">
        <f t="shared" si="319"/>
        <v>24 Business, media and public service professionals</v>
      </c>
      <c r="AI124" s="27">
        <f t="shared" si="305"/>
        <v>1.7678504011918061E-2</v>
      </c>
      <c r="AJ124" s="27">
        <f t="shared" si="305"/>
        <v>0.15246734293604902</v>
      </c>
      <c r="AK124" s="27">
        <f t="shared" si="305"/>
        <v>-3.9981700412309085E-2</v>
      </c>
      <c r="AL124" s="27">
        <f t="shared" si="305"/>
        <v>0.18220328155144383</v>
      </c>
      <c r="AM124" s="27">
        <f t="shared" si="306"/>
        <v>0.14222158113913475</v>
      </c>
      <c r="AS124" t="str">
        <f t="shared" si="320"/>
        <v>24 Business, media and public service professionals</v>
      </c>
      <c r="AT124" s="27">
        <f t="shared" si="307"/>
        <v>0.24822906921232324</v>
      </c>
      <c r="AU124" s="27">
        <f t="shared" si="307"/>
        <v>0.16070645330599831</v>
      </c>
      <c r="AV124" s="27">
        <f t="shared" si="307"/>
        <v>0.38785860945093376</v>
      </c>
      <c r="AW124" s="27">
        <f t="shared" si="307"/>
        <v>0.5690815882328959</v>
      </c>
      <c r="AX124" s="27">
        <f t="shared" si="308"/>
        <v>0.95694019768382965</v>
      </c>
      <c r="BD124" t="str">
        <f t="shared" si="321"/>
        <v>24 Business, media and public service professionals</v>
      </c>
      <c r="BE124" s="27">
        <f t="shared" si="309"/>
        <v>2.5255413238800095E-2</v>
      </c>
      <c r="BF124" s="27">
        <f t="shared" si="309"/>
        <v>0.99625932365528946</v>
      </c>
      <c r="BG124" s="27">
        <f t="shared" si="309"/>
        <v>0.72074448233529154</v>
      </c>
      <c r="BH124" s="27">
        <f t="shared" si="309"/>
        <v>0.62759339106890266</v>
      </c>
      <c r="BI124" s="27">
        <f t="shared" si="310"/>
        <v>1.3483378734041942</v>
      </c>
      <c r="BO124" t="str">
        <f t="shared" si="322"/>
        <v>24 Business, media and public service professionals</v>
      </c>
      <c r="BP124" s="27">
        <f t="shared" si="311"/>
        <v>0.23037853407486431</v>
      </c>
      <c r="BQ124" s="27">
        <f t="shared" si="311"/>
        <v>-0.1148796167373094</v>
      </c>
      <c r="BR124" s="27">
        <f t="shared" si="311"/>
        <v>0.23855827470691437</v>
      </c>
      <c r="BS124" s="27">
        <f t="shared" si="311"/>
        <v>-0.77166456133331351</v>
      </c>
      <c r="BT124" s="27">
        <f t="shared" si="312"/>
        <v>-0.53310628662639914</v>
      </c>
      <c r="BZ124" t="str">
        <f t="shared" si="323"/>
        <v>24 Business, media and public service professionals</v>
      </c>
      <c r="CA124" s="68">
        <f t="shared" si="313"/>
        <v>-5.6193519632010691E-3</v>
      </c>
      <c r="CB124" s="68">
        <f t="shared" si="313"/>
        <v>-0.1030961247271116</v>
      </c>
      <c r="CC124" s="68">
        <f t="shared" si="313"/>
        <v>0.17553315496749811</v>
      </c>
      <c r="CD124" s="68">
        <f t="shared" si="313"/>
        <v>-1.0619991779352782</v>
      </c>
      <c r="CE124" s="68">
        <f t="shared" si="314"/>
        <v>-0.8864660229677801</v>
      </c>
      <c r="CK124" t="str">
        <f t="shared" si="324"/>
        <v>24 Business, media and public service professionals</v>
      </c>
      <c r="CL124" s="68">
        <f t="shared" si="315"/>
        <v>0.13728351620428991</v>
      </c>
      <c r="CM124" s="68">
        <f t="shared" si="315"/>
        <v>9.6839067453495797E-3</v>
      </c>
      <c r="CN124" s="68">
        <f t="shared" si="315"/>
        <v>0.25370470651927879</v>
      </c>
      <c r="CO124" s="68">
        <f t="shared" si="315"/>
        <v>0.45228411108504929</v>
      </c>
      <c r="CP124" s="68">
        <f t="shared" si="316"/>
        <v>0.70598881760432808</v>
      </c>
    </row>
    <row r="125" spans="1:94" x14ac:dyDescent="0.2">
      <c r="A125" t="str">
        <f t="shared" si="298"/>
        <v>31 Science, engineering and technology associate professionals</v>
      </c>
      <c r="B125" s="27">
        <f t="shared" si="299"/>
        <v>0.11122281394468636</v>
      </c>
      <c r="C125" s="27">
        <f t="shared" si="299"/>
        <v>5.4985996683696747E-2</v>
      </c>
      <c r="D125" s="27">
        <f t="shared" si="299"/>
        <v>3.2014178484365996E-2</v>
      </c>
      <c r="E125" s="27">
        <f t="shared" si="299"/>
        <v>0.2156611418822737</v>
      </c>
      <c r="F125" s="27">
        <f t="shared" si="300"/>
        <v>0.2476753203666397</v>
      </c>
      <c r="L125" t="str">
        <f t="shared" si="317"/>
        <v>31 Science, engineering and technology associate professionals</v>
      </c>
      <c r="M125" s="27">
        <f t="shared" si="301"/>
        <v>0.50537094867442844</v>
      </c>
      <c r="N125" s="27">
        <f t="shared" si="301"/>
        <v>0.4071120244605515</v>
      </c>
      <c r="O125" s="27">
        <f t="shared" si="301"/>
        <v>-0.12702381568569576</v>
      </c>
      <c r="P125" s="27">
        <f t="shared" si="301"/>
        <v>0.67709046492416203</v>
      </c>
      <c r="Q125" s="27">
        <f t="shared" si="302"/>
        <v>0.55006664923846627</v>
      </c>
      <c r="W125" t="str">
        <f t="shared" si="318"/>
        <v>31 Science, engineering and technology associate professionals</v>
      </c>
      <c r="X125" s="27">
        <f t="shared" si="303"/>
        <v>0.84428724092189888</v>
      </c>
      <c r="Y125" s="27">
        <f t="shared" si="303"/>
        <v>0.16541933402744657</v>
      </c>
      <c r="Z125" s="27">
        <f t="shared" si="303"/>
        <v>-0.43797623978665889</v>
      </c>
      <c r="AA125" s="27">
        <f t="shared" si="303"/>
        <v>0.62659229598399868</v>
      </c>
      <c r="AB125" s="27">
        <f t="shared" si="304"/>
        <v>0.18861605619733979</v>
      </c>
      <c r="AH125" t="str">
        <f t="shared" si="319"/>
        <v>31 Science, engineering and technology associate professionals</v>
      </c>
      <c r="AI125" s="27">
        <f t="shared" si="305"/>
        <v>0.13027372528884451</v>
      </c>
      <c r="AJ125" s="27">
        <f t="shared" si="305"/>
        <v>8.8018806753621948E-2</v>
      </c>
      <c r="AK125" s="27">
        <f t="shared" si="305"/>
        <v>1.9805283106454907E-2</v>
      </c>
      <c r="AL125" s="27">
        <f t="shared" si="305"/>
        <v>0.28781663481690956</v>
      </c>
      <c r="AM125" s="27">
        <f t="shared" si="306"/>
        <v>0.30762191792336446</v>
      </c>
      <c r="AS125" t="str">
        <f t="shared" si="320"/>
        <v>31 Science, engineering and technology associate professionals</v>
      </c>
      <c r="AT125" s="27">
        <f t="shared" si="307"/>
        <v>0.11633829633295112</v>
      </c>
      <c r="AU125" s="27">
        <f t="shared" si="307"/>
        <v>4.7953095713516802E-2</v>
      </c>
      <c r="AV125" s="27">
        <f t="shared" si="307"/>
        <v>-0.33599386683391352</v>
      </c>
      <c r="AW125" s="27">
        <f t="shared" si="307"/>
        <v>-2.8643406434871288E-2</v>
      </c>
      <c r="AX125" s="27">
        <f t="shared" si="308"/>
        <v>-0.36463727326878481</v>
      </c>
      <c r="BD125" t="str">
        <f t="shared" si="321"/>
        <v>31 Science, engineering and technology associate professionals</v>
      </c>
      <c r="BE125" s="27">
        <f t="shared" si="309"/>
        <v>-0.33407997433834291</v>
      </c>
      <c r="BF125" s="27">
        <f t="shared" si="309"/>
        <v>0.40522662380568564</v>
      </c>
      <c r="BG125" s="27">
        <f t="shared" si="309"/>
        <v>-0.7507395709343736</v>
      </c>
      <c r="BH125" s="27">
        <f t="shared" si="309"/>
        <v>-0.4819599221263926</v>
      </c>
      <c r="BI125" s="27">
        <f t="shared" si="310"/>
        <v>-1.2326994930607662</v>
      </c>
      <c r="BO125" t="str">
        <f t="shared" si="322"/>
        <v>31 Science, engineering and technology associate professionals</v>
      </c>
      <c r="BP125" s="27">
        <f t="shared" si="311"/>
        <v>0.1355221819922654</v>
      </c>
      <c r="BQ125" s="27">
        <f t="shared" si="311"/>
        <v>3.4133011596339635E-2</v>
      </c>
      <c r="BR125" s="27">
        <f t="shared" si="311"/>
        <v>-0.32346424632876292</v>
      </c>
      <c r="BS125" s="27">
        <f t="shared" si="311"/>
        <v>-0.13949475594274485</v>
      </c>
      <c r="BT125" s="27">
        <f t="shared" si="312"/>
        <v>-0.46295900227150777</v>
      </c>
      <c r="BZ125" t="str">
        <f t="shared" si="323"/>
        <v>31 Science, engineering and technology associate professionals</v>
      </c>
      <c r="CA125" s="68">
        <f t="shared" si="313"/>
        <v>-2.0952023475785841E-2</v>
      </c>
      <c r="CB125" s="68">
        <f t="shared" si="313"/>
        <v>4.2998909381519512E-2</v>
      </c>
      <c r="CC125" s="68">
        <f t="shared" si="313"/>
        <v>-0.18038714701911851</v>
      </c>
      <c r="CD125" s="68">
        <f t="shared" si="313"/>
        <v>-0.30756048460048024</v>
      </c>
      <c r="CE125" s="68">
        <f t="shared" si="314"/>
        <v>-0.48794763161959875</v>
      </c>
      <c r="CK125" t="str">
        <f t="shared" si="324"/>
        <v>31 Science, engineering and technology associate professionals</v>
      </c>
      <c r="CL125" s="68">
        <f t="shared" si="315"/>
        <v>8.640885124968839E-2</v>
      </c>
      <c r="CM125" s="68">
        <f t="shared" si="315"/>
        <v>5.6924956262872528E-2</v>
      </c>
      <c r="CN125" s="68">
        <f t="shared" si="315"/>
        <v>0.12227753320739354</v>
      </c>
      <c r="CO125" s="68">
        <f t="shared" si="315"/>
        <v>0.37634767840614936</v>
      </c>
      <c r="CP125" s="68">
        <f t="shared" si="316"/>
        <v>0.4986252116135429</v>
      </c>
    </row>
    <row r="126" spans="1:94" x14ac:dyDescent="0.2">
      <c r="A126" t="str">
        <f t="shared" si="298"/>
        <v>32 Health and social care associate professionals</v>
      </c>
      <c r="B126" s="27">
        <f t="shared" si="299"/>
        <v>1.6989714202736886E-2</v>
      </c>
      <c r="C126" s="27">
        <f t="shared" si="299"/>
        <v>-1.5348595925706449E-3</v>
      </c>
      <c r="D126" s="27">
        <f t="shared" si="299"/>
        <v>2.0418133536335412E-2</v>
      </c>
      <c r="E126" s="27">
        <f t="shared" si="299"/>
        <v>3.2814338048749073E-2</v>
      </c>
      <c r="F126" s="27">
        <f t="shared" si="300"/>
        <v>5.3232471585084484E-2</v>
      </c>
      <c r="L126" t="str">
        <f t="shared" si="317"/>
        <v>32 Health and social care associate professionals</v>
      </c>
      <c r="M126" s="27">
        <f t="shared" si="301"/>
        <v>0.4618502185253095</v>
      </c>
      <c r="N126" s="27">
        <f t="shared" si="301"/>
        <v>8.4850222104651207E-2</v>
      </c>
      <c r="O126" s="27">
        <f t="shared" si="301"/>
        <v>0.31179755953808086</v>
      </c>
      <c r="P126" s="27">
        <f t="shared" si="301"/>
        <v>0.57461121277386518</v>
      </c>
      <c r="Q126" s="27">
        <f t="shared" si="302"/>
        <v>0.88640877231194604</v>
      </c>
      <c r="W126" t="str">
        <f t="shared" si="318"/>
        <v>32 Health and social care associate professionals</v>
      </c>
      <c r="X126" s="27">
        <f t="shared" si="303"/>
        <v>0.88150819161974114</v>
      </c>
      <c r="Y126" s="27">
        <f t="shared" si="303"/>
        <v>2.2539797657161742E-2</v>
      </c>
      <c r="Z126" s="27">
        <f t="shared" si="303"/>
        <v>0.42170417396138138</v>
      </c>
      <c r="AA126" s="27">
        <f t="shared" si="303"/>
        <v>0.805633224596221</v>
      </c>
      <c r="AB126" s="27">
        <f t="shared" si="304"/>
        <v>1.2273373985576024</v>
      </c>
      <c r="AH126" t="str">
        <f t="shared" si="319"/>
        <v>32 Health and social care associate professionals</v>
      </c>
      <c r="AI126" s="27">
        <f t="shared" si="305"/>
        <v>-0.17920028270839339</v>
      </c>
      <c r="AJ126" s="27">
        <f t="shared" si="305"/>
        <v>-0.11121943744434315</v>
      </c>
      <c r="AK126" s="27">
        <f t="shared" si="305"/>
        <v>-0.59616019403008513</v>
      </c>
      <c r="AL126" s="27">
        <f t="shared" si="305"/>
        <v>-0.61362420831147135</v>
      </c>
      <c r="AM126" s="27">
        <f t="shared" si="306"/>
        <v>-1.2097844023415565</v>
      </c>
      <c r="AS126" t="str">
        <f t="shared" si="320"/>
        <v>32 Health and social care associate professionals</v>
      </c>
      <c r="AT126" s="27">
        <f t="shared" si="307"/>
        <v>9.6261264828348292E-2</v>
      </c>
      <c r="AU126" s="27">
        <f t="shared" si="307"/>
        <v>8.4696786797388457E-2</v>
      </c>
      <c r="AV126" s="27">
        <f t="shared" si="307"/>
        <v>-3.7756758764832865E-2</v>
      </c>
      <c r="AW126" s="27">
        <f t="shared" si="307"/>
        <v>5.9744491786685949E-2</v>
      </c>
      <c r="AX126" s="27">
        <f t="shared" si="308"/>
        <v>2.1987733021853084E-2</v>
      </c>
      <c r="BD126" t="str">
        <f t="shared" si="321"/>
        <v>32 Health and social care associate professionals</v>
      </c>
      <c r="BE126" s="27">
        <f t="shared" si="309"/>
        <v>0.35674078968518064</v>
      </c>
      <c r="BF126" s="27">
        <f t="shared" si="309"/>
        <v>0.26146420348631727</v>
      </c>
      <c r="BG126" s="27">
        <f t="shared" si="309"/>
        <v>-5.0732938125352955E-2</v>
      </c>
      <c r="BH126" s="27">
        <f t="shared" si="309"/>
        <v>0.38018762685458718</v>
      </c>
      <c r="BI126" s="27">
        <f t="shared" si="310"/>
        <v>0.32945468872923422</v>
      </c>
      <c r="BO126" t="str">
        <f t="shared" si="322"/>
        <v>32 Health and social care associate professionals</v>
      </c>
      <c r="BP126" s="27">
        <f t="shared" si="311"/>
        <v>0.12293829043977955</v>
      </c>
      <c r="BQ126" s="27">
        <f t="shared" si="311"/>
        <v>1.1819655778426474E-2</v>
      </c>
      <c r="BR126" s="27">
        <f t="shared" si="311"/>
        <v>-0.11155595219067216</v>
      </c>
      <c r="BS126" s="27">
        <f t="shared" si="311"/>
        <v>-0.31111340676542065</v>
      </c>
      <c r="BT126" s="27">
        <f t="shared" si="312"/>
        <v>-0.42266935895609281</v>
      </c>
      <c r="BZ126" t="str">
        <f t="shared" si="323"/>
        <v>32 Health and social care associate professionals</v>
      </c>
      <c r="CA126" s="68">
        <f t="shared" si="313"/>
        <v>-4.3448607362569613E-2</v>
      </c>
      <c r="CB126" s="68">
        <f t="shared" si="313"/>
        <v>-0.1006142634569287</v>
      </c>
      <c r="CC126" s="68">
        <f t="shared" si="313"/>
        <v>-4.778809576903631E-2</v>
      </c>
      <c r="CD126" s="68">
        <f t="shared" si="313"/>
        <v>-0.18697246093488135</v>
      </c>
      <c r="CE126" s="68">
        <f t="shared" si="314"/>
        <v>-0.23476055670391766</v>
      </c>
      <c r="CK126" t="str">
        <f t="shared" si="324"/>
        <v>32 Health and social care associate professionals</v>
      </c>
      <c r="CL126" s="68">
        <f t="shared" si="315"/>
        <v>2.4856345515717498E-2</v>
      </c>
      <c r="CM126" s="68">
        <f t="shared" si="315"/>
        <v>4.84490868329919E-3</v>
      </c>
      <c r="CN126" s="68">
        <f t="shared" si="315"/>
        <v>5.6253243863248828E-2</v>
      </c>
      <c r="CO126" s="68">
        <f t="shared" si="315"/>
        <v>0.15698333760193009</v>
      </c>
      <c r="CP126" s="68">
        <f t="shared" si="316"/>
        <v>0.21323658146517893</v>
      </c>
    </row>
    <row r="127" spans="1:94" x14ac:dyDescent="0.2">
      <c r="A127" t="str">
        <f t="shared" si="298"/>
        <v>33 Protective service occupations</v>
      </c>
      <c r="B127" s="27">
        <f t="shared" si="299"/>
        <v>-8.6969218736783482E-4</v>
      </c>
      <c r="C127" s="27">
        <f t="shared" si="299"/>
        <v>5.4401333280234623E-3</v>
      </c>
      <c r="D127" s="27">
        <f t="shared" si="299"/>
        <v>1.6314884156865724E-2</v>
      </c>
      <c r="E127" s="27">
        <f t="shared" si="299"/>
        <v>2.7811899628596766E-2</v>
      </c>
      <c r="F127" s="27">
        <f t="shared" si="300"/>
        <v>4.4126783785462489E-2</v>
      </c>
      <c r="L127" t="str">
        <f t="shared" si="317"/>
        <v>33 Protective service occupations</v>
      </c>
      <c r="M127" s="27">
        <f t="shared" si="301"/>
        <v>5.8108461433510561E-2</v>
      </c>
      <c r="N127" s="27">
        <f t="shared" si="301"/>
        <v>0.1405277776585081</v>
      </c>
      <c r="O127" s="27">
        <f t="shared" si="301"/>
        <v>0.27371225931091747</v>
      </c>
      <c r="P127" s="27">
        <f t="shared" si="301"/>
        <v>0.53435900607025077</v>
      </c>
      <c r="Q127" s="27">
        <f t="shared" si="302"/>
        <v>0.80807126538116825</v>
      </c>
      <c r="W127" t="str">
        <f t="shared" si="318"/>
        <v>33 Protective service occupations</v>
      </c>
      <c r="X127" s="27">
        <f t="shared" si="303"/>
        <v>0.21327855231891713</v>
      </c>
      <c r="Y127" s="27">
        <f t="shared" si="303"/>
        <v>0.20274331452792449</v>
      </c>
      <c r="Z127" s="27">
        <f t="shared" si="303"/>
        <v>0.8691653828513366</v>
      </c>
      <c r="AA127" s="27">
        <f t="shared" si="303"/>
        <v>1.355753200064592</v>
      </c>
      <c r="AB127" s="27">
        <f t="shared" si="304"/>
        <v>2.2249185829159286</v>
      </c>
      <c r="AH127" t="str">
        <f t="shared" si="319"/>
        <v>33 Protective service occupations</v>
      </c>
      <c r="AI127" s="27">
        <f t="shared" si="305"/>
        <v>2.6984432484426946E-2</v>
      </c>
      <c r="AJ127" s="27">
        <f t="shared" si="305"/>
        <v>5.5099651472240607E-2</v>
      </c>
      <c r="AK127" s="27">
        <f t="shared" si="305"/>
        <v>0.17525794326384536</v>
      </c>
      <c r="AL127" s="27">
        <f t="shared" si="305"/>
        <v>0.2627483675162221</v>
      </c>
      <c r="AM127" s="27">
        <f t="shared" si="306"/>
        <v>0.43800631078006746</v>
      </c>
      <c r="AS127" t="str">
        <f t="shared" si="320"/>
        <v>33 Protective service occupations</v>
      </c>
      <c r="AT127" s="27">
        <f t="shared" si="307"/>
        <v>-6.6668330486599037E-2</v>
      </c>
      <c r="AU127" s="27">
        <f t="shared" si="307"/>
        <v>3.3369569805880683E-2</v>
      </c>
      <c r="AV127" s="27">
        <f t="shared" si="307"/>
        <v>6.288932095089883E-2</v>
      </c>
      <c r="AW127" s="27">
        <f t="shared" si="307"/>
        <v>7.3755460375976245E-2</v>
      </c>
      <c r="AX127" s="27">
        <f t="shared" si="308"/>
        <v>0.13664478132687508</v>
      </c>
      <c r="BD127" t="str">
        <f t="shared" si="321"/>
        <v>33 Protective service occupations</v>
      </c>
      <c r="BE127" s="27">
        <f t="shared" si="309"/>
        <v>-0.42647563355934892</v>
      </c>
      <c r="BF127" s="27">
        <f t="shared" si="309"/>
        <v>0.18645139260912802</v>
      </c>
      <c r="BG127" s="27">
        <f t="shared" si="309"/>
        <v>0.23488224875615216</v>
      </c>
      <c r="BH127" s="27">
        <f t="shared" si="309"/>
        <v>1.1618015542443683E-2</v>
      </c>
      <c r="BI127" s="27">
        <f t="shared" si="310"/>
        <v>0.24650026429859584</v>
      </c>
      <c r="BO127" t="str">
        <f t="shared" si="322"/>
        <v>33 Protective service occupations</v>
      </c>
      <c r="BP127" s="27">
        <f t="shared" si="311"/>
        <v>-0.1140652654160057</v>
      </c>
      <c r="BQ127" s="27">
        <f t="shared" si="311"/>
        <v>-0.10901799822877623</v>
      </c>
      <c r="BR127" s="27">
        <f t="shared" si="311"/>
        <v>0.29771558729135572</v>
      </c>
      <c r="BS127" s="27">
        <f t="shared" si="311"/>
        <v>-0.29643744391232207</v>
      </c>
      <c r="BT127" s="27">
        <f t="shared" si="312"/>
        <v>1.2781433790336472E-3</v>
      </c>
      <c r="BZ127" t="str">
        <f t="shared" si="323"/>
        <v>33 Protective service occupations</v>
      </c>
      <c r="CA127" s="68">
        <f t="shared" si="313"/>
        <v>-0.2073745983950368</v>
      </c>
      <c r="CB127" s="68">
        <f t="shared" si="313"/>
        <v>-2.150981673922181E-2</v>
      </c>
      <c r="CC127" s="68">
        <f t="shared" si="313"/>
        <v>0.16377579875237069</v>
      </c>
      <c r="CD127" s="68">
        <f t="shared" si="313"/>
        <v>-0.25446576419100397</v>
      </c>
      <c r="CE127" s="68">
        <f t="shared" si="314"/>
        <v>-9.068996543863328E-2</v>
      </c>
      <c r="CK127" t="str">
        <f t="shared" si="324"/>
        <v>33 Protective service occupations</v>
      </c>
      <c r="CL127" s="68">
        <f t="shared" si="315"/>
        <v>-2.588828729080242E-2</v>
      </c>
      <c r="CM127" s="68">
        <f t="shared" si="315"/>
        <v>-4.9700068272673092E-3</v>
      </c>
      <c r="CN127" s="68">
        <f t="shared" si="315"/>
        <v>-3.6751613652664564E-2</v>
      </c>
      <c r="CO127" s="68">
        <f t="shared" si="315"/>
        <v>4.0648849126469766E-3</v>
      </c>
      <c r="CP127" s="68">
        <f t="shared" si="316"/>
        <v>-3.2686728740017587E-2</v>
      </c>
    </row>
    <row r="128" spans="1:94" x14ac:dyDescent="0.2">
      <c r="A128" t="str">
        <f t="shared" si="298"/>
        <v>34 Culture, media and sports occupations</v>
      </c>
      <c r="B128" s="27">
        <f t="shared" si="299"/>
        <v>4.7496274579145875E-2</v>
      </c>
      <c r="C128" s="27">
        <f t="shared" si="299"/>
        <v>2.4231926391545033E-2</v>
      </c>
      <c r="D128" s="27">
        <f t="shared" si="299"/>
        <v>2.574936209456824E-2</v>
      </c>
      <c r="E128" s="27">
        <f t="shared" si="299"/>
        <v>7.4824787699781292E-2</v>
      </c>
      <c r="F128" s="27">
        <f t="shared" si="300"/>
        <v>0.10057414979434953</v>
      </c>
      <c r="L128" t="str">
        <f t="shared" si="317"/>
        <v>34 Culture, media and sports occupations</v>
      </c>
      <c r="M128" s="27">
        <f t="shared" si="301"/>
        <v>5.5352070233689155E-2</v>
      </c>
      <c r="N128" s="27">
        <f t="shared" si="301"/>
        <v>0.74141101980066448</v>
      </c>
      <c r="O128" s="27">
        <f t="shared" si="301"/>
        <v>0.54226923869043642</v>
      </c>
      <c r="P128" s="27">
        <f t="shared" si="301"/>
        <v>1.5250195013027614</v>
      </c>
      <c r="Q128" s="27">
        <f t="shared" si="302"/>
        <v>2.0672887399931978</v>
      </c>
      <c r="W128" t="str">
        <f t="shared" si="318"/>
        <v>34 Culture, media and sports occupations</v>
      </c>
      <c r="X128" s="27">
        <f t="shared" si="303"/>
        <v>-0.77886826803845288</v>
      </c>
      <c r="Y128" s="27">
        <f t="shared" si="303"/>
        <v>2.9245792439365204E-2</v>
      </c>
      <c r="Z128" s="27">
        <f t="shared" si="303"/>
        <v>5.8714087478318078E-2</v>
      </c>
      <c r="AA128" s="27">
        <f t="shared" si="303"/>
        <v>0.83206928923775614</v>
      </c>
      <c r="AB128" s="27">
        <f t="shared" si="304"/>
        <v>0.89078337671607422</v>
      </c>
      <c r="AH128" t="str">
        <f t="shared" si="319"/>
        <v>34 Culture, media and sports occupations</v>
      </c>
      <c r="AI128" s="27">
        <f t="shared" si="305"/>
        <v>-2.9550114089824109E-2</v>
      </c>
      <c r="AJ128" s="27">
        <f t="shared" si="305"/>
        <v>0.10693736200392745</v>
      </c>
      <c r="AK128" s="27">
        <f t="shared" si="305"/>
        <v>-5.5961898630112805E-2</v>
      </c>
      <c r="AL128" s="27">
        <f t="shared" si="305"/>
        <v>0.22258480811977044</v>
      </c>
      <c r="AM128" s="27">
        <f t="shared" si="306"/>
        <v>0.16662290948965763</v>
      </c>
      <c r="AS128" t="str">
        <f t="shared" si="320"/>
        <v>34 Culture, media and sports occupations</v>
      </c>
      <c r="AT128" s="27">
        <f t="shared" si="307"/>
        <v>-0.17961793846463214</v>
      </c>
      <c r="AU128" s="27">
        <f t="shared" si="307"/>
        <v>-3.7279797704055095E-2</v>
      </c>
      <c r="AV128" s="27">
        <f t="shared" si="307"/>
        <v>-9.8329500678589365E-2</v>
      </c>
      <c r="AW128" s="27">
        <f t="shared" si="307"/>
        <v>-3.6410629310317244E-3</v>
      </c>
      <c r="AX128" s="27">
        <f t="shared" si="308"/>
        <v>-0.10197056360962109</v>
      </c>
      <c r="BD128" t="str">
        <f t="shared" si="321"/>
        <v>34 Culture, media and sports occupations</v>
      </c>
      <c r="BE128" s="27">
        <f t="shared" si="309"/>
        <v>-0.87680478332768974</v>
      </c>
      <c r="BF128" s="27">
        <f t="shared" si="309"/>
        <v>0.27497195907884686</v>
      </c>
      <c r="BG128" s="27">
        <f t="shared" si="309"/>
        <v>-0.25487686435571133</v>
      </c>
      <c r="BH128" s="27">
        <f t="shared" si="309"/>
        <v>-1.4947599836053982E-2</v>
      </c>
      <c r="BI128" s="27">
        <f t="shared" si="310"/>
        <v>-0.26982446419176531</v>
      </c>
      <c r="BO128" t="str">
        <f t="shared" si="322"/>
        <v>34 Culture, media and sports occupations</v>
      </c>
      <c r="BP128" s="27">
        <f t="shared" si="311"/>
        <v>-0.52535681708093085</v>
      </c>
      <c r="BQ128" s="27">
        <f t="shared" si="311"/>
        <v>-0.15205784134569456</v>
      </c>
      <c r="BR128" s="27">
        <f t="shared" si="311"/>
        <v>-0.24418643655889127</v>
      </c>
      <c r="BS128" s="27">
        <f t="shared" si="311"/>
        <v>-0.42340859017032917</v>
      </c>
      <c r="BT128" s="27">
        <f t="shared" si="312"/>
        <v>-0.66759502672922044</v>
      </c>
      <c r="BZ128" t="str">
        <f t="shared" si="323"/>
        <v>34 Culture, media and sports occupations</v>
      </c>
      <c r="CA128" s="68">
        <f t="shared" si="313"/>
        <v>-0.31704856373821477</v>
      </c>
      <c r="CB128" s="68">
        <f t="shared" si="313"/>
        <v>-0.10917950478556793</v>
      </c>
      <c r="CC128" s="68">
        <f t="shared" si="313"/>
        <v>-9.8734689024776334E-2</v>
      </c>
      <c r="CD128" s="68">
        <f t="shared" si="313"/>
        <v>-0.30586037723753556</v>
      </c>
      <c r="CE128" s="68">
        <f t="shared" si="314"/>
        <v>-0.4045950662623119</v>
      </c>
      <c r="CK128" t="str">
        <f t="shared" si="324"/>
        <v>34 Culture, media and sports occupations</v>
      </c>
      <c r="CL128" s="68">
        <f t="shared" si="315"/>
        <v>1.446145041793534E-2</v>
      </c>
      <c r="CM128" s="68">
        <f t="shared" si="315"/>
        <v>-1.3742066236027084E-2</v>
      </c>
      <c r="CN128" s="68">
        <f t="shared" si="315"/>
        <v>7.5010291785966354E-2</v>
      </c>
      <c r="CO128" s="68">
        <f t="shared" si="315"/>
        <v>0.15947748002121687</v>
      </c>
      <c r="CP128" s="68">
        <f t="shared" si="316"/>
        <v>0.23448777180718322</v>
      </c>
    </row>
    <row r="129" spans="1:94" x14ac:dyDescent="0.2">
      <c r="A129" t="str">
        <f t="shared" si="298"/>
        <v>35 Business and public service associate professionals</v>
      </c>
      <c r="B129" s="27">
        <f t="shared" si="299"/>
        <v>0.12565951066963099</v>
      </c>
      <c r="C129" s="27">
        <f t="shared" si="299"/>
        <v>0.12240360637583536</v>
      </c>
      <c r="D129" s="27">
        <f t="shared" si="299"/>
        <v>0.12743813698476525</v>
      </c>
      <c r="E129" s="27">
        <f t="shared" si="299"/>
        <v>0.35115298449375243</v>
      </c>
      <c r="F129" s="27">
        <f t="shared" si="300"/>
        <v>0.47859112147851768</v>
      </c>
      <c r="L129" t="str">
        <f t="shared" si="317"/>
        <v>35 Business and public service associate professionals</v>
      </c>
      <c r="M129" s="27">
        <f t="shared" si="301"/>
        <v>1.4021719051936392</v>
      </c>
      <c r="N129" s="27">
        <f t="shared" si="301"/>
        <v>0.5644435334244946</v>
      </c>
      <c r="O129" s="27">
        <f t="shared" si="301"/>
        <v>0.90247444811410205</v>
      </c>
      <c r="P129" s="27">
        <f t="shared" si="301"/>
        <v>2.3980246614981073</v>
      </c>
      <c r="Q129" s="27">
        <f t="shared" si="302"/>
        <v>3.3004991096122094</v>
      </c>
      <c r="W129" t="str">
        <f t="shared" si="318"/>
        <v>35 Business and public service associate professionals</v>
      </c>
      <c r="X129" s="27">
        <f t="shared" si="303"/>
        <v>1.139381918273088</v>
      </c>
      <c r="Y129" s="27">
        <f t="shared" si="303"/>
        <v>-0.18402917796203511</v>
      </c>
      <c r="Z129" s="27">
        <f t="shared" si="303"/>
        <v>-0.24424168197618101</v>
      </c>
      <c r="AA129" s="27">
        <f t="shared" si="303"/>
        <v>1.1914151813140954</v>
      </c>
      <c r="AB129" s="27">
        <f t="shared" si="304"/>
        <v>0.94717349933791439</v>
      </c>
      <c r="AH129" t="str">
        <f t="shared" si="319"/>
        <v>35 Business and public service associate professionals</v>
      </c>
      <c r="AI129" s="27">
        <f t="shared" si="305"/>
        <v>0.28869574742636228</v>
      </c>
      <c r="AJ129" s="27">
        <f t="shared" si="305"/>
        <v>0.15991456670975879</v>
      </c>
      <c r="AK129" s="27">
        <f t="shared" si="305"/>
        <v>-9.0106310939954248E-2</v>
      </c>
      <c r="AL129" s="27">
        <f t="shared" si="305"/>
        <v>0.49204395634389986</v>
      </c>
      <c r="AM129" s="27">
        <f t="shared" si="306"/>
        <v>0.40193764540394561</v>
      </c>
      <c r="AS129" t="str">
        <f t="shared" si="320"/>
        <v>35 Business and public service associate professionals</v>
      </c>
      <c r="AT129" s="27">
        <f t="shared" si="307"/>
        <v>0.22309170009762269</v>
      </c>
      <c r="AU129" s="27">
        <f t="shared" si="307"/>
        <v>8.1621804177077983E-2</v>
      </c>
      <c r="AV129" s="27">
        <f t="shared" si="307"/>
        <v>-0.1422757473806211</v>
      </c>
      <c r="AW129" s="27">
        <f t="shared" si="307"/>
        <v>0.37843628811513774</v>
      </c>
      <c r="AX129" s="27">
        <f t="shared" si="308"/>
        <v>0.23616054073451664</v>
      </c>
      <c r="BD129" t="str">
        <f t="shared" si="321"/>
        <v>35 Business and public service associate professionals</v>
      </c>
      <c r="BE129" s="27">
        <f t="shared" si="309"/>
        <v>-0.62576315139124894</v>
      </c>
      <c r="BF129" s="27">
        <f t="shared" si="309"/>
        <v>1.0465893490595537</v>
      </c>
      <c r="BG129" s="27">
        <f t="shared" si="309"/>
        <v>-1.1268730650468495</v>
      </c>
      <c r="BH129" s="27">
        <f t="shared" si="309"/>
        <v>-0.21993876373904264</v>
      </c>
      <c r="BI129" s="27">
        <f t="shared" si="310"/>
        <v>-1.3468118287858921</v>
      </c>
      <c r="BO129" t="str">
        <f t="shared" si="322"/>
        <v>35 Business and public service associate professionals</v>
      </c>
      <c r="BP129" s="27">
        <f t="shared" si="311"/>
        <v>-0.2976214231431431</v>
      </c>
      <c r="BQ129" s="27">
        <f t="shared" si="311"/>
        <v>-0.29857726123216466</v>
      </c>
      <c r="BR129" s="27">
        <f t="shared" si="311"/>
        <v>-0.81668072635544853</v>
      </c>
      <c r="BS129" s="27">
        <f t="shared" si="311"/>
        <v>-1.2461691573021731</v>
      </c>
      <c r="BT129" s="27">
        <f t="shared" si="312"/>
        <v>-2.0628498836576217</v>
      </c>
      <c r="BZ129" t="str">
        <f t="shared" si="323"/>
        <v>35 Business and public service associate professionals</v>
      </c>
      <c r="CA129" s="68">
        <f t="shared" si="313"/>
        <v>-0.53447273556996144</v>
      </c>
      <c r="CB129" s="68">
        <f t="shared" si="313"/>
        <v>-0.37811989173848026</v>
      </c>
      <c r="CC129" s="68">
        <f t="shared" si="313"/>
        <v>-0.51146645265474122</v>
      </c>
      <c r="CD129" s="68">
        <f t="shared" si="313"/>
        <v>-1.4298102161613451</v>
      </c>
      <c r="CE129" s="68">
        <f t="shared" si="314"/>
        <v>-1.9412766688160863</v>
      </c>
      <c r="CK129" t="str">
        <f t="shared" si="324"/>
        <v>35 Business and public service associate professionals</v>
      </c>
      <c r="CL129" s="68">
        <f t="shared" si="315"/>
        <v>9.1928263209121508E-2</v>
      </c>
      <c r="CM129" s="68">
        <f t="shared" si="315"/>
        <v>3.7252073207014735E-3</v>
      </c>
      <c r="CN129" s="68">
        <f t="shared" si="315"/>
        <v>9.7155021331106872E-2</v>
      </c>
      <c r="CO129" s="68">
        <f t="shared" si="315"/>
        <v>0.42967248299263638</v>
      </c>
      <c r="CP129" s="68">
        <f t="shared" si="316"/>
        <v>0.52682750432374326</v>
      </c>
    </row>
    <row r="130" spans="1:94" x14ac:dyDescent="0.2">
      <c r="A130" t="str">
        <f t="shared" si="298"/>
        <v>41 Administrative occupations</v>
      </c>
      <c r="B130" s="27">
        <f t="shared" si="299"/>
        <v>4.1586924478232312E-2</v>
      </c>
      <c r="C130" s="27">
        <f t="shared" si="299"/>
        <v>8.3938343340881572E-2</v>
      </c>
      <c r="D130" s="27">
        <f t="shared" si="299"/>
        <v>7.0180262978590813E-2</v>
      </c>
      <c r="E130" s="27">
        <f t="shared" si="299"/>
        <v>0.20460602013672757</v>
      </c>
      <c r="F130" s="27">
        <f t="shared" si="300"/>
        <v>0.27478628311531839</v>
      </c>
      <c r="L130" t="str">
        <f t="shared" si="317"/>
        <v>41 Administrative occupations</v>
      </c>
      <c r="M130" s="27">
        <f t="shared" si="301"/>
        <v>0.71043729812335066</v>
      </c>
      <c r="N130" s="27">
        <f t="shared" si="301"/>
        <v>0.41183590485420751</v>
      </c>
      <c r="O130" s="27">
        <f t="shared" si="301"/>
        <v>0.64266984043699438</v>
      </c>
      <c r="P130" s="27">
        <f t="shared" si="301"/>
        <v>1.7588737270182451</v>
      </c>
      <c r="Q130" s="27">
        <f t="shared" si="302"/>
        <v>2.4015435674552394</v>
      </c>
      <c r="W130" t="str">
        <f t="shared" si="318"/>
        <v>41 Administrative occupations</v>
      </c>
      <c r="X130" s="27">
        <f t="shared" si="303"/>
        <v>0.6131578893443379</v>
      </c>
      <c r="Y130" s="27">
        <f t="shared" si="303"/>
        <v>0.50182002178409491</v>
      </c>
      <c r="Z130" s="27">
        <f t="shared" si="303"/>
        <v>0.35907260495882909</v>
      </c>
      <c r="AA130" s="27">
        <f t="shared" si="303"/>
        <v>2.2458178128569894</v>
      </c>
      <c r="AB130" s="27">
        <f t="shared" si="304"/>
        <v>2.6048904178158185</v>
      </c>
      <c r="AH130" t="str">
        <f t="shared" si="319"/>
        <v>41 Administrative occupations</v>
      </c>
      <c r="AI130" s="27">
        <f t="shared" si="305"/>
        <v>0.29268400188681198</v>
      </c>
      <c r="AJ130" s="27">
        <f t="shared" si="305"/>
        <v>0.32544613002167022</v>
      </c>
      <c r="AK130" s="27">
        <f t="shared" si="305"/>
        <v>2.1156909073442698E-2</v>
      </c>
      <c r="AL130" s="27">
        <f t="shared" si="305"/>
        <v>0.67400900529410368</v>
      </c>
      <c r="AM130" s="27">
        <f t="shared" si="306"/>
        <v>0.69516591436754638</v>
      </c>
      <c r="AS130" t="str">
        <f t="shared" si="320"/>
        <v>41 Administrative occupations</v>
      </c>
      <c r="AT130" s="27">
        <f t="shared" si="307"/>
        <v>0.19143178804156946</v>
      </c>
      <c r="AU130" s="27">
        <f t="shared" si="307"/>
        <v>0.25670235913103223</v>
      </c>
      <c r="AV130" s="27">
        <f t="shared" si="307"/>
        <v>-0.1743331252339404</v>
      </c>
      <c r="AW130" s="27">
        <f t="shared" si="307"/>
        <v>0.67660323550450752</v>
      </c>
      <c r="AX130" s="27">
        <f t="shared" si="308"/>
        <v>0.50227011027056712</v>
      </c>
      <c r="BD130" t="str">
        <f t="shared" si="321"/>
        <v>41 Administrative occupations</v>
      </c>
      <c r="BE130" s="27">
        <f t="shared" si="309"/>
        <v>-1.7473092085768229</v>
      </c>
      <c r="BF130" s="27">
        <f t="shared" si="309"/>
        <v>1.1872065807936369</v>
      </c>
      <c r="BG130" s="27">
        <f t="shared" si="309"/>
        <v>-2.2788852471204155</v>
      </c>
      <c r="BH130" s="27">
        <f t="shared" si="309"/>
        <v>-3.0656757365301814</v>
      </c>
      <c r="BI130" s="27">
        <f t="shared" si="310"/>
        <v>-5.344560983650597</v>
      </c>
      <c r="BO130" t="str">
        <f t="shared" si="322"/>
        <v>41 Administrative occupations</v>
      </c>
      <c r="BP130" s="27">
        <f t="shared" si="311"/>
        <v>-2.5665425753722939</v>
      </c>
      <c r="BQ130" s="27">
        <f t="shared" si="311"/>
        <v>-2.0403686141204247E-2</v>
      </c>
      <c r="BR130" s="27">
        <f t="shared" si="311"/>
        <v>-2.4448951061842958</v>
      </c>
      <c r="BS130" s="27">
        <f t="shared" si="311"/>
        <v>-4.2057556251645325</v>
      </c>
      <c r="BT130" s="27">
        <f t="shared" si="312"/>
        <v>-6.6506507313488283</v>
      </c>
      <c r="BZ130" t="str">
        <f t="shared" si="323"/>
        <v>41 Administrative occupations</v>
      </c>
      <c r="CA130" s="68">
        <f t="shared" si="313"/>
        <v>-1.2968786742117473</v>
      </c>
      <c r="CB130" s="68">
        <f t="shared" si="313"/>
        <v>-1.1748705222206279</v>
      </c>
      <c r="CC130" s="68">
        <f t="shared" si="313"/>
        <v>-2.0969245956790248</v>
      </c>
      <c r="CD130" s="68">
        <f t="shared" si="313"/>
        <v>-3.3626899598943667</v>
      </c>
      <c r="CE130" s="68">
        <f t="shared" si="314"/>
        <v>-5.4596145555733919</v>
      </c>
      <c r="CK130" t="str">
        <f t="shared" si="324"/>
        <v>41 Administrative occupations</v>
      </c>
      <c r="CL130" s="68">
        <f t="shared" si="315"/>
        <v>6.0249190497366101E-2</v>
      </c>
      <c r="CM130" s="68">
        <f t="shared" si="315"/>
        <v>-9.5790200962488914E-2</v>
      </c>
      <c r="CN130" s="68">
        <f t="shared" si="315"/>
        <v>-0.41205870100206132</v>
      </c>
      <c r="CO130" s="68">
        <f t="shared" si="315"/>
        <v>-0.10630976045733198</v>
      </c>
      <c r="CP130" s="68">
        <f t="shared" si="316"/>
        <v>-0.5183684614593933</v>
      </c>
    </row>
    <row r="131" spans="1:94" x14ac:dyDescent="0.2">
      <c r="A131" t="str">
        <f t="shared" si="298"/>
        <v>42 Secretarial and related occupations</v>
      </c>
      <c r="B131" s="27">
        <f t="shared" si="299"/>
        <v>9.2285534575975992E-3</v>
      </c>
      <c r="C131" s="27">
        <f t="shared" si="299"/>
        <v>5.9289425115122141E-4</v>
      </c>
      <c r="D131" s="27">
        <f t="shared" si="299"/>
        <v>2.7597782764513509E-2</v>
      </c>
      <c r="E131" s="27">
        <f t="shared" si="299"/>
        <v>6.7972952169903983E-2</v>
      </c>
      <c r="F131" s="27">
        <f t="shared" si="300"/>
        <v>9.5570734934417492E-2</v>
      </c>
      <c r="L131" t="str">
        <f t="shared" si="317"/>
        <v>42 Secretarial and related occupations</v>
      </c>
      <c r="M131" s="27">
        <f t="shared" si="301"/>
        <v>9.9150676754667377E-2</v>
      </c>
      <c r="N131" s="27">
        <f t="shared" si="301"/>
        <v>4.8581110295153551E-2</v>
      </c>
      <c r="O131" s="27">
        <f t="shared" si="301"/>
        <v>0.50542184045824412</v>
      </c>
      <c r="P131" s="27">
        <f t="shared" si="301"/>
        <v>0.34374498608030835</v>
      </c>
      <c r="Q131" s="27">
        <f t="shared" si="302"/>
        <v>0.84916682653855247</v>
      </c>
      <c r="W131" t="str">
        <f t="shared" si="318"/>
        <v>42 Secretarial and related occupations</v>
      </c>
      <c r="X131" s="27">
        <f t="shared" si="303"/>
        <v>-3.2426260778037008E-2</v>
      </c>
      <c r="Y131" s="27">
        <f t="shared" si="303"/>
        <v>3.5487079565601931E-2</v>
      </c>
      <c r="Z131" s="27">
        <f t="shared" si="303"/>
        <v>1.3102200204861023</v>
      </c>
      <c r="AA131" s="27">
        <f t="shared" si="303"/>
        <v>2.2875878520136625</v>
      </c>
      <c r="AB131" s="27">
        <f t="shared" si="304"/>
        <v>3.5978078724997649</v>
      </c>
      <c r="AH131" t="str">
        <f t="shared" si="319"/>
        <v>42 Secretarial and related occupations</v>
      </c>
      <c r="AI131" s="27">
        <f t="shared" si="305"/>
        <v>6.1110184554347136E-4</v>
      </c>
      <c r="AJ131" s="27">
        <f t="shared" si="305"/>
        <v>4.117477264103786E-2</v>
      </c>
      <c r="AK131" s="27">
        <f t="shared" si="305"/>
        <v>0.52532824639818521</v>
      </c>
      <c r="AL131" s="27">
        <f t="shared" si="305"/>
        <v>0.4754066139752875</v>
      </c>
      <c r="AM131" s="27">
        <f t="shared" si="306"/>
        <v>1.0007348603734727</v>
      </c>
      <c r="AS131" t="str">
        <f t="shared" si="320"/>
        <v>42 Secretarial and related occupations</v>
      </c>
      <c r="AT131" s="27">
        <f t="shared" si="307"/>
        <v>-5.1841969529791143E-2</v>
      </c>
      <c r="AU131" s="27">
        <f t="shared" si="307"/>
        <v>2.9342661610064047E-2</v>
      </c>
      <c r="AV131" s="27">
        <f t="shared" si="307"/>
        <v>0.31844431153526931</v>
      </c>
      <c r="AW131" s="27">
        <f t="shared" si="307"/>
        <v>6.7562080113479528E-2</v>
      </c>
      <c r="AX131" s="27">
        <f t="shared" si="308"/>
        <v>0.38600639164874884</v>
      </c>
      <c r="BD131" t="str">
        <f t="shared" si="321"/>
        <v>42 Secretarial and related occupations</v>
      </c>
      <c r="BE131" s="27">
        <f t="shared" si="309"/>
        <v>-0.63961284669164664</v>
      </c>
      <c r="BF131" s="27">
        <f t="shared" si="309"/>
        <v>0.14515956461498902</v>
      </c>
      <c r="BG131" s="27">
        <f t="shared" si="309"/>
        <v>0.10416367287855754</v>
      </c>
      <c r="BH131" s="27">
        <f t="shared" si="309"/>
        <v>-2.9812042101731127</v>
      </c>
      <c r="BI131" s="27">
        <f t="shared" si="310"/>
        <v>-2.8770405372945551</v>
      </c>
      <c r="BO131" t="str">
        <f t="shared" si="322"/>
        <v>42 Secretarial and related occupations</v>
      </c>
      <c r="BP131" s="27">
        <f t="shared" si="311"/>
        <v>-1.5621976979498289</v>
      </c>
      <c r="BQ131" s="27">
        <f t="shared" si="311"/>
        <v>-0.13406535487696836</v>
      </c>
      <c r="BR131" s="27">
        <f t="shared" si="311"/>
        <v>-0.72734896082996237</v>
      </c>
      <c r="BS131" s="27">
        <f t="shared" si="311"/>
        <v>-2.5957911654640085</v>
      </c>
      <c r="BT131" s="27">
        <f t="shared" si="312"/>
        <v>-3.3231401262939708</v>
      </c>
      <c r="BZ131" t="str">
        <f t="shared" si="323"/>
        <v>42 Secretarial and related occupations</v>
      </c>
      <c r="CA131" s="68">
        <f t="shared" si="313"/>
        <v>-0.62686533959758384</v>
      </c>
      <c r="CB131" s="68">
        <f t="shared" si="313"/>
        <v>-0.71185647976362443</v>
      </c>
      <c r="CC131" s="68">
        <f t="shared" si="313"/>
        <v>-1.7550739408214666</v>
      </c>
      <c r="CD131" s="68">
        <f t="shared" si="313"/>
        <v>-1.2115656695384318</v>
      </c>
      <c r="CE131" s="68">
        <f t="shared" si="314"/>
        <v>-2.9666396103598984</v>
      </c>
      <c r="CK131" t="str">
        <f t="shared" si="324"/>
        <v>42 Secretarial and related occupations</v>
      </c>
      <c r="CL131" s="68">
        <f t="shared" si="315"/>
        <v>3.7017491541358916E-2</v>
      </c>
      <c r="CM131" s="68">
        <f t="shared" si="315"/>
        <v>-5.1096966588192849E-2</v>
      </c>
      <c r="CN131" s="68">
        <f t="shared" si="315"/>
        <v>-5.5748478512049116E-2</v>
      </c>
      <c r="CO131" s="68">
        <f t="shared" si="315"/>
        <v>-0.26695294884157589</v>
      </c>
      <c r="CP131" s="68">
        <f t="shared" si="316"/>
        <v>-0.322701427353625</v>
      </c>
    </row>
    <row r="132" spans="1:94" x14ac:dyDescent="0.2">
      <c r="A132" t="str">
        <f t="shared" si="298"/>
        <v>51 Skilled agricultural and related trades</v>
      </c>
      <c r="B132" s="27">
        <f t="shared" si="299"/>
        <v>5.6521218286123796E-3</v>
      </c>
      <c r="C132" s="27">
        <f t="shared" si="299"/>
        <v>-2.3201145347371659E-3</v>
      </c>
      <c r="D132" s="27">
        <f t="shared" si="299"/>
        <v>5.5290907313299067E-3</v>
      </c>
      <c r="E132" s="27">
        <f t="shared" si="299"/>
        <v>9.9552435560729957E-3</v>
      </c>
      <c r="F132" s="27">
        <f t="shared" si="300"/>
        <v>1.5484334287402902E-2</v>
      </c>
      <c r="L132" t="str">
        <f t="shared" si="317"/>
        <v>51 Skilled agricultural and related trades</v>
      </c>
      <c r="M132" s="27">
        <f t="shared" si="301"/>
        <v>3.4111419441891389E-2</v>
      </c>
      <c r="N132" s="27">
        <f t="shared" si="301"/>
        <v>-3.6094501617349145E-2</v>
      </c>
      <c r="O132" s="27">
        <f t="shared" si="301"/>
        <v>2.0322898368526965E-2</v>
      </c>
      <c r="P132" s="27">
        <f t="shared" si="301"/>
        <v>5.7584014662389715E-2</v>
      </c>
      <c r="Q132" s="27">
        <f t="shared" si="302"/>
        <v>7.790691303091668E-2</v>
      </c>
      <c r="W132" t="str">
        <f t="shared" si="318"/>
        <v>51 Skilled agricultural and related trades</v>
      </c>
      <c r="X132" s="27">
        <f t="shared" si="303"/>
        <v>8.6142277581300553E-2</v>
      </c>
      <c r="Y132" s="27">
        <f t="shared" si="303"/>
        <v>-4.8998227085095936E-2</v>
      </c>
      <c r="Z132" s="27">
        <f t="shared" si="303"/>
        <v>0.22301128970529649</v>
      </c>
      <c r="AA132" s="27">
        <f t="shared" si="303"/>
        <v>0.65401040241676189</v>
      </c>
      <c r="AB132" s="27">
        <f t="shared" si="304"/>
        <v>0.87702169212205838</v>
      </c>
      <c r="AH132" t="str">
        <f t="shared" si="319"/>
        <v>51 Skilled agricultural and related trades</v>
      </c>
      <c r="AI132" s="27">
        <f t="shared" si="305"/>
        <v>7.7591811321376603E-2</v>
      </c>
      <c r="AJ132" s="27">
        <f t="shared" si="305"/>
        <v>-0.1250879279264574</v>
      </c>
      <c r="AK132" s="27">
        <f t="shared" si="305"/>
        <v>8.1364212455149909E-2</v>
      </c>
      <c r="AL132" s="27">
        <f t="shared" si="305"/>
        <v>0.20458479135773233</v>
      </c>
      <c r="AM132" s="27">
        <f t="shared" si="306"/>
        <v>0.28594900381288224</v>
      </c>
      <c r="AS132" t="str">
        <f t="shared" si="320"/>
        <v>51 Skilled agricultural and related trades</v>
      </c>
      <c r="AT132" s="27">
        <f t="shared" si="307"/>
        <v>0.21594445007545748</v>
      </c>
      <c r="AU132" s="27">
        <f t="shared" si="307"/>
        <v>-0.20173582184019911</v>
      </c>
      <c r="AV132" s="27">
        <f t="shared" si="307"/>
        <v>5.0082534753495445E-2</v>
      </c>
      <c r="AW132" s="27">
        <f t="shared" si="307"/>
        <v>0.28425263649030674</v>
      </c>
      <c r="AX132" s="27">
        <f t="shared" si="308"/>
        <v>0.33433517124380219</v>
      </c>
      <c r="BD132" t="str">
        <f t="shared" si="321"/>
        <v>51 Skilled agricultural and related trades</v>
      </c>
      <c r="BE132" s="27">
        <f t="shared" si="309"/>
        <v>-4.9810166878613726E-2</v>
      </c>
      <c r="BF132" s="27">
        <f t="shared" si="309"/>
        <v>-0.24083246515211809</v>
      </c>
      <c r="BG132" s="27">
        <f t="shared" si="309"/>
        <v>-3.5169657905862017E-2</v>
      </c>
      <c r="BH132" s="27">
        <f t="shared" si="309"/>
        <v>2.0537749279297524E-2</v>
      </c>
      <c r="BI132" s="27">
        <f t="shared" si="310"/>
        <v>-1.4631908626564494E-2</v>
      </c>
      <c r="BO132" t="str">
        <f t="shared" si="322"/>
        <v>51 Skilled agricultural and related trades</v>
      </c>
      <c r="BP132" s="27">
        <f t="shared" si="311"/>
        <v>0.12172437139475112</v>
      </c>
      <c r="BQ132" s="27">
        <f t="shared" si="311"/>
        <v>-0.59995131543150459</v>
      </c>
      <c r="BR132" s="27">
        <f t="shared" si="311"/>
        <v>6.4809614306395202E-2</v>
      </c>
      <c r="BS132" s="27">
        <f t="shared" si="311"/>
        <v>4.427854675899634E-2</v>
      </c>
      <c r="BT132" s="27">
        <f t="shared" si="312"/>
        <v>0.10908816106539154</v>
      </c>
      <c r="BZ132" t="str">
        <f t="shared" si="323"/>
        <v>51 Skilled agricultural and related trades</v>
      </c>
      <c r="CA132" s="68">
        <f t="shared" si="313"/>
        <v>-0.15824910479035181</v>
      </c>
      <c r="CB132" s="68">
        <f t="shared" si="313"/>
        <v>-0.25646674892833099</v>
      </c>
      <c r="CC132" s="68">
        <f t="shared" si="313"/>
        <v>4.2553650330624082E-2</v>
      </c>
      <c r="CD132" s="68">
        <f t="shared" si="313"/>
        <v>0.27932918635911941</v>
      </c>
      <c r="CE132" s="68">
        <f t="shared" si="314"/>
        <v>0.32188283668974349</v>
      </c>
      <c r="CK132" t="str">
        <f t="shared" si="324"/>
        <v>51 Skilled agricultural and related trades</v>
      </c>
      <c r="CL132" s="68">
        <f t="shared" si="315"/>
        <v>0.1390529016306592</v>
      </c>
      <c r="CM132" s="68">
        <f t="shared" si="315"/>
        <v>-0.33316294278625525</v>
      </c>
      <c r="CN132" s="68">
        <f t="shared" si="315"/>
        <v>8.5253159844131066E-2</v>
      </c>
      <c r="CO132" s="68">
        <f t="shared" si="315"/>
        <v>-0.23848863477328697</v>
      </c>
      <c r="CP132" s="68">
        <f t="shared" si="316"/>
        <v>-0.1532354749291559</v>
      </c>
    </row>
    <row r="133" spans="1:94" x14ac:dyDescent="0.2">
      <c r="A133" t="str">
        <f t="shared" si="298"/>
        <v>52 Skilled metal, electrical and electronic trades</v>
      </c>
      <c r="B133" s="27">
        <f t="shared" si="299"/>
        <v>-2.3163237337721423E-3</v>
      </c>
      <c r="C133" s="27">
        <f t="shared" si="299"/>
        <v>3.5036128023544152E-3</v>
      </c>
      <c r="D133" s="27">
        <f t="shared" si="299"/>
        <v>2.6661092080406956E-3</v>
      </c>
      <c r="E133" s="27">
        <f t="shared" si="299"/>
        <v>1.3824489384656274E-2</v>
      </c>
      <c r="F133" s="27">
        <f t="shared" si="300"/>
        <v>1.649059859269697E-2</v>
      </c>
      <c r="L133" t="str">
        <f t="shared" si="317"/>
        <v>52 Skilled metal, electrical and electronic trades</v>
      </c>
      <c r="M133" s="27">
        <f t="shared" si="301"/>
        <v>0.10626041386287854</v>
      </c>
      <c r="N133" s="27">
        <f t="shared" si="301"/>
        <v>-5.1307940781387673E-2</v>
      </c>
      <c r="O133" s="27">
        <f t="shared" si="301"/>
        <v>0.30774545544445564</v>
      </c>
      <c r="P133" s="27">
        <f t="shared" si="301"/>
        <v>0.53951921903985034</v>
      </c>
      <c r="Q133" s="27">
        <f t="shared" si="302"/>
        <v>0.84726467448430598</v>
      </c>
      <c r="W133" t="str">
        <f t="shared" si="318"/>
        <v>52 Skilled metal, electrical and electronic trades</v>
      </c>
      <c r="X133" s="27">
        <f t="shared" si="303"/>
        <v>0.13103778637845553</v>
      </c>
      <c r="Y133" s="27">
        <f t="shared" si="303"/>
        <v>-0.34168910742955183</v>
      </c>
      <c r="Z133" s="27">
        <f t="shared" si="303"/>
        <v>0.31479466343944096</v>
      </c>
      <c r="AA133" s="27">
        <f t="shared" si="303"/>
        <v>0.49513150807503625</v>
      </c>
      <c r="AB133" s="27">
        <f t="shared" si="304"/>
        <v>0.80992617151447721</v>
      </c>
      <c r="AH133" t="str">
        <f t="shared" si="319"/>
        <v>52 Skilled metal, electrical and electronic trades</v>
      </c>
      <c r="AI133" s="27">
        <f t="shared" si="305"/>
        <v>9.2186422967172166E-2</v>
      </c>
      <c r="AJ133" s="27">
        <f t="shared" si="305"/>
        <v>-0.10467734872747836</v>
      </c>
      <c r="AK133" s="27">
        <f t="shared" si="305"/>
        <v>2.8578303471262334E-2</v>
      </c>
      <c r="AL133" s="27">
        <f t="shared" si="305"/>
        <v>0.14470367184720767</v>
      </c>
      <c r="AM133" s="27">
        <f t="shared" si="306"/>
        <v>0.17328197531847001</v>
      </c>
      <c r="AS133" t="str">
        <f t="shared" si="320"/>
        <v>52 Skilled metal, electrical and electronic trades</v>
      </c>
      <c r="AT133" s="27">
        <f t="shared" si="307"/>
        <v>0.23505037338223689</v>
      </c>
      <c r="AU133" s="27">
        <f t="shared" si="307"/>
        <v>-0.32190018520162678</v>
      </c>
      <c r="AV133" s="27">
        <f t="shared" si="307"/>
        <v>7.7343041770684184E-2</v>
      </c>
      <c r="AW133" s="27">
        <f t="shared" si="307"/>
        <v>0.47981730543901424</v>
      </c>
      <c r="AX133" s="27">
        <f t="shared" si="308"/>
        <v>0.55716034720969843</v>
      </c>
      <c r="BD133" t="str">
        <f t="shared" si="321"/>
        <v>52 Skilled metal, electrical and electronic trades</v>
      </c>
      <c r="BE133" s="27">
        <f t="shared" si="309"/>
        <v>-0.4673320115844728</v>
      </c>
      <c r="BF133" s="27">
        <f t="shared" si="309"/>
        <v>-0.68874254819218095</v>
      </c>
      <c r="BG133" s="27">
        <f t="shared" si="309"/>
        <v>-2.4427288119024837E-2</v>
      </c>
      <c r="BH133" s="27">
        <f t="shared" si="309"/>
        <v>-0.17804399955488392</v>
      </c>
      <c r="BI133" s="27">
        <f t="shared" si="310"/>
        <v>-0.20247128767390876</v>
      </c>
      <c r="BO133" t="str">
        <f t="shared" si="322"/>
        <v>52 Skilled metal, electrical and electronic trades</v>
      </c>
      <c r="BP133" s="27">
        <f t="shared" si="311"/>
        <v>0.44489637159917361</v>
      </c>
      <c r="BQ133" s="27">
        <f t="shared" si="311"/>
        <v>-1.4482259616581752</v>
      </c>
      <c r="BR133" s="27">
        <f t="shared" si="311"/>
        <v>-0.18546551174538273</v>
      </c>
      <c r="BS133" s="27">
        <f t="shared" si="311"/>
        <v>-0.80304889081143482</v>
      </c>
      <c r="BT133" s="27">
        <f t="shared" si="312"/>
        <v>-0.98851440255681755</v>
      </c>
      <c r="BZ133" t="str">
        <f t="shared" si="323"/>
        <v>52 Skilled metal, electrical and electronic trades</v>
      </c>
      <c r="CA133" s="68">
        <f t="shared" si="313"/>
        <v>-0.64552963611032776</v>
      </c>
      <c r="CB133" s="68">
        <f t="shared" si="313"/>
        <v>-0.5764192621299995</v>
      </c>
      <c r="CC133" s="68">
        <f t="shared" si="313"/>
        <v>9.7492720863193494E-2</v>
      </c>
      <c r="CD133" s="68">
        <f t="shared" si="313"/>
        <v>-1.1951855162477376</v>
      </c>
      <c r="CE133" s="68">
        <f t="shared" si="314"/>
        <v>-1.0976927953845441</v>
      </c>
      <c r="CK133" t="str">
        <f t="shared" si="324"/>
        <v>52 Skilled metal, electrical and electronic trades</v>
      </c>
      <c r="CL133" s="68">
        <f t="shared" si="315"/>
        <v>0.14298952102040996</v>
      </c>
      <c r="CM133" s="68">
        <f t="shared" si="315"/>
        <v>-0.25016621948116824</v>
      </c>
      <c r="CN133" s="68">
        <f t="shared" si="315"/>
        <v>0.17675525735470576</v>
      </c>
      <c r="CO133" s="68">
        <f t="shared" si="315"/>
        <v>-0.25975955609047185</v>
      </c>
      <c r="CP133" s="68">
        <f t="shared" si="316"/>
        <v>-8.3004298735766091E-2</v>
      </c>
    </row>
    <row r="134" spans="1:94" x14ac:dyDescent="0.2">
      <c r="A134" t="str">
        <f t="shared" si="298"/>
        <v>53 Skilled construction and building trades</v>
      </c>
      <c r="B134" s="27">
        <f t="shared" si="299"/>
        <v>-7.1984402476807114E-3</v>
      </c>
      <c r="C134" s="27">
        <f t="shared" si="299"/>
        <v>-1.8541053614272197E-3</v>
      </c>
      <c r="D134" s="27">
        <f t="shared" si="299"/>
        <v>6.2139005834819915E-3</v>
      </c>
      <c r="E134" s="27">
        <f t="shared" si="299"/>
        <v>1.4635420088298275E-3</v>
      </c>
      <c r="F134" s="27">
        <f t="shared" si="300"/>
        <v>7.677442592311819E-3</v>
      </c>
      <c r="L134" t="str">
        <f t="shared" si="317"/>
        <v>53 Skilled construction and building trades</v>
      </c>
      <c r="M134" s="27">
        <f t="shared" si="301"/>
        <v>1.3234348795447659E-2</v>
      </c>
      <c r="N134" s="27">
        <f t="shared" si="301"/>
        <v>-9.3675713586810483E-4</v>
      </c>
      <c r="O134" s="27">
        <f t="shared" si="301"/>
        <v>6.0344903915090509E-2</v>
      </c>
      <c r="P134" s="27">
        <f t="shared" si="301"/>
        <v>9.0293742091169749E-2</v>
      </c>
      <c r="Q134" s="27">
        <f t="shared" si="302"/>
        <v>0.15063864600626026</v>
      </c>
      <c r="W134" t="str">
        <f t="shared" si="318"/>
        <v>53 Skilled construction and building trades</v>
      </c>
      <c r="X134" s="27">
        <f t="shared" si="303"/>
        <v>-4.4971847852490088E-2</v>
      </c>
      <c r="Y134" s="27">
        <f t="shared" si="303"/>
        <v>-0.10345707614742106</v>
      </c>
      <c r="Z134" s="27">
        <f t="shared" si="303"/>
        <v>0.17286289402865596</v>
      </c>
      <c r="AA134" s="27">
        <f t="shared" si="303"/>
        <v>0.14937285474845541</v>
      </c>
      <c r="AB134" s="27">
        <f t="shared" si="304"/>
        <v>0.32223574877711136</v>
      </c>
      <c r="AH134" t="str">
        <f t="shared" si="319"/>
        <v>53 Skilled construction and building trades</v>
      </c>
      <c r="AI134" s="27">
        <f t="shared" si="305"/>
        <v>7.3461729946695864E-2</v>
      </c>
      <c r="AJ134" s="27">
        <f t="shared" si="305"/>
        <v>-7.9060482052019876E-2</v>
      </c>
      <c r="AK134" s="27">
        <f t="shared" si="305"/>
        <v>9.5950318251775135E-2</v>
      </c>
      <c r="AL134" s="27">
        <f t="shared" si="305"/>
        <v>0.11613322628560174</v>
      </c>
      <c r="AM134" s="27">
        <f t="shared" si="306"/>
        <v>0.21208354453737688</v>
      </c>
      <c r="AS134" t="str">
        <f t="shared" si="320"/>
        <v>53 Skilled construction and building trades</v>
      </c>
      <c r="AT134" s="27">
        <f t="shared" si="307"/>
        <v>-1.703782472360682E-2</v>
      </c>
      <c r="AU134" s="27">
        <f t="shared" si="307"/>
        <v>-4.5864247716039253E-2</v>
      </c>
      <c r="AV134" s="27">
        <f t="shared" si="307"/>
        <v>0.16148208290837418</v>
      </c>
      <c r="AW134" s="27">
        <f t="shared" si="307"/>
        <v>7.3342937709332312E-2</v>
      </c>
      <c r="AX134" s="27">
        <f t="shared" si="308"/>
        <v>0.23482502061770649</v>
      </c>
      <c r="BD134" t="str">
        <f t="shared" si="321"/>
        <v>53 Skilled construction and building trades</v>
      </c>
      <c r="BE134" s="27">
        <f t="shared" si="309"/>
        <v>-1.3660203261749491</v>
      </c>
      <c r="BF134" s="27">
        <f t="shared" si="309"/>
        <v>-0.20328017129345444</v>
      </c>
      <c r="BG134" s="27">
        <f t="shared" si="309"/>
        <v>-1.8493986777775362E-2</v>
      </c>
      <c r="BH134" s="27">
        <f t="shared" si="309"/>
        <v>-0.8895711885714519</v>
      </c>
      <c r="BI134" s="27">
        <f t="shared" si="310"/>
        <v>-0.90806517534922726</v>
      </c>
      <c r="BO134" t="str">
        <f t="shared" si="322"/>
        <v>53 Skilled construction and building trades</v>
      </c>
      <c r="BP134" s="27">
        <f t="shared" si="311"/>
        <v>0.49605807799124246</v>
      </c>
      <c r="BQ134" s="27">
        <f t="shared" si="311"/>
        <v>-1.2393468009187858</v>
      </c>
      <c r="BR134" s="27">
        <f t="shared" si="311"/>
        <v>0.72171265813077223</v>
      </c>
      <c r="BS134" s="27">
        <f t="shared" si="311"/>
        <v>-9.2491644035974652E-2</v>
      </c>
      <c r="BT134" s="27">
        <f t="shared" si="312"/>
        <v>0.62922101409479758</v>
      </c>
      <c r="BZ134" t="str">
        <f t="shared" si="323"/>
        <v>53 Skilled construction and building trades</v>
      </c>
      <c r="CA134" s="68">
        <f t="shared" si="313"/>
        <v>-0.761578640788803</v>
      </c>
      <c r="CB134" s="68">
        <f t="shared" si="313"/>
        <v>-0.34245979432771678</v>
      </c>
      <c r="CC134" s="68">
        <f t="shared" si="313"/>
        <v>0.36406120911387241</v>
      </c>
      <c r="CD134" s="68">
        <f t="shared" si="313"/>
        <v>-0.14834416526976835</v>
      </c>
      <c r="CE134" s="68">
        <f t="shared" si="314"/>
        <v>0.21571704384410406</v>
      </c>
      <c r="CK134" t="str">
        <f t="shared" si="324"/>
        <v>53 Skilled construction and building trades</v>
      </c>
      <c r="CL134" s="68">
        <f t="shared" si="315"/>
        <v>-0.15254526888891107</v>
      </c>
      <c r="CM134" s="68">
        <f t="shared" si="315"/>
        <v>-0.32036436357924636</v>
      </c>
      <c r="CN134" s="68">
        <f t="shared" si="315"/>
        <v>-0.11624434378909054</v>
      </c>
      <c r="CO134" s="68">
        <f t="shared" si="315"/>
        <v>-0.80611973181283103</v>
      </c>
      <c r="CP134" s="68">
        <f t="shared" si="316"/>
        <v>-0.92236407560192157</v>
      </c>
    </row>
    <row r="135" spans="1:94" x14ac:dyDescent="0.2">
      <c r="A135" t="str">
        <f t="shared" si="298"/>
        <v>54 Textiles, printing and other skilled trades</v>
      </c>
      <c r="B135" s="27">
        <f t="shared" si="299"/>
        <v>3.9529240725562076E-3</v>
      </c>
      <c r="C135" s="27">
        <f t="shared" si="299"/>
        <v>5.4950133967331671E-3</v>
      </c>
      <c r="D135" s="27">
        <f t="shared" si="299"/>
        <v>1.8362204479469915E-2</v>
      </c>
      <c r="E135" s="27">
        <f t="shared" si="299"/>
        <v>3.0655800445417991E-2</v>
      </c>
      <c r="F135" s="27">
        <f t="shared" si="300"/>
        <v>4.9018004924887906E-2</v>
      </c>
      <c r="L135" t="str">
        <f t="shared" si="317"/>
        <v>54 Textiles, printing and other skilled trades</v>
      </c>
      <c r="M135" s="27">
        <f t="shared" si="301"/>
        <v>5.4779074647359427E-2</v>
      </c>
      <c r="N135" s="27">
        <f t="shared" si="301"/>
        <v>5.2539178606504477E-2</v>
      </c>
      <c r="O135" s="27">
        <f t="shared" si="301"/>
        <v>0.16993714550290717</v>
      </c>
      <c r="P135" s="27">
        <f t="shared" si="301"/>
        <v>0.38071405061842656</v>
      </c>
      <c r="Q135" s="27">
        <f t="shared" si="302"/>
        <v>0.55065119612133373</v>
      </c>
      <c r="W135" t="str">
        <f t="shared" si="318"/>
        <v>54 Textiles, printing and other skilled trades</v>
      </c>
      <c r="X135" s="27">
        <f t="shared" si="303"/>
        <v>1.4824146348191292E-2</v>
      </c>
      <c r="Y135" s="27">
        <f t="shared" si="303"/>
        <v>-0.11324676338232487</v>
      </c>
      <c r="Z135" s="27">
        <f t="shared" si="303"/>
        <v>0.36260014210178793</v>
      </c>
      <c r="AA135" s="27">
        <f t="shared" si="303"/>
        <v>0.60627406003663387</v>
      </c>
      <c r="AB135" s="27">
        <f t="shared" si="304"/>
        <v>0.96887420213842179</v>
      </c>
      <c r="AH135" t="str">
        <f t="shared" si="319"/>
        <v>54 Textiles, printing and other skilled trades</v>
      </c>
      <c r="AI135" s="27">
        <f t="shared" si="305"/>
        <v>-2.3682624658089901E-2</v>
      </c>
      <c r="AJ135" s="27">
        <f t="shared" si="305"/>
        <v>-2.5483927255372962E-2</v>
      </c>
      <c r="AK135" s="27">
        <f t="shared" si="305"/>
        <v>4.2501066816695965E-2</v>
      </c>
      <c r="AL135" s="27">
        <f t="shared" si="305"/>
        <v>0.16016367932494124</v>
      </c>
      <c r="AM135" s="27">
        <f t="shared" si="306"/>
        <v>0.20266474614163721</v>
      </c>
      <c r="AS135" t="str">
        <f t="shared" si="320"/>
        <v>54 Textiles, printing and other skilled trades</v>
      </c>
      <c r="AT135" s="27">
        <f t="shared" si="307"/>
        <v>-2.0742333291674186E-2</v>
      </c>
      <c r="AU135" s="27">
        <f t="shared" si="307"/>
        <v>-3.10326887314889E-2</v>
      </c>
      <c r="AV135" s="27">
        <f t="shared" si="307"/>
        <v>0.12012816574623209</v>
      </c>
      <c r="AW135" s="27">
        <f t="shared" si="307"/>
        <v>0.20879336206188026</v>
      </c>
      <c r="AX135" s="27">
        <f t="shared" si="308"/>
        <v>0.32892152780811235</v>
      </c>
      <c r="BD135" t="str">
        <f t="shared" si="321"/>
        <v>54 Textiles, printing and other skilled trades</v>
      </c>
      <c r="BE135" s="27">
        <f t="shared" si="309"/>
        <v>-0.55837939658379909</v>
      </c>
      <c r="BF135" s="27">
        <f t="shared" si="309"/>
        <v>-0.15938932268061201</v>
      </c>
      <c r="BG135" s="27">
        <f t="shared" si="309"/>
        <v>0.36909731208402974</v>
      </c>
      <c r="BH135" s="27">
        <f t="shared" si="309"/>
        <v>0.51633858400093757</v>
      </c>
      <c r="BI135" s="27">
        <f t="shared" si="310"/>
        <v>0.88543589608496731</v>
      </c>
      <c r="BO135" t="str">
        <f t="shared" si="322"/>
        <v>54 Textiles, printing and other skilled trades</v>
      </c>
      <c r="BP135" s="27">
        <f t="shared" si="311"/>
        <v>-0.86325587324741715</v>
      </c>
      <c r="BQ135" s="27">
        <f t="shared" si="311"/>
        <v>-0.38473464063810558</v>
      </c>
      <c r="BR135" s="27">
        <f t="shared" si="311"/>
        <v>-0.36725988210024063</v>
      </c>
      <c r="BS135" s="27">
        <f t="shared" si="311"/>
        <v>-0.33101570065487129</v>
      </c>
      <c r="BT135" s="27">
        <f t="shared" si="312"/>
        <v>-0.69827558275511192</v>
      </c>
      <c r="BZ135" t="str">
        <f t="shared" si="323"/>
        <v>54 Textiles, printing and other skilled trades</v>
      </c>
      <c r="CA135" s="68">
        <f t="shared" si="313"/>
        <v>-0.80580895338004588</v>
      </c>
      <c r="CB135" s="68">
        <f t="shared" si="313"/>
        <v>-0.51999446312686048</v>
      </c>
      <c r="CC135" s="68">
        <f t="shared" si="313"/>
        <v>0.13108684901613676</v>
      </c>
      <c r="CD135" s="68">
        <f t="shared" si="313"/>
        <v>-0.46680311471126545</v>
      </c>
      <c r="CE135" s="68">
        <f t="shared" si="314"/>
        <v>-0.33571626569512869</v>
      </c>
      <c r="CK135" t="str">
        <f t="shared" si="324"/>
        <v>54 Textiles, printing and other skilled trades</v>
      </c>
      <c r="CL135" s="68">
        <f t="shared" si="315"/>
        <v>-0.11497950938562429</v>
      </c>
      <c r="CM135" s="68">
        <f t="shared" si="315"/>
        <v>-0.18171824519711177</v>
      </c>
      <c r="CN135" s="68">
        <f t="shared" si="315"/>
        <v>-0.24419549277144337</v>
      </c>
      <c r="CO135" s="68">
        <f t="shared" si="315"/>
        <v>-0.27573862912511227</v>
      </c>
      <c r="CP135" s="68">
        <f t="shared" si="316"/>
        <v>-0.51993412189655563</v>
      </c>
    </row>
    <row r="136" spans="1:94" x14ac:dyDescent="0.2">
      <c r="A136" t="str">
        <f t="shared" si="298"/>
        <v>61 Caring personal service occupations</v>
      </c>
      <c r="B136" s="27">
        <f t="shared" si="299"/>
        <v>1.1585728952579505E-2</v>
      </c>
      <c r="C136" s="27">
        <f t="shared" si="299"/>
        <v>3.7639802448461573E-4</v>
      </c>
      <c r="D136" s="27">
        <f t="shared" si="299"/>
        <v>2.1980047425814442E-2</v>
      </c>
      <c r="E136" s="27">
        <f t="shared" si="299"/>
        <v>3.2344416227901338E-2</v>
      </c>
      <c r="F136" s="27">
        <f t="shared" si="300"/>
        <v>5.4324463653715779E-2</v>
      </c>
      <c r="L136" t="str">
        <f t="shared" si="317"/>
        <v>61 Caring personal service occupations</v>
      </c>
      <c r="M136" s="27">
        <f t="shared" si="301"/>
        <v>0.77668122611643442</v>
      </c>
      <c r="N136" s="27">
        <f t="shared" si="301"/>
        <v>3.6699651588638638E-2</v>
      </c>
      <c r="O136" s="27">
        <f t="shared" si="301"/>
        <v>0.95084362225943009</v>
      </c>
      <c r="P136" s="27">
        <f t="shared" si="301"/>
        <v>1.375804932565567</v>
      </c>
      <c r="Q136" s="27">
        <f t="shared" si="302"/>
        <v>2.3266485548249971</v>
      </c>
      <c r="W136" t="str">
        <f t="shared" si="318"/>
        <v>61 Caring personal service occupations</v>
      </c>
      <c r="X136" s="27">
        <f t="shared" si="303"/>
        <v>1.3639028941279108</v>
      </c>
      <c r="Y136" s="27">
        <f t="shared" si="303"/>
        <v>-0.49230747458797097</v>
      </c>
      <c r="Z136" s="27">
        <f t="shared" si="303"/>
        <v>1.5216874273833803</v>
      </c>
      <c r="AA136" s="27">
        <f t="shared" si="303"/>
        <v>1.7609272769031517</v>
      </c>
      <c r="AB136" s="27">
        <f t="shared" si="304"/>
        <v>3.2826147042865319</v>
      </c>
      <c r="AH136" t="str">
        <f t="shared" si="319"/>
        <v>61 Caring personal service occupations</v>
      </c>
      <c r="AI136" s="27">
        <f t="shared" si="305"/>
        <v>0.3576093899444226</v>
      </c>
      <c r="AJ136" s="27">
        <f t="shared" si="305"/>
        <v>-0.29027328660118279</v>
      </c>
      <c r="AK136" s="27">
        <f t="shared" si="305"/>
        <v>0.3932339194776775</v>
      </c>
      <c r="AL136" s="27">
        <f t="shared" si="305"/>
        <v>0.32161664694303127</v>
      </c>
      <c r="AM136" s="27">
        <f t="shared" si="306"/>
        <v>0.71485056642070877</v>
      </c>
      <c r="AS136" t="str">
        <f t="shared" si="320"/>
        <v>61 Caring personal service occupations</v>
      </c>
      <c r="AT136" s="27">
        <f t="shared" si="307"/>
        <v>0.47981158365247101</v>
      </c>
      <c r="AU136" s="27">
        <f t="shared" si="307"/>
        <v>-0.14624077477521036</v>
      </c>
      <c r="AV136" s="27">
        <f t="shared" si="307"/>
        <v>0.27455690043150272</v>
      </c>
      <c r="AW136" s="27">
        <f t="shared" si="307"/>
        <v>0.2977438870357596</v>
      </c>
      <c r="AX136" s="27">
        <f t="shared" si="308"/>
        <v>0.57230078746726232</v>
      </c>
      <c r="BD136" t="str">
        <f t="shared" si="321"/>
        <v>61 Caring personal service occupations</v>
      </c>
      <c r="BE136" s="27">
        <f t="shared" si="309"/>
        <v>1.2386714584010576</v>
      </c>
      <c r="BF136" s="27">
        <f t="shared" si="309"/>
        <v>-5.2296209739758126E-2</v>
      </c>
      <c r="BG136" s="27">
        <f t="shared" si="309"/>
        <v>1.4291348757321671</v>
      </c>
      <c r="BH136" s="27">
        <f t="shared" si="309"/>
        <v>2.9480436436609914</v>
      </c>
      <c r="BI136" s="27">
        <f t="shared" si="310"/>
        <v>4.3771785193931585</v>
      </c>
      <c r="BO136" t="str">
        <f t="shared" si="322"/>
        <v>61 Caring personal service occupations</v>
      </c>
      <c r="BP136" s="27">
        <f t="shared" si="311"/>
        <v>-0.71425763717665269</v>
      </c>
      <c r="BQ136" s="27">
        <f t="shared" si="311"/>
        <v>-1.2524663665418139</v>
      </c>
      <c r="BR136" s="27">
        <f t="shared" si="311"/>
        <v>0.11442534959321016</v>
      </c>
      <c r="BS136" s="27">
        <f t="shared" si="311"/>
        <v>-2.1802361482910744</v>
      </c>
      <c r="BT136" s="27">
        <f t="shared" si="312"/>
        <v>-2.0658107986978642</v>
      </c>
      <c r="BZ136" t="str">
        <f t="shared" si="323"/>
        <v>61 Caring personal service occupations</v>
      </c>
      <c r="CA136" s="68">
        <f t="shared" si="313"/>
        <v>-1.8480913248835864</v>
      </c>
      <c r="CB136" s="68">
        <f t="shared" si="313"/>
        <v>-0.49012654516383725</v>
      </c>
      <c r="CC136" s="68">
        <f t="shared" si="313"/>
        <v>-0.39017094837052335</v>
      </c>
      <c r="CD136" s="68">
        <f t="shared" si="313"/>
        <v>-0.29536382763331637</v>
      </c>
      <c r="CE136" s="68">
        <f t="shared" si="314"/>
        <v>-0.68553477600383972</v>
      </c>
      <c r="CK136" t="str">
        <f t="shared" si="324"/>
        <v>61 Caring personal service occupations</v>
      </c>
      <c r="CL136" s="68">
        <f t="shared" si="315"/>
        <v>-0.1081868987051352</v>
      </c>
      <c r="CM136" s="68">
        <f t="shared" si="315"/>
        <v>-1.0756811248376352E-2</v>
      </c>
      <c r="CN136" s="68">
        <f t="shared" si="315"/>
        <v>0.14219307612578147</v>
      </c>
      <c r="CO136" s="68">
        <f t="shared" si="315"/>
        <v>0.16923147670130101</v>
      </c>
      <c r="CP136" s="68">
        <f t="shared" si="316"/>
        <v>0.31142455282708248</v>
      </c>
    </row>
    <row r="137" spans="1:94" x14ac:dyDescent="0.2">
      <c r="A137" t="str">
        <f t="shared" si="298"/>
        <v>62 Leisure, travel and related personal service occupations</v>
      </c>
      <c r="B137" s="27">
        <f t="shared" si="299"/>
        <v>1.0125512735092844E-2</v>
      </c>
      <c r="C137" s="27">
        <f t="shared" si="299"/>
        <v>3.6004287627189463E-3</v>
      </c>
      <c r="D137" s="27">
        <f t="shared" si="299"/>
        <v>8.7860001303613003E-3</v>
      </c>
      <c r="E137" s="27">
        <f t="shared" si="299"/>
        <v>1.8093702156706797E-2</v>
      </c>
      <c r="F137" s="27">
        <f t="shared" si="300"/>
        <v>2.6879702287068097E-2</v>
      </c>
      <c r="L137" t="str">
        <f t="shared" si="317"/>
        <v>62 Leisure, travel and related personal service occupations</v>
      </c>
      <c r="M137" s="27">
        <f t="shared" si="301"/>
        <v>0.11914055070309126</v>
      </c>
      <c r="N137" s="27">
        <f t="shared" si="301"/>
        <v>-2.327328156707853E-2</v>
      </c>
      <c r="O137" s="27">
        <f t="shared" si="301"/>
        <v>0.13459290153953152</v>
      </c>
      <c r="P137" s="27">
        <f t="shared" si="301"/>
        <v>0.23351966415257908</v>
      </c>
      <c r="Q137" s="27">
        <f t="shared" si="302"/>
        <v>0.36811256569211059</v>
      </c>
      <c r="W137" t="str">
        <f t="shared" si="318"/>
        <v>62 Leisure, travel and related personal service occupations</v>
      </c>
      <c r="X137" s="27">
        <f t="shared" si="303"/>
        <v>0.47508029458931489</v>
      </c>
      <c r="Y137" s="27">
        <f t="shared" si="303"/>
        <v>-0.23716617444865795</v>
      </c>
      <c r="Z137" s="27">
        <f t="shared" si="303"/>
        <v>0.56756422094265391</v>
      </c>
      <c r="AA137" s="27">
        <f t="shared" si="303"/>
        <v>1.0553431162624811</v>
      </c>
      <c r="AB137" s="27">
        <f t="shared" si="304"/>
        <v>1.622907337205135</v>
      </c>
      <c r="AH137" t="str">
        <f t="shared" si="319"/>
        <v>62 Leisure, travel and related personal service occupations</v>
      </c>
      <c r="AI137" s="27">
        <f t="shared" si="305"/>
        <v>0.27238254823406671</v>
      </c>
      <c r="AJ137" s="27">
        <f t="shared" si="305"/>
        <v>-0.12447486300530564</v>
      </c>
      <c r="AK137" s="27">
        <f t="shared" si="305"/>
        <v>0.17499183672489105</v>
      </c>
      <c r="AL137" s="27">
        <f t="shared" si="305"/>
        <v>0.54504609257886449</v>
      </c>
      <c r="AM137" s="27">
        <f t="shared" si="306"/>
        <v>0.72003792930375554</v>
      </c>
      <c r="AS137" t="str">
        <f t="shared" si="320"/>
        <v>62 Leisure, travel and related personal service occupations</v>
      </c>
      <c r="AT137" s="27">
        <f t="shared" si="307"/>
        <v>0.39494907239166421</v>
      </c>
      <c r="AU137" s="27">
        <f t="shared" si="307"/>
        <v>-2.2206424365607269E-2</v>
      </c>
      <c r="AV137" s="27">
        <f t="shared" si="307"/>
        <v>0.32454343303594202</v>
      </c>
      <c r="AW137" s="27">
        <f t="shared" si="307"/>
        <v>0.92795676425123652</v>
      </c>
      <c r="AX137" s="27">
        <f t="shared" si="308"/>
        <v>1.2525001972871785</v>
      </c>
      <c r="BD137" t="str">
        <f t="shared" si="321"/>
        <v>62 Leisure, travel and related personal service occupations</v>
      </c>
      <c r="BE137" s="27">
        <f t="shared" si="309"/>
        <v>-0.46334807974129699</v>
      </c>
      <c r="BF137" s="27">
        <f t="shared" si="309"/>
        <v>-8.0405549480706995E-2</v>
      </c>
      <c r="BG137" s="27">
        <f t="shared" si="309"/>
        <v>-0.38521496744776229</v>
      </c>
      <c r="BH137" s="27">
        <f t="shared" si="309"/>
        <v>-0.52306433870225533</v>
      </c>
      <c r="BI137" s="27">
        <f t="shared" si="310"/>
        <v>-0.90827930615001762</v>
      </c>
      <c r="BO137" t="str">
        <f t="shared" si="322"/>
        <v>62 Leisure, travel and related personal service occupations</v>
      </c>
      <c r="BP137" s="27">
        <f t="shared" si="311"/>
        <v>-0.54342272210077169</v>
      </c>
      <c r="BQ137" s="27">
        <f t="shared" si="311"/>
        <v>-0.46984881392842404</v>
      </c>
      <c r="BR137" s="27">
        <f t="shared" si="311"/>
        <v>-0.46504644330942657</v>
      </c>
      <c r="BS137" s="27">
        <f t="shared" si="311"/>
        <v>-0.86006275923136899</v>
      </c>
      <c r="BT137" s="27">
        <f t="shared" si="312"/>
        <v>-1.3251092025407956</v>
      </c>
      <c r="BZ137" t="str">
        <f t="shared" si="323"/>
        <v>62 Leisure, travel and related personal service occupations</v>
      </c>
      <c r="CA137" s="68">
        <f t="shared" si="313"/>
        <v>7.2373559624590023E-3</v>
      </c>
      <c r="CB137" s="68">
        <f t="shared" si="313"/>
        <v>-0.64829163548037183</v>
      </c>
      <c r="CC137" s="68">
        <f t="shared" si="313"/>
        <v>4.1495877542692128E-3</v>
      </c>
      <c r="CD137" s="68">
        <f t="shared" si="313"/>
        <v>-0.770266336331344</v>
      </c>
      <c r="CE137" s="68">
        <f t="shared" si="314"/>
        <v>-0.76611674857707479</v>
      </c>
      <c r="CK137" t="str">
        <f t="shared" si="324"/>
        <v>62 Leisure, travel and related personal service occupations</v>
      </c>
      <c r="CL137" s="68">
        <f t="shared" si="315"/>
        <v>4.3837405596118817E-3</v>
      </c>
      <c r="CM137" s="68">
        <f t="shared" si="315"/>
        <v>-0.16610502288278939</v>
      </c>
      <c r="CN137" s="68">
        <f t="shared" si="315"/>
        <v>-0.10424780928172916</v>
      </c>
      <c r="CO137" s="68">
        <f t="shared" si="315"/>
        <v>-1.1557653881962282E-2</v>
      </c>
      <c r="CP137" s="68">
        <f t="shared" si="316"/>
        <v>-0.11580546316369145</v>
      </c>
    </row>
    <row r="138" spans="1:94" x14ac:dyDescent="0.2">
      <c r="A138" t="str">
        <f t="shared" si="298"/>
        <v>63 Community and civil enforcement occupations</v>
      </c>
      <c r="B138" s="27">
        <f t="shared" si="299"/>
        <v>-1.2475113806339165E-4</v>
      </c>
      <c r="C138" s="27">
        <f t="shared" si="299"/>
        <v>3.7919980590832639E-4</v>
      </c>
      <c r="D138" s="27">
        <f t="shared" si="299"/>
        <v>1.0324350413736926E-4</v>
      </c>
      <c r="E138" s="27">
        <f t="shared" si="299"/>
        <v>9.4277143833429704E-4</v>
      </c>
      <c r="F138" s="27">
        <f t="shared" si="300"/>
        <v>1.0460149424716663E-3</v>
      </c>
      <c r="L138" t="str">
        <f t="shared" si="317"/>
        <v>63 Community and civil enforcement occupations</v>
      </c>
      <c r="M138" s="27">
        <f t="shared" si="301"/>
        <v>-2.65305959356954E-3</v>
      </c>
      <c r="N138" s="27">
        <f t="shared" si="301"/>
        <v>1.6142888317191476E-2</v>
      </c>
      <c r="O138" s="27">
        <f t="shared" si="301"/>
        <v>-5.7613384365352016E-3</v>
      </c>
      <c r="P138" s="27">
        <f t="shared" si="301"/>
        <v>1.8323730139294371E-2</v>
      </c>
      <c r="Q138" s="27">
        <f t="shared" si="302"/>
        <v>1.2562391702759169E-2</v>
      </c>
      <c r="W138" t="str">
        <f t="shared" si="318"/>
        <v>63 Community and civil enforcement occupations</v>
      </c>
      <c r="X138" s="27">
        <f t="shared" si="303"/>
        <v>1.4043072978508764E-3</v>
      </c>
      <c r="Y138" s="27">
        <f t="shared" si="303"/>
        <v>1.6923023410641863E-2</v>
      </c>
      <c r="Z138" s="27">
        <f t="shared" si="303"/>
        <v>1.1693005426277575E-2</v>
      </c>
      <c r="AA138" s="27">
        <f t="shared" si="303"/>
        <v>4.0440605086051379E-2</v>
      </c>
      <c r="AB138" s="27">
        <f t="shared" si="304"/>
        <v>5.2133610512328954E-2</v>
      </c>
      <c r="AH138" t="str">
        <f t="shared" si="319"/>
        <v>63 Community and civil enforcement occupations</v>
      </c>
      <c r="AI138" s="27">
        <f t="shared" si="305"/>
        <v>-3.3700328120051734E-3</v>
      </c>
      <c r="AJ138" s="27">
        <f t="shared" si="305"/>
        <v>1.2701362845831746E-2</v>
      </c>
      <c r="AK138" s="27">
        <f t="shared" si="305"/>
        <v>-9.0334514975069502E-3</v>
      </c>
      <c r="AL138" s="27">
        <f t="shared" si="305"/>
        <v>8.1148118485775966E-3</v>
      </c>
      <c r="AM138" s="27">
        <f t="shared" si="306"/>
        <v>-9.1863964892935357E-4</v>
      </c>
      <c r="AS138" t="str">
        <f t="shared" si="320"/>
        <v>63 Community and civil enforcement occupations</v>
      </c>
      <c r="AT138" s="27">
        <f t="shared" si="307"/>
        <v>-7.311651448775304E-3</v>
      </c>
      <c r="AU138" s="27">
        <f t="shared" si="307"/>
        <v>1.0079642133684244E-2</v>
      </c>
      <c r="AV138" s="27">
        <f t="shared" si="307"/>
        <v>-1.045163153267134E-2</v>
      </c>
      <c r="AW138" s="27">
        <f t="shared" si="307"/>
        <v>2.4520470903468539E-3</v>
      </c>
      <c r="AX138" s="27">
        <f t="shared" si="308"/>
        <v>-7.9995844423244866E-3</v>
      </c>
      <c r="BD138" t="str">
        <f t="shared" si="321"/>
        <v>63 Community and civil enforcement occupations</v>
      </c>
      <c r="BE138" s="27">
        <f t="shared" si="309"/>
        <v>-6.597249750111156E-2</v>
      </c>
      <c r="BF138" s="27">
        <f t="shared" si="309"/>
        <v>5.5410086405788039E-2</v>
      </c>
      <c r="BG138" s="27">
        <f t="shared" si="309"/>
        <v>-5.7664178725477397E-2</v>
      </c>
      <c r="BH138" s="27">
        <f t="shared" si="309"/>
        <v>4.9299649043241106E-3</v>
      </c>
      <c r="BI138" s="27">
        <f t="shared" si="310"/>
        <v>-5.2734213821153286E-2</v>
      </c>
      <c r="BO138" t="str">
        <f t="shared" si="322"/>
        <v>63 Community and civil enforcement occupations</v>
      </c>
      <c r="BP138" s="27">
        <f t="shared" si="311"/>
        <v>-3.9496119816987918E-2</v>
      </c>
      <c r="BQ138" s="27">
        <f t="shared" si="311"/>
        <v>3.7417332571673706E-2</v>
      </c>
      <c r="BR138" s="27">
        <f t="shared" si="311"/>
        <v>-5.6654705644803932E-2</v>
      </c>
      <c r="BS138" s="27">
        <f t="shared" si="311"/>
        <v>-8.6251974220868943E-3</v>
      </c>
      <c r="BT138" s="27">
        <f t="shared" si="312"/>
        <v>-6.5279903066890826E-2</v>
      </c>
      <c r="BZ138" t="str">
        <f t="shared" si="323"/>
        <v>63 Community and civil enforcement occupations</v>
      </c>
      <c r="CA138" s="68">
        <f t="shared" si="313"/>
        <v>-4.1894740832935373E-2</v>
      </c>
      <c r="CB138" s="68">
        <f t="shared" si="313"/>
        <v>2.8770068102709129E-2</v>
      </c>
      <c r="CC138" s="68">
        <f t="shared" si="313"/>
        <v>-3.2105815277139571E-2</v>
      </c>
      <c r="CD138" s="68">
        <f t="shared" si="313"/>
        <v>-2.1907287617750612E-2</v>
      </c>
      <c r="CE138" s="68">
        <f t="shared" si="314"/>
        <v>-5.4013102894890183E-2</v>
      </c>
      <c r="CK138" t="str">
        <f t="shared" si="324"/>
        <v>63 Community and civil enforcement occupations</v>
      </c>
      <c r="CL138" s="68">
        <f t="shared" si="315"/>
        <v>-1.3780020227250826E-2</v>
      </c>
      <c r="CM138" s="68">
        <f t="shared" si="315"/>
        <v>1.259958453161196E-2</v>
      </c>
      <c r="CN138" s="68">
        <f t="shared" si="315"/>
        <v>-2.0478631068912408E-2</v>
      </c>
      <c r="CO138" s="68">
        <f t="shared" si="315"/>
        <v>-4.7088984816791371E-3</v>
      </c>
      <c r="CP138" s="68">
        <f t="shared" si="316"/>
        <v>-2.5187529550591545E-2</v>
      </c>
    </row>
    <row r="139" spans="1:94" x14ac:dyDescent="0.2">
      <c r="A139" t="str">
        <f t="shared" si="298"/>
        <v>71 Sales occupations</v>
      </c>
      <c r="B139" s="27">
        <f t="shared" si="299"/>
        <v>1.9016911045981633E-2</v>
      </c>
      <c r="C139" s="27">
        <f t="shared" si="299"/>
        <v>-1.2269268508041553E-2</v>
      </c>
      <c r="D139" s="27">
        <f t="shared" si="299"/>
        <v>1.5543649251194308E-2</v>
      </c>
      <c r="E139" s="27">
        <f t="shared" si="299"/>
        <v>4.4948359459918014E-2</v>
      </c>
      <c r="F139" s="27">
        <f t="shared" si="300"/>
        <v>6.0492008711112322E-2</v>
      </c>
      <c r="L139" t="str">
        <f t="shared" si="317"/>
        <v>71 Sales occupations</v>
      </c>
      <c r="M139" s="27">
        <f t="shared" si="301"/>
        <v>0.30669714142611038</v>
      </c>
      <c r="N139" s="27">
        <f t="shared" si="301"/>
        <v>0.20322981471252444</v>
      </c>
      <c r="O139" s="27">
        <f t="shared" si="301"/>
        <v>0.29862570347577178</v>
      </c>
      <c r="P139" s="27">
        <f t="shared" si="301"/>
        <v>0.99903043179546458</v>
      </c>
      <c r="Q139" s="27">
        <f t="shared" si="302"/>
        <v>1.2976561352712364</v>
      </c>
      <c r="W139" t="str">
        <f t="shared" si="318"/>
        <v>71 Sales occupations</v>
      </c>
      <c r="X139" s="27">
        <f t="shared" si="303"/>
        <v>0.67909869010376323</v>
      </c>
      <c r="Y139" s="27">
        <f t="shared" si="303"/>
        <v>0.21343991275445973</v>
      </c>
      <c r="Z139" s="27">
        <f t="shared" si="303"/>
        <v>0.44794082053564299</v>
      </c>
      <c r="AA139" s="27">
        <f t="shared" si="303"/>
        <v>2.0751475896720279</v>
      </c>
      <c r="AB139" s="27">
        <f t="shared" si="304"/>
        <v>2.5230884102076709</v>
      </c>
      <c r="AH139" t="str">
        <f t="shared" si="319"/>
        <v>71 Sales occupations</v>
      </c>
      <c r="AI139" s="27">
        <f t="shared" si="305"/>
        <v>2.847360810933619E-2</v>
      </c>
      <c r="AJ139" s="27">
        <f t="shared" si="305"/>
        <v>8.3907930261434061E-2</v>
      </c>
      <c r="AK139" s="27">
        <f t="shared" si="305"/>
        <v>-1.471113699839055E-2</v>
      </c>
      <c r="AL139" s="27">
        <f t="shared" si="305"/>
        <v>0.40714861021925985</v>
      </c>
      <c r="AM139" s="27">
        <f t="shared" si="306"/>
        <v>0.3924374732208693</v>
      </c>
      <c r="AS139" t="str">
        <f t="shared" si="320"/>
        <v>71 Sales occupations</v>
      </c>
      <c r="AT139" s="27">
        <f t="shared" si="307"/>
        <v>-6.6660218152876372E-3</v>
      </c>
      <c r="AU139" s="27">
        <f t="shared" si="307"/>
        <v>3.696348222076784E-2</v>
      </c>
      <c r="AV139" s="27">
        <f t="shared" si="307"/>
        <v>-7.4371064663199205E-2</v>
      </c>
      <c r="AW139" s="27">
        <f t="shared" si="307"/>
        <v>0.31278909744588423</v>
      </c>
      <c r="AX139" s="27">
        <f t="shared" si="308"/>
        <v>0.23841803278268503</v>
      </c>
      <c r="BD139" t="str">
        <f t="shared" si="321"/>
        <v>71 Sales occupations</v>
      </c>
      <c r="BE139" s="27">
        <f t="shared" si="309"/>
        <v>-0.74613126702836929</v>
      </c>
      <c r="BF139" s="27">
        <f t="shared" si="309"/>
        <v>1.3100401063074987</v>
      </c>
      <c r="BG139" s="27">
        <f t="shared" si="309"/>
        <v>-0.97056234809395114</v>
      </c>
      <c r="BH139" s="27">
        <f t="shared" si="309"/>
        <v>0.44966385353198568</v>
      </c>
      <c r="BI139" s="27">
        <f t="shared" si="310"/>
        <v>-0.52089849456196546</v>
      </c>
      <c r="BO139" t="str">
        <f t="shared" si="322"/>
        <v>71 Sales occupations</v>
      </c>
      <c r="BP139" s="27">
        <f t="shared" si="311"/>
        <v>-1.4189298495487801</v>
      </c>
      <c r="BQ139" s="27">
        <f t="shared" si="311"/>
        <v>-0.55732169852991298</v>
      </c>
      <c r="BR139" s="27">
        <f t="shared" si="311"/>
        <v>-1.5567107865679723</v>
      </c>
      <c r="BS139" s="27">
        <f t="shared" si="311"/>
        <v>-2.326321334878978</v>
      </c>
      <c r="BT139" s="27">
        <f t="shared" si="312"/>
        <v>-3.8830321214469503</v>
      </c>
      <c r="BZ139" t="str">
        <f t="shared" si="323"/>
        <v>71 Sales occupations</v>
      </c>
      <c r="CA139" s="68">
        <f t="shared" si="313"/>
        <v>-0.70064868083109388</v>
      </c>
      <c r="CB139" s="68">
        <f t="shared" si="313"/>
        <v>-1.0922027152669509</v>
      </c>
      <c r="CC139" s="68">
        <f t="shared" si="313"/>
        <v>-1.4363620315151371</v>
      </c>
      <c r="CD139" s="68">
        <f t="shared" si="313"/>
        <v>-3.791256403592786</v>
      </c>
      <c r="CE139" s="68">
        <f t="shared" si="314"/>
        <v>-5.2276184351079227</v>
      </c>
      <c r="CK139" t="str">
        <f t="shared" si="324"/>
        <v>71 Sales occupations</v>
      </c>
      <c r="CL139" s="68">
        <f t="shared" si="315"/>
        <v>-9.6468130015266773E-2</v>
      </c>
      <c r="CM139" s="68">
        <f t="shared" si="315"/>
        <v>-0.33944080215714267</v>
      </c>
      <c r="CN139" s="68">
        <f t="shared" si="315"/>
        <v>-0.35275746748388448</v>
      </c>
      <c r="CO139" s="68">
        <f t="shared" si="315"/>
        <v>-0.47387340216899787</v>
      </c>
      <c r="CP139" s="68">
        <f t="shared" si="316"/>
        <v>-0.82663086965288235</v>
      </c>
    </row>
    <row r="140" spans="1:94" x14ac:dyDescent="0.2">
      <c r="A140" t="str">
        <f t="shared" si="298"/>
        <v>72 Customer service occupations</v>
      </c>
      <c r="B140" s="27">
        <f t="shared" si="299"/>
        <v>7.0132446286735942E-3</v>
      </c>
      <c r="C140" s="27">
        <f t="shared" si="299"/>
        <v>8.3165826324706413E-3</v>
      </c>
      <c r="D140" s="27">
        <f t="shared" si="299"/>
        <v>2.9527378923835799E-2</v>
      </c>
      <c r="E140" s="27">
        <f t="shared" si="299"/>
        <v>3.4691533852464637E-2</v>
      </c>
      <c r="F140" s="27">
        <f t="shared" si="300"/>
        <v>6.421891277630043E-2</v>
      </c>
      <c r="L140" t="str">
        <f t="shared" si="317"/>
        <v>72 Customer service occupations</v>
      </c>
      <c r="M140" s="27">
        <f t="shared" si="301"/>
        <v>0.13806071614144311</v>
      </c>
      <c r="N140" s="27">
        <f t="shared" si="301"/>
        <v>3.7947756617684347E-2</v>
      </c>
      <c r="O140" s="27">
        <f t="shared" si="301"/>
        <v>0.36578434504332291</v>
      </c>
      <c r="P140" s="27">
        <f t="shared" si="301"/>
        <v>0.43002413904975101</v>
      </c>
      <c r="Q140" s="27">
        <f t="shared" si="302"/>
        <v>0.79580848409307392</v>
      </c>
      <c r="W140" t="str">
        <f t="shared" si="318"/>
        <v>72 Customer service occupations</v>
      </c>
      <c r="X140" s="27">
        <f t="shared" si="303"/>
        <v>0.25757313278086924</v>
      </c>
      <c r="Y140" s="27">
        <f t="shared" si="303"/>
        <v>7.124665177848799E-2</v>
      </c>
      <c r="Z140" s="27">
        <f t="shared" si="303"/>
        <v>0.8969162282703449</v>
      </c>
      <c r="AA140" s="27">
        <f t="shared" si="303"/>
        <v>1.0522178649576772</v>
      </c>
      <c r="AB140" s="27">
        <f t="shared" si="304"/>
        <v>1.9491340932280221</v>
      </c>
      <c r="AH140" t="str">
        <f t="shared" si="319"/>
        <v>72 Customer service occupations</v>
      </c>
      <c r="AI140" s="27">
        <f t="shared" si="305"/>
        <v>0.12564021803708014</v>
      </c>
      <c r="AJ140" s="27">
        <f t="shared" si="305"/>
        <v>8.289487165706011E-2</v>
      </c>
      <c r="AK140" s="27">
        <f t="shared" si="305"/>
        <v>0.30858940578298755</v>
      </c>
      <c r="AL140" s="27">
        <f t="shared" si="305"/>
        <v>0.31316415487122562</v>
      </c>
      <c r="AM140" s="27">
        <f t="shared" si="306"/>
        <v>0.62175356065421317</v>
      </c>
      <c r="AS140" t="str">
        <f t="shared" si="320"/>
        <v>72 Customer service occupations</v>
      </c>
      <c r="AT140" s="27">
        <f t="shared" si="307"/>
        <v>8.7486223105005312E-2</v>
      </c>
      <c r="AU140" s="27">
        <f t="shared" si="307"/>
        <v>2.522544323716569E-2</v>
      </c>
      <c r="AV140" s="27">
        <f t="shared" si="307"/>
        <v>0.25700682909799211</v>
      </c>
      <c r="AW140" s="27">
        <f t="shared" si="307"/>
        <v>0.2036254560218993</v>
      </c>
      <c r="AX140" s="27">
        <f t="shared" si="308"/>
        <v>0.4606322851198914</v>
      </c>
      <c r="BD140" t="str">
        <f t="shared" si="321"/>
        <v>72 Customer service occupations</v>
      </c>
      <c r="BE140" s="27">
        <f t="shared" si="309"/>
        <v>-0.15604892313105179</v>
      </c>
      <c r="BF140" s="27">
        <f t="shared" si="309"/>
        <v>0.2324072524160532</v>
      </c>
      <c r="BG140" s="27">
        <f t="shared" si="309"/>
        <v>0.61625886167601296</v>
      </c>
      <c r="BH140" s="27">
        <f t="shared" si="309"/>
        <v>0.37043156988028336</v>
      </c>
      <c r="BI140" s="27">
        <f t="shared" si="310"/>
        <v>0.98669043155629632</v>
      </c>
      <c r="BO140" t="str">
        <f t="shared" si="322"/>
        <v>72 Customer service occupations</v>
      </c>
      <c r="BP140" s="27">
        <f t="shared" si="311"/>
        <v>-8.7438397712191307E-2</v>
      </c>
      <c r="BQ140" s="27">
        <f t="shared" si="311"/>
        <v>-7.1630225102994771E-2</v>
      </c>
      <c r="BR140" s="27">
        <f t="shared" si="311"/>
        <v>0.72376059247670543</v>
      </c>
      <c r="BS140" s="27">
        <f t="shared" si="311"/>
        <v>-0.20126235454562424</v>
      </c>
      <c r="BT140" s="27">
        <f t="shared" si="312"/>
        <v>0.52249823793108119</v>
      </c>
      <c r="BZ140" t="str">
        <f t="shared" si="323"/>
        <v>72 Customer service occupations</v>
      </c>
      <c r="CA140" s="68">
        <f t="shared" si="313"/>
        <v>-0.16257630053201377</v>
      </c>
      <c r="CB140" s="68">
        <f t="shared" si="313"/>
        <v>-0.14146459979666637</v>
      </c>
      <c r="CC140" s="68">
        <f t="shared" si="313"/>
        <v>0.2091270342291911</v>
      </c>
      <c r="CD140" s="68">
        <f t="shared" si="313"/>
        <v>-0.20938578109022887</v>
      </c>
      <c r="CE140" s="68">
        <f t="shared" si="314"/>
        <v>-2.58746861037773E-4</v>
      </c>
      <c r="CK140" t="str">
        <f t="shared" si="324"/>
        <v>72 Customer service occupations</v>
      </c>
      <c r="CL140" s="68">
        <f t="shared" si="315"/>
        <v>0.14040761428076937</v>
      </c>
      <c r="CM140" s="68">
        <f t="shared" si="315"/>
        <v>-1.3176843539564054E-3</v>
      </c>
      <c r="CN140" s="68">
        <f t="shared" si="315"/>
        <v>0.37589971961652391</v>
      </c>
      <c r="CO140" s="68">
        <f t="shared" si="315"/>
        <v>0.33109118104878987</v>
      </c>
      <c r="CP140" s="68">
        <f t="shared" si="316"/>
        <v>0.70699090066531378</v>
      </c>
    </row>
    <row r="141" spans="1:94" x14ac:dyDescent="0.2">
      <c r="A141" t="str">
        <f t="shared" si="298"/>
        <v>81 Process, plant and machine operatives</v>
      </c>
      <c r="B141" s="27">
        <f t="shared" si="299"/>
        <v>8.06620009636504E-3</v>
      </c>
      <c r="C141" s="27">
        <f t="shared" si="299"/>
        <v>-2.0195711125707422E-3</v>
      </c>
      <c r="D141" s="27">
        <f t="shared" si="299"/>
        <v>1.581921253814815E-2</v>
      </c>
      <c r="E141" s="27">
        <f t="shared" si="299"/>
        <v>2.8989394539159816E-2</v>
      </c>
      <c r="F141" s="27">
        <f t="shared" si="300"/>
        <v>4.4808607077307966E-2</v>
      </c>
      <c r="L141" t="str">
        <f t="shared" si="317"/>
        <v>81 Process, plant and machine operatives</v>
      </c>
      <c r="M141" s="27">
        <f t="shared" si="301"/>
        <v>4.0660082771698053E-2</v>
      </c>
      <c r="N141" s="27">
        <f t="shared" si="301"/>
        <v>5.6787981008910027E-4</v>
      </c>
      <c r="O141" s="27">
        <f t="shared" si="301"/>
        <v>0.10964080644654103</v>
      </c>
      <c r="P141" s="27">
        <f t="shared" si="301"/>
        <v>0.19011433231638886</v>
      </c>
      <c r="Q141" s="27">
        <f t="shared" si="302"/>
        <v>0.29975513876292992</v>
      </c>
      <c r="W141" t="str">
        <f t="shared" si="318"/>
        <v>81 Process, plant and machine operatives</v>
      </c>
      <c r="X141" s="27">
        <f t="shared" si="303"/>
        <v>1.7695797479702957E-2</v>
      </c>
      <c r="Y141" s="27">
        <f t="shared" si="303"/>
        <v>-3.8035670808908129E-2</v>
      </c>
      <c r="Z141" s="27">
        <f t="shared" si="303"/>
        <v>0.26370489507761175</v>
      </c>
      <c r="AA141" s="27">
        <f t="shared" si="303"/>
        <v>0.40149602599855172</v>
      </c>
      <c r="AB141" s="27">
        <f t="shared" si="304"/>
        <v>0.66520092107616346</v>
      </c>
      <c r="AH141" t="str">
        <f t="shared" si="319"/>
        <v>81 Process, plant and machine operatives</v>
      </c>
      <c r="AI141" s="27">
        <f t="shared" si="305"/>
        <v>2.6983008453144497E-2</v>
      </c>
      <c r="AJ141" s="27">
        <f t="shared" si="305"/>
        <v>-1.2172209579325383E-2</v>
      </c>
      <c r="AK141" s="27">
        <f t="shared" si="305"/>
        <v>0.12089989931823766</v>
      </c>
      <c r="AL141" s="27">
        <f t="shared" si="305"/>
        <v>0.20407571192959828</v>
      </c>
      <c r="AM141" s="27">
        <f t="shared" si="306"/>
        <v>0.32497561124783592</v>
      </c>
      <c r="AS141" t="str">
        <f t="shared" si="320"/>
        <v>81 Process, plant and machine operatives</v>
      </c>
      <c r="AT141" s="27">
        <f t="shared" si="307"/>
        <v>5.0335314575675638E-2</v>
      </c>
      <c r="AU141" s="27">
        <f t="shared" si="307"/>
        <v>-4.0074456698920735E-2</v>
      </c>
      <c r="AV141" s="27">
        <f t="shared" si="307"/>
        <v>0.2091012006718842</v>
      </c>
      <c r="AW141" s="27">
        <f t="shared" si="307"/>
        <v>0.24226663338543686</v>
      </c>
      <c r="AX141" s="27">
        <f t="shared" si="308"/>
        <v>0.45136783405732106</v>
      </c>
      <c r="BD141" t="str">
        <f t="shared" si="321"/>
        <v>81 Process, plant and machine operatives</v>
      </c>
      <c r="BE141" s="27">
        <f t="shared" si="309"/>
        <v>-4.6820519857043497E-2</v>
      </c>
      <c r="BF141" s="27">
        <f t="shared" si="309"/>
        <v>-0.12173569805929141</v>
      </c>
      <c r="BG141" s="27">
        <f t="shared" si="309"/>
        <v>0.84730253272499434</v>
      </c>
      <c r="BH141" s="27">
        <f t="shared" si="309"/>
        <v>0.60499793556027903</v>
      </c>
      <c r="BI141" s="27">
        <f t="shared" si="310"/>
        <v>1.4523004682852734</v>
      </c>
      <c r="BO141" t="str">
        <f t="shared" si="322"/>
        <v>81 Process, plant and machine operatives</v>
      </c>
      <c r="BP141" s="27">
        <f t="shared" si="311"/>
        <v>0.35548002886214691</v>
      </c>
      <c r="BQ141" s="27">
        <f t="shared" si="311"/>
        <v>-0.72388309372079673</v>
      </c>
      <c r="BR141" s="27">
        <f t="shared" si="311"/>
        <v>0.99423287774066216</v>
      </c>
      <c r="BS141" s="27">
        <f t="shared" si="311"/>
        <v>-1.3171359086872059E-3</v>
      </c>
      <c r="BT141" s="27">
        <f t="shared" si="312"/>
        <v>0.99291574183197495</v>
      </c>
      <c r="BZ141" t="str">
        <f t="shared" si="323"/>
        <v>81 Process, plant and machine operatives</v>
      </c>
      <c r="CA141" s="68">
        <f t="shared" si="313"/>
        <v>-0.49631009448899599</v>
      </c>
      <c r="CB141" s="68">
        <f t="shared" si="313"/>
        <v>-0.40731308682774303</v>
      </c>
      <c r="CC141" s="68">
        <f t="shared" si="313"/>
        <v>0.22288600218115828</v>
      </c>
      <c r="CD141" s="68">
        <f t="shared" si="313"/>
        <v>-1.4994334578342545</v>
      </c>
      <c r="CE141" s="68">
        <f t="shared" si="314"/>
        <v>-1.2765474556530962</v>
      </c>
      <c r="CK141" t="str">
        <f t="shared" si="324"/>
        <v>81 Process, plant and machine operatives</v>
      </c>
      <c r="CL141" s="68">
        <f t="shared" si="315"/>
        <v>-0.20298650486021019</v>
      </c>
      <c r="CM141" s="68">
        <f t="shared" si="315"/>
        <v>-0.21276892229943889</v>
      </c>
      <c r="CN141" s="68">
        <f t="shared" si="315"/>
        <v>-0.274948875591154</v>
      </c>
      <c r="CO141" s="68">
        <f t="shared" si="315"/>
        <v>-0.20069847099406679</v>
      </c>
      <c r="CP141" s="68">
        <f t="shared" si="316"/>
        <v>-0.47564734658522079</v>
      </c>
    </row>
    <row r="142" spans="1:94" x14ac:dyDescent="0.2">
      <c r="A142" t="str">
        <f t="shared" si="298"/>
        <v>82 Transport and mobile machine drivers and operatives</v>
      </c>
      <c r="B142" s="27">
        <f t="shared" si="299"/>
        <v>1.9433834759640015E-2</v>
      </c>
      <c r="C142" s="27">
        <f t="shared" si="299"/>
        <v>-4.8394848703384313E-3</v>
      </c>
      <c r="D142" s="27">
        <f t="shared" si="299"/>
        <v>2.6425513899507647E-2</v>
      </c>
      <c r="E142" s="27">
        <f t="shared" si="299"/>
        <v>3.7909989515594197E-2</v>
      </c>
      <c r="F142" s="27">
        <f t="shared" si="300"/>
        <v>6.4335503415101844E-2</v>
      </c>
      <c r="L142" t="str">
        <f t="shared" si="317"/>
        <v>82 Transport and mobile machine drivers and operatives</v>
      </c>
      <c r="M142" s="27">
        <f t="shared" si="301"/>
        <v>0.17129837848182183</v>
      </c>
      <c r="N142" s="27">
        <f t="shared" si="301"/>
        <v>-1.3547234720478474E-2</v>
      </c>
      <c r="O142" s="27">
        <f t="shared" si="301"/>
        <v>0.14679211061404673</v>
      </c>
      <c r="P142" s="27">
        <f t="shared" si="301"/>
        <v>0.30055105504176882</v>
      </c>
      <c r="Q142" s="27">
        <f t="shared" si="302"/>
        <v>0.44734316565581556</v>
      </c>
      <c r="W142" t="str">
        <f t="shared" si="318"/>
        <v>82 Transport and mobile machine drivers and operatives</v>
      </c>
      <c r="X142" s="27">
        <f t="shared" si="303"/>
        <v>0.36741663491522081</v>
      </c>
      <c r="Y142" s="27">
        <f t="shared" si="303"/>
        <v>-0.18927398213389535</v>
      </c>
      <c r="Z142" s="27">
        <f t="shared" si="303"/>
        <v>0.2058839859193633</v>
      </c>
      <c r="AA142" s="27">
        <f t="shared" si="303"/>
        <v>0.53289906504540863</v>
      </c>
      <c r="AB142" s="27">
        <f t="shared" si="304"/>
        <v>0.73878305096477193</v>
      </c>
      <c r="AH142" t="str">
        <f t="shared" si="319"/>
        <v>82 Transport and mobile machine drivers and operatives</v>
      </c>
      <c r="AI142" s="27">
        <f t="shared" si="305"/>
        <v>0.16543120241929299</v>
      </c>
      <c r="AJ142" s="27">
        <f t="shared" si="305"/>
        <v>-8.5351381506273305E-2</v>
      </c>
      <c r="AK142" s="27">
        <f t="shared" si="305"/>
        <v>0.1112946613087471</v>
      </c>
      <c r="AL142" s="27">
        <f t="shared" si="305"/>
        <v>0.1798224461054766</v>
      </c>
      <c r="AM142" s="27">
        <f t="shared" si="306"/>
        <v>0.2911171074142237</v>
      </c>
      <c r="AS142" t="str">
        <f t="shared" si="320"/>
        <v>82 Transport and mobile machine drivers and operatives</v>
      </c>
      <c r="AT142" s="27">
        <f t="shared" si="307"/>
        <v>0.23499903278446743</v>
      </c>
      <c r="AU142" s="27">
        <f t="shared" si="307"/>
        <v>-7.271467445994606E-2</v>
      </c>
      <c r="AV142" s="27">
        <f t="shared" si="307"/>
        <v>0.1446236558928391</v>
      </c>
      <c r="AW142" s="27">
        <f t="shared" si="307"/>
        <v>0.2441346674089051</v>
      </c>
      <c r="AX142" s="27">
        <f t="shared" si="308"/>
        <v>0.3887583233017442</v>
      </c>
      <c r="BD142" t="str">
        <f t="shared" si="321"/>
        <v>82 Transport and mobile machine drivers and operatives</v>
      </c>
      <c r="BE142" s="27">
        <f t="shared" si="309"/>
        <v>0.25319458603482836</v>
      </c>
      <c r="BF142" s="27">
        <f t="shared" si="309"/>
        <v>-0.32006594359516161</v>
      </c>
      <c r="BG142" s="27">
        <f t="shared" si="309"/>
        <v>0.54296600672024375</v>
      </c>
      <c r="BH142" s="27">
        <f t="shared" si="309"/>
        <v>0.70450296797092626</v>
      </c>
      <c r="BI142" s="27">
        <f t="shared" si="310"/>
        <v>1.24746897469117</v>
      </c>
      <c r="BO142" t="str">
        <f t="shared" si="322"/>
        <v>82 Transport and mobile machine drivers and operatives</v>
      </c>
      <c r="BP142" s="27">
        <f t="shared" si="311"/>
        <v>1.1832734908224198</v>
      </c>
      <c r="BQ142" s="27">
        <f t="shared" si="311"/>
        <v>-1.8198552174144815</v>
      </c>
      <c r="BR142" s="27">
        <f t="shared" si="311"/>
        <v>0.55583399121145227</v>
      </c>
      <c r="BS142" s="27">
        <f t="shared" si="311"/>
        <v>-0.21142348216447626</v>
      </c>
      <c r="BT142" s="27">
        <f t="shared" si="312"/>
        <v>0.34441050904697601</v>
      </c>
      <c r="BZ142" t="str">
        <f t="shared" si="323"/>
        <v>82 Transport and mobile machine drivers and operatives</v>
      </c>
      <c r="CA142" s="68">
        <f t="shared" si="313"/>
        <v>-0.72461373180736643</v>
      </c>
      <c r="CB142" s="68">
        <f t="shared" si="313"/>
        <v>-1.448898389568642</v>
      </c>
      <c r="CC142" s="68">
        <f t="shared" si="313"/>
        <v>-5.7472331324506243E-2</v>
      </c>
      <c r="CD142" s="68">
        <f t="shared" si="313"/>
        <v>-1.184560626641427</v>
      </c>
      <c r="CE142" s="68">
        <f t="shared" si="314"/>
        <v>-1.2420329579659333</v>
      </c>
      <c r="CK142" t="str">
        <f t="shared" si="324"/>
        <v>82 Transport and mobile machine drivers and operatives</v>
      </c>
      <c r="CL142" s="68">
        <f t="shared" si="315"/>
        <v>0.45432323956341092</v>
      </c>
      <c r="CM142" s="68">
        <f t="shared" si="315"/>
        <v>-0.58622730828073522</v>
      </c>
      <c r="CN142" s="68">
        <f t="shared" si="315"/>
        <v>0.17928951037189167</v>
      </c>
      <c r="CO142" s="68">
        <f t="shared" si="315"/>
        <v>-0.53319361449459501</v>
      </c>
      <c r="CP142" s="68">
        <f t="shared" si="316"/>
        <v>-0.35390410412270334</v>
      </c>
    </row>
    <row r="143" spans="1:94" x14ac:dyDescent="0.2">
      <c r="A143" t="str">
        <f t="shared" si="298"/>
        <v>91 Elementary trades and related occupations</v>
      </c>
      <c r="B143" s="27">
        <f t="shared" si="299"/>
        <v>-1.9544956739224191E-4</v>
      </c>
      <c r="C143" s="27">
        <f t="shared" si="299"/>
        <v>9.7684600519895104E-6</v>
      </c>
      <c r="D143" s="27">
        <f t="shared" si="299"/>
        <v>-6.851294908212372E-5</v>
      </c>
      <c r="E143" s="27">
        <f t="shared" si="299"/>
        <v>9.8494424800035503E-5</v>
      </c>
      <c r="F143" s="27">
        <f t="shared" si="300"/>
        <v>2.9981475717911783E-5</v>
      </c>
      <c r="L143" t="str">
        <f t="shared" si="317"/>
        <v>91 Elementary trades and related occupations</v>
      </c>
      <c r="M143" s="27">
        <f t="shared" si="301"/>
        <v>2.4139811869371558E-2</v>
      </c>
      <c r="N143" s="27">
        <f t="shared" si="301"/>
        <v>-8.3456637127811706E-3</v>
      </c>
      <c r="O143" s="27">
        <f t="shared" si="301"/>
        <v>3.9030225180456957E-3</v>
      </c>
      <c r="P143" s="27">
        <f t="shared" si="301"/>
        <v>5.2130349259308345E-2</v>
      </c>
      <c r="Q143" s="27">
        <f t="shared" si="302"/>
        <v>5.6033371777354041E-2</v>
      </c>
      <c r="W143" t="str">
        <f t="shared" si="318"/>
        <v>91 Elementary trades and related occupations</v>
      </c>
      <c r="X143" s="27">
        <f t="shared" si="303"/>
        <v>1.3839634787412736E-2</v>
      </c>
      <c r="Y143" s="27">
        <f t="shared" si="303"/>
        <v>-5.8840679903494064E-2</v>
      </c>
      <c r="Z143" s="27">
        <f t="shared" si="303"/>
        <v>-5.5718865465242795E-2</v>
      </c>
      <c r="AA143" s="27">
        <f t="shared" si="303"/>
        <v>3.8743978291764292E-2</v>
      </c>
      <c r="AB143" s="27">
        <f t="shared" si="304"/>
        <v>-1.6974887173478503E-2</v>
      </c>
      <c r="AH143" t="str">
        <f t="shared" si="319"/>
        <v>91 Elementary trades and related occupations</v>
      </c>
      <c r="AI143" s="27">
        <f t="shared" si="305"/>
        <v>2.8650319968278104E-2</v>
      </c>
      <c r="AJ143" s="27">
        <f t="shared" si="305"/>
        <v>-5.8423727810595627E-2</v>
      </c>
      <c r="AK143" s="27">
        <f t="shared" si="305"/>
        <v>-8.6584862250837502E-3</v>
      </c>
      <c r="AL143" s="27">
        <f t="shared" si="305"/>
        <v>9.6390201247316121E-2</v>
      </c>
      <c r="AM143" s="27">
        <f t="shared" si="306"/>
        <v>8.7731715022232371E-2</v>
      </c>
      <c r="AS143" t="str">
        <f t="shared" si="320"/>
        <v>91 Elementary trades and related occupations</v>
      </c>
      <c r="AT143" s="27">
        <f t="shared" si="307"/>
        <v>-9.2726459266145866E-3</v>
      </c>
      <c r="AU143" s="27">
        <f t="shared" si="307"/>
        <v>5.1129199788656488E-3</v>
      </c>
      <c r="AV143" s="27">
        <f t="shared" si="307"/>
        <v>-4.5850564021307438E-2</v>
      </c>
      <c r="AW143" s="27">
        <f t="shared" si="307"/>
        <v>3.6337275313598372E-2</v>
      </c>
      <c r="AX143" s="27">
        <f t="shared" si="308"/>
        <v>-9.5132887077090666E-3</v>
      </c>
      <c r="BD143" t="str">
        <f t="shared" si="321"/>
        <v>91 Elementary trades and related occupations</v>
      </c>
      <c r="BE143" s="27">
        <f t="shared" si="309"/>
        <v>-0.31079077856271642</v>
      </c>
      <c r="BF143" s="27">
        <f t="shared" si="309"/>
        <v>-2.2168567246291904E-2</v>
      </c>
      <c r="BG143" s="27">
        <f t="shared" si="309"/>
        <v>-8.9153722195443263E-2</v>
      </c>
      <c r="BH143" s="27">
        <f t="shared" si="309"/>
        <v>0.24761872305710719</v>
      </c>
      <c r="BI143" s="27">
        <f t="shared" si="310"/>
        <v>0.15846500086166393</v>
      </c>
      <c r="BO143" t="str">
        <f t="shared" si="322"/>
        <v>91 Elementary trades and related occupations</v>
      </c>
      <c r="BP143" s="27">
        <f t="shared" si="311"/>
        <v>-0.18605565164355964</v>
      </c>
      <c r="BQ143" s="27">
        <f t="shared" si="311"/>
        <v>-0.40186834038007024</v>
      </c>
      <c r="BR143" s="27">
        <f t="shared" si="311"/>
        <v>-0.36053592644430932</v>
      </c>
      <c r="BS143" s="27">
        <f t="shared" si="311"/>
        <v>-0.10829741617833788</v>
      </c>
      <c r="BT143" s="27">
        <f t="shared" si="312"/>
        <v>-0.4688333426226472</v>
      </c>
      <c r="BZ143" t="str">
        <f t="shared" si="323"/>
        <v>91 Elementary trades and related occupations</v>
      </c>
      <c r="CA143" s="68">
        <f t="shared" si="313"/>
        <v>-0.78799658387555249</v>
      </c>
      <c r="CB143" s="68">
        <f t="shared" si="313"/>
        <v>-0.41427639105317882</v>
      </c>
      <c r="CC143" s="68">
        <f t="shared" si="313"/>
        <v>-0.4852807498770213</v>
      </c>
      <c r="CD143" s="68">
        <f t="shared" si="313"/>
        <v>-0.51086303942274092</v>
      </c>
      <c r="CE143" s="68">
        <f t="shared" si="314"/>
        <v>-0.99614378929976222</v>
      </c>
      <c r="CK143" t="str">
        <f t="shared" si="324"/>
        <v>91 Elementary trades and related occupations</v>
      </c>
      <c r="CL143" s="68">
        <f t="shared" si="315"/>
        <v>-0.19517561670648464</v>
      </c>
      <c r="CM143" s="68">
        <f t="shared" si="315"/>
        <v>-0.11091579597450729</v>
      </c>
      <c r="CN143" s="68">
        <f t="shared" si="315"/>
        <v>-0.26540290050649762</v>
      </c>
      <c r="CO143" s="68">
        <f t="shared" si="315"/>
        <v>-0.20372683150821402</v>
      </c>
      <c r="CP143" s="68">
        <f t="shared" si="316"/>
        <v>-0.46912973201471164</v>
      </c>
    </row>
    <row r="144" spans="1:94" x14ac:dyDescent="0.2">
      <c r="A144" t="str">
        <f t="shared" si="298"/>
        <v>92 Elementary administration and service occupations</v>
      </c>
      <c r="B144" s="27">
        <f t="shared" si="299"/>
        <v>9.6480049549764607E-3</v>
      </c>
      <c r="C144" s="27">
        <f t="shared" si="299"/>
        <v>4.6150618263459744E-3</v>
      </c>
      <c r="D144" s="27">
        <f t="shared" si="299"/>
        <v>1.4685751634293309E-2</v>
      </c>
      <c r="E144" s="27">
        <f t="shared" si="299"/>
        <v>2.3415699171936311E-2</v>
      </c>
      <c r="F144" s="27">
        <f t="shared" si="300"/>
        <v>3.810145080622962E-2</v>
      </c>
      <c r="L144" t="str">
        <f t="shared" ref="L144" si="325">A144</f>
        <v>92 Elementary administration and service occupations</v>
      </c>
      <c r="M144" s="27">
        <f t="shared" si="301"/>
        <v>0.48102710054279108</v>
      </c>
      <c r="N144" s="27">
        <f t="shared" si="301"/>
        <v>0.15991400346297535</v>
      </c>
      <c r="O144" s="27">
        <f t="shared" si="301"/>
        <v>0.66399860760284524</v>
      </c>
      <c r="P144" s="27">
        <f t="shared" si="301"/>
        <v>1.3088370233965962</v>
      </c>
      <c r="Q144" s="27">
        <f t="shared" si="302"/>
        <v>1.9728356309994415</v>
      </c>
      <c r="W144" t="str">
        <f t="shared" ref="W144" si="326">A144</f>
        <v>92 Elementary administration and service occupations</v>
      </c>
      <c r="X144" s="27">
        <f t="shared" si="303"/>
        <v>1.1644619697266245</v>
      </c>
      <c r="Y144" s="27">
        <f t="shared" si="303"/>
        <v>-0.16719132675026049</v>
      </c>
      <c r="Z144" s="27">
        <f t="shared" si="303"/>
        <v>1.3411869039909687</v>
      </c>
      <c r="AA144" s="27">
        <f t="shared" si="303"/>
        <v>2.7548971071036537</v>
      </c>
      <c r="AB144" s="27">
        <f t="shared" si="304"/>
        <v>4.0960840110946224</v>
      </c>
      <c r="AH144" t="str">
        <f t="shared" ref="AH144" si="327">L144</f>
        <v>92 Elementary administration and service occupations</v>
      </c>
      <c r="AI144" s="27">
        <f t="shared" si="305"/>
        <v>0.62458894169625845</v>
      </c>
      <c r="AJ144" s="27">
        <f t="shared" si="305"/>
        <v>-2.3622804734691361E-2</v>
      </c>
      <c r="AK144" s="27">
        <f t="shared" si="305"/>
        <v>0.60179005822219089</v>
      </c>
      <c r="AL144" s="27">
        <f t="shared" si="305"/>
        <v>1.3927049518479251</v>
      </c>
      <c r="AM144" s="27">
        <f t="shared" si="306"/>
        <v>1.994495010070116</v>
      </c>
      <c r="AS144" t="str">
        <f t="shared" ref="AS144" si="328">W144</f>
        <v>92 Elementary administration and service occupations</v>
      </c>
      <c r="AT144" s="27">
        <f t="shared" si="307"/>
        <v>0.39399008908204181</v>
      </c>
      <c r="AU144" s="27">
        <f t="shared" si="307"/>
        <v>8.7839679489004396E-2</v>
      </c>
      <c r="AV144" s="27">
        <f t="shared" si="307"/>
        <v>0.51418272159295775</v>
      </c>
      <c r="AW144" s="27">
        <f t="shared" si="307"/>
        <v>1.2392955755372679</v>
      </c>
      <c r="AX144" s="27">
        <f t="shared" si="308"/>
        <v>1.7534782971302256</v>
      </c>
      <c r="BD144" t="str">
        <f t="shared" ref="BD144" si="329">AH144</f>
        <v>92 Elementary administration and service occupations</v>
      </c>
      <c r="BE144" s="27">
        <f t="shared" si="309"/>
        <v>-1.9084366117732454</v>
      </c>
      <c r="BF144" s="27">
        <f t="shared" si="309"/>
        <v>5.6797221759161687E-2</v>
      </c>
      <c r="BG144" s="27">
        <f t="shared" si="309"/>
        <v>-0.28020698009796874</v>
      </c>
      <c r="BH144" s="27">
        <f t="shared" si="309"/>
        <v>-0.12805558982639553</v>
      </c>
      <c r="BI144" s="27">
        <f t="shared" si="310"/>
        <v>-0.40826256992436427</v>
      </c>
      <c r="BO144" t="str">
        <f t="shared" ref="BO144" si="330">AS144</f>
        <v>92 Elementary administration and service occupations</v>
      </c>
      <c r="BP144" s="27">
        <f t="shared" si="311"/>
        <v>-0.63398969843727571</v>
      </c>
      <c r="BQ144" s="27">
        <f t="shared" si="311"/>
        <v>-2.807453391091844</v>
      </c>
      <c r="BR144" s="27">
        <f t="shared" si="311"/>
        <v>0.98959821788749025</v>
      </c>
      <c r="BS144" s="27">
        <f t="shared" si="311"/>
        <v>-2.1952344058889786</v>
      </c>
      <c r="BT144" s="27">
        <f t="shared" si="312"/>
        <v>-1.2056361880014883</v>
      </c>
      <c r="BZ144" t="str">
        <f t="shared" ref="BZ144" si="331">BD144</f>
        <v>92 Elementary administration and service occupations</v>
      </c>
      <c r="CA144" s="68">
        <f t="shared" si="313"/>
        <v>-1.7666305174219623</v>
      </c>
      <c r="CB144" s="68">
        <f t="shared" si="313"/>
        <v>-3.3522827320481809</v>
      </c>
      <c r="CC144" s="68">
        <f t="shared" si="313"/>
        <v>0.32766175452001534</v>
      </c>
      <c r="CD144" s="68">
        <f t="shared" si="313"/>
        <v>-5.4296740930223262</v>
      </c>
      <c r="CE144" s="68">
        <f t="shared" si="314"/>
        <v>-5.1020123385023108</v>
      </c>
      <c r="CK144" t="str">
        <f t="shared" ref="CK144" si="332">BO144</f>
        <v>92 Elementary administration and service occupations</v>
      </c>
      <c r="CL144" s="68">
        <f t="shared" si="315"/>
        <v>-1.0773131526691628</v>
      </c>
      <c r="CM144" s="68">
        <f t="shared" si="315"/>
        <v>-1.2167171338967462</v>
      </c>
      <c r="CN144" s="68">
        <f t="shared" si="315"/>
        <v>-1.6180699354414854</v>
      </c>
      <c r="CO144" s="68">
        <f t="shared" si="315"/>
        <v>-1.2288141987431622</v>
      </c>
      <c r="CP144" s="68">
        <f t="shared" si="316"/>
        <v>-2.8468841341846476</v>
      </c>
    </row>
    <row r="145" spans="1:94" x14ac:dyDescent="0.2">
      <c r="C145" s="27"/>
      <c r="F145" s="27"/>
      <c r="N145" s="27"/>
      <c r="Q145" s="27"/>
      <c r="Y145" s="27"/>
      <c r="AB145" s="27"/>
      <c r="AJ145" s="27"/>
      <c r="AM145" s="27"/>
      <c r="AU145" s="27"/>
      <c r="AX145" s="27"/>
      <c r="BF145" s="27"/>
      <c r="BI145" s="27"/>
      <c r="BQ145" s="27"/>
      <c r="BT145" s="27"/>
      <c r="CA145" s="69"/>
      <c r="CB145" s="68"/>
      <c r="CC145" s="69"/>
      <c r="CD145" s="69"/>
      <c r="CE145" s="68"/>
      <c r="CL145" s="69"/>
      <c r="CM145" s="68"/>
      <c r="CN145" s="69"/>
      <c r="CO145" s="69"/>
      <c r="CP145" s="68"/>
    </row>
    <row r="146" spans="1:94" x14ac:dyDescent="0.2">
      <c r="A146" s="24" t="str">
        <f t="shared" ref="A146" si="333">A35</f>
        <v>All occupations</v>
      </c>
      <c r="B146" s="29">
        <f>C35-B35</f>
        <v>2.485135263660295</v>
      </c>
      <c r="C146" s="29">
        <f>D35-C35</f>
        <v>1.1141100972729383</v>
      </c>
      <c r="D146" s="29">
        <f>E35-D35</f>
        <v>2.3869037326851252</v>
      </c>
      <c r="E146" s="29">
        <f>F35-E35</f>
        <v>4.7987743025969998</v>
      </c>
      <c r="F146" s="29">
        <f t="shared" ref="F146" si="334">F35-D35</f>
        <v>7.185678035282125</v>
      </c>
      <c r="L146" s="24" t="str">
        <f t="shared" ref="L146" si="335">L35</f>
        <v>All occupations</v>
      </c>
      <c r="M146" s="29">
        <f>N35-M35</f>
        <v>18.824770359071238</v>
      </c>
      <c r="N146" s="29">
        <f t="shared" ref="N146" si="336">O35-N35</f>
        <v>8.0511032991341978</v>
      </c>
      <c r="O146" s="29">
        <f>P35-O35</f>
        <v>18.086520021162784</v>
      </c>
      <c r="P146" s="29">
        <f>Q35-P35</f>
        <v>35.793019183641206</v>
      </c>
      <c r="Q146" s="29">
        <f>Q35-O35</f>
        <v>53.87953920480399</v>
      </c>
      <c r="W146" s="24" t="str">
        <f t="shared" ref="W146" si="337">W35</f>
        <v>All occupations</v>
      </c>
      <c r="X146" s="29">
        <f>Y35-X35</f>
        <v>17.387252527772631</v>
      </c>
      <c r="Y146" s="29">
        <f t="shared" ref="Y146" si="338">Z35-Y35</f>
        <v>-2.040760908374267</v>
      </c>
      <c r="Z146" s="29">
        <f>AA35-Z35</f>
        <v>14.104713791911223</v>
      </c>
      <c r="AA146" s="29">
        <f>AB35-AA35</f>
        <v>30.700180988718841</v>
      </c>
      <c r="AB146" s="29">
        <f>AB35-Z35</f>
        <v>44.804894780630065</v>
      </c>
      <c r="AH146" s="24" t="str">
        <f t="shared" ref="AH146" si="339">AH35</f>
        <v>All occupations</v>
      </c>
      <c r="AI146" s="29">
        <f>AJ35-AI35</f>
        <v>2.2845566304166738</v>
      </c>
      <c r="AJ146" s="29">
        <f t="shared" ref="AJ146" si="340">AK35-AJ35</f>
        <v>-0.34431286026796215</v>
      </c>
      <c r="AK146" s="29">
        <f>AL35-AK35</f>
        <v>0.51338843198853823</v>
      </c>
      <c r="AL146" s="29">
        <f>AM35-AL35</f>
        <v>6.2126850774068103</v>
      </c>
      <c r="AM146" s="29">
        <f>AM35-AK35</f>
        <v>6.7260735093953485</v>
      </c>
      <c r="AS146" s="24" t="str">
        <f t="shared" ref="AS146" si="341">AS35</f>
        <v>All occupations</v>
      </c>
      <c r="AT146" s="29">
        <f>AU35-AT35</f>
        <v>4.0481403474558064</v>
      </c>
      <c r="AU146" s="29">
        <f t="shared" ref="AU146" si="342">AV35-AU35</f>
        <v>-9.7562610500467883E-2</v>
      </c>
      <c r="AV146" s="29">
        <f>AW35-AV35</f>
        <v>1.7036354321454326</v>
      </c>
      <c r="AW146" s="29">
        <f>AX35-AW35</f>
        <v>7.6832822352103278</v>
      </c>
      <c r="AX146" s="29">
        <f>AX35-AV35</f>
        <v>9.3869176673557604</v>
      </c>
      <c r="BD146" s="24" t="str">
        <f t="shared" ref="BD146" si="343">BD35</f>
        <v>All occupations</v>
      </c>
      <c r="BE146" s="29">
        <f>BF35-BE35</f>
        <v>-9.4276945306510811</v>
      </c>
      <c r="BF146" s="29">
        <f t="shared" ref="BF146" si="344">BG35-BF35</f>
        <v>6.6020744423040298</v>
      </c>
      <c r="BG146" s="29">
        <f>BH35-BG35</f>
        <v>-3.1107201211318056</v>
      </c>
      <c r="BH146" s="29">
        <f>BI35-BH35</f>
        <v>-0.12323532864263598</v>
      </c>
      <c r="BI146" s="29">
        <f>BI35-BG35</f>
        <v>-3.2339554497744416</v>
      </c>
      <c r="BO146" s="24" t="str">
        <f t="shared" ref="BO146" si="345">BO35</f>
        <v>All occupations</v>
      </c>
      <c r="BP146" s="29">
        <f>BQ35-BP35</f>
        <v>-5.5739679476287449</v>
      </c>
      <c r="BQ146" s="29">
        <f t="shared" ref="BQ146" si="346">BR35-BQ35</f>
        <v>-13.746318878102556</v>
      </c>
      <c r="BR146" s="29">
        <f>BS35-BR35</f>
        <v>-2.9659209007568563</v>
      </c>
      <c r="BS146" s="29">
        <f>BT35-BS35</f>
        <v>-21.873428107931517</v>
      </c>
      <c r="BT146" s="29">
        <f>BT35-BR35</f>
        <v>-24.839349008688373</v>
      </c>
      <c r="BZ146" s="24" t="str">
        <f t="shared" ref="BZ146" si="347">BZ35</f>
        <v>All occupations</v>
      </c>
      <c r="CA146" s="70">
        <f>CB35-CA35</f>
        <v>-12.42419042730053</v>
      </c>
      <c r="CB146" s="70">
        <f t="shared" ref="CB146" si="348">CC35-CB35</f>
        <v>-13.336857514680005</v>
      </c>
      <c r="CC146" s="70">
        <f>CD35-CC35</f>
        <v>-4.5279933544552762</v>
      </c>
      <c r="CD146" s="70">
        <f>CE35-CD35</f>
        <v>-26.948441295683395</v>
      </c>
      <c r="CE146" s="70">
        <f>CE35-CC35</f>
        <v>-31.476434650138671</v>
      </c>
      <c r="CK146" s="24" t="str">
        <f t="shared" ref="CK146" si="349">CK35</f>
        <v>All occupations</v>
      </c>
      <c r="CL146" s="70">
        <f>CM35-CL35</f>
        <v>-0.16000222279583198</v>
      </c>
      <c r="CM146" s="70">
        <f t="shared" ref="CM146" si="350">CN35-CM35</f>
        <v>-4.0104750667864444</v>
      </c>
      <c r="CN146" s="70">
        <f>CO35-CN35</f>
        <v>-0.8505270335487829</v>
      </c>
      <c r="CO146" s="70">
        <f>CP35-CO35</f>
        <v>-0.74483705531644517</v>
      </c>
      <c r="CP146" s="70">
        <f>CP35-CN35</f>
        <v>-1.5953640888652281</v>
      </c>
    </row>
  </sheetData>
  <mergeCells count="36">
    <mergeCell ref="BZ1:CI1"/>
    <mergeCell ref="BZ38:CI38"/>
    <mergeCell ref="BZ75:CI75"/>
    <mergeCell ref="BZ112:CI112"/>
    <mergeCell ref="CK1:CT1"/>
    <mergeCell ref="CK38:CT38"/>
    <mergeCell ref="CK75:CT75"/>
    <mergeCell ref="CK112:CT112"/>
    <mergeCell ref="BD1:BM1"/>
    <mergeCell ref="BD38:BM38"/>
    <mergeCell ref="BD75:BM75"/>
    <mergeCell ref="BD112:BM112"/>
    <mergeCell ref="BO1:BX1"/>
    <mergeCell ref="BO38:BX38"/>
    <mergeCell ref="BO75:BX75"/>
    <mergeCell ref="BO112:BX112"/>
    <mergeCell ref="AH1:AQ1"/>
    <mergeCell ref="AH38:AQ38"/>
    <mergeCell ref="AH75:AQ75"/>
    <mergeCell ref="AH112:AQ112"/>
    <mergeCell ref="AS1:BB1"/>
    <mergeCell ref="AS38:BB38"/>
    <mergeCell ref="AS75:BB75"/>
    <mergeCell ref="AS112:BB112"/>
    <mergeCell ref="A75:J75"/>
    <mergeCell ref="L75:U75"/>
    <mergeCell ref="W75:AF75"/>
    <mergeCell ref="A112:J112"/>
    <mergeCell ref="L112:U112"/>
    <mergeCell ref="W112:AF112"/>
    <mergeCell ref="W1:AF1"/>
    <mergeCell ref="L1:U1"/>
    <mergeCell ref="A1:J1"/>
    <mergeCell ref="A38:J38"/>
    <mergeCell ref="L38:U38"/>
    <mergeCell ref="W38:AF38"/>
  </mergeCells>
  <pageMargins left="0.39370078740157483" right="0.39370078740157483" top="0.19685039370078741" bottom="0.19685039370078741" header="0.19685039370078741" footer="0.19685039370078741"/>
  <pageSetup paperSize="9" scale="72" fitToHeight="0" orientation="portrait" r:id="rId1"/>
  <headerFooter alignWithMargins="0"/>
  <rowBreaks count="1" manualBreakCount="1">
    <brk id="74" max="16383" man="1"/>
  </rowBreaks>
  <colBreaks count="8" manualBreakCount="8">
    <brk id="10" max="141" man="1"/>
    <brk id="21" max="141" man="1"/>
    <brk id="32" max="141" man="1"/>
    <brk id="43" max="141" man="1"/>
    <brk id="54" max="141" man="1"/>
    <brk id="65" max="141" man="1"/>
    <brk id="76" max="141" man="1"/>
    <brk id="87" max="141" man="1"/>
  </colBreaks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49"/>
  <dimension ref="A1:AG37"/>
  <sheetViews>
    <sheetView showGridLines="0" zoomScale="85" zoomScaleNormal="85" workbookViewId="0"/>
  </sheetViews>
  <sheetFormatPr defaultColWidth="9.140625" defaultRowHeight="12.75" x14ac:dyDescent="0.2"/>
  <cols>
    <col min="1" max="1" width="55.7109375" style="91" customWidth="1"/>
    <col min="2" max="4" width="11.7109375" style="91" customWidth="1"/>
    <col min="5" max="5" width="14.7109375" style="91" customWidth="1"/>
    <col min="6" max="8" width="11.7109375" style="91" customWidth="1"/>
    <col min="9" max="9" width="16.5703125" style="91" customWidth="1"/>
    <col min="10" max="11" width="11.7109375" style="91" customWidth="1"/>
    <col min="12" max="12" width="2.7109375" style="91" customWidth="1"/>
    <col min="13" max="22" width="11.7109375" style="91" customWidth="1"/>
    <col min="23" max="23" width="2.7109375" style="91" customWidth="1"/>
    <col min="24" max="32" width="11.7109375" style="91" customWidth="1"/>
    <col min="33" max="33" width="12.85546875" style="91" customWidth="1"/>
    <col min="34" max="16384" width="9.140625" style="91"/>
  </cols>
  <sheetData>
    <row r="1" spans="1:33" ht="15.75" x14ac:dyDescent="0.25">
      <c r="A1" s="19" t="str">
        <f>CONCATENATE("Basic Table 3  Occupation by Qualification in ",A$6,", ",Info!B5)</f>
        <v>Basic Table 3  Occupation by Qualification in 2020, Enterprise M3</v>
      </c>
    </row>
    <row r="2" spans="1:33" ht="15" x14ac:dyDescent="0.25">
      <c r="A2" s="365" t="s">
        <v>523</v>
      </c>
    </row>
    <row r="3" spans="1:33" x14ac:dyDescent="0.2">
      <c r="AG3" s="92"/>
    </row>
    <row r="4" spans="1:33" x14ac:dyDescent="0.2">
      <c r="A4" s="96"/>
      <c r="B4" s="95" t="s">
        <v>47</v>
      </c>
      <c r="C4" s="95"/>
      <c r="D4" s="95"/>
      <c r="E4" s="95"/>
      <c r="F4" s="95"/>
      <c r="G4" s="95"/>
      <c r="H4" s="95"/>
      <c r="I4" s="95"/>
      <c r="J4" s="95"/>
      <c r="K4" s="95"/>
      <c r="L4" s="96"/>
      <c r="M4" s="95" t="s">
        <v>46</v>
      </c>
      <c r="N4" s="95"/>
      <c r="O4" s="95"/>
      <c r="P4" s="95"/>
      <c r="Q4" s="95"/>
      <c r="R4" s="95"/>
      <c r="S4" s="95"/>
      <c r="T4" s="95"/>
      <c r="U4" s="95"/>
      <c r="V4" s="95"/>
      <c r="W4" s="96"/>
      <c r="X4" s="95" t="s">
        <v>45</v>
      </c>
      <c r="Y4" s="95"/>
      <c r="Z4" s="95"/>
      <c r="AA4" s="95"/>
      <c r="AB4" s="95"/>
      <c r="AC4" s="95"/>
      <c r="AD4" s="95"/>
      <c r="AE4" s="95"/>
      <c r="AF4" s="95"/>
    </row>
    <row r="5" spans="1:33" x14ac:dyDescent="0.2">
      <c r="B5" s="92"/>
      <c r="C5" s="92"/>
      <c r="D5" s="92"/>
      <c r="E5" s="92"/>
      <c r="F5" s="92"/>
      <c r="G5" s="92"/>
      <c r="H5" s="92"/>
      <c r="I5" s="92"/>
      <c r="J5" s="92"/>
      <c r="K5" s="92"/>
      <c r="M5" s="92"/>
      <c r="N5" s="92"/>
      <c r="O5" s="92"/>
      <c r="P5" s="92"/>
      <c r="Q5" s="92"/>
      <c r="R5" s="92"/>
      <c r="S5" s="92"/>
      <c r="T5" s="92"/>
      <c r="U5" s="92"/>
      <c r="V5" s="92"/>
      <c r="X5" s="92"/>
      <c r="Y5" s="92"/>
      <c r="Z5" s="92"/>
      <c r="AA5" s="92"/>
      <c r="AB5" s="92"/>
      <c r="AC5" s="92"/>
      <c r="AD5" s="92"/>
      <c r="AE5" s="92"/>
      <c r="AF5" s="92"/>
      <c r="AG5" s="92"/>
    </row>
    <row r="6" spans="1:33" ht="51" x14ac:dyDescent="0.2">
      <c r="A6" s="100">
        <f>'Basic T2'!D6</f>
        <v>2020</v>
      </c>
      <c r="B6" s="235" t="str">
        <f>name!$F$4</f>
        <v>RQF8 Doctorate</v>
      </c>
      <c r="C6" s="235" t="str">
        <f>name!$F$5</f>
        <v>RQF7 Other higher degree</v>
      </c>
      <c r="D6" s="235" t="str">
        <f>name!$F$6</f>
        <v>RQF6 First degree</v>
      </c>
      <c r="E6" s="235" t="str">
        <f>name!$F$7</f>
        <v>RQF5 Foundation degree;Nursing;Teaching</v>
      </c>
      <c r="F6" s="235" t="str">
        <f>name!$F$8</f>
        <v>RQF4 HE below degree level</v>
      </c>
      <c r="G6" s="235" t="str">
        <f>name!$F$9</f>
        <v>RQF3 A level &amp; equivalent</v>
      </c>
      <c r="H6" s="235" t="str">
        <f>name!$F$10</f>
        <v>RQF2 GCSE(A-C) &amp; equivalent</v>
      </c>
      <c r="I6" s="235" t="str">
        <f>name!$F$11</f>
        <v>RQF1 GCSE(below grade C) &amp; equivalent</v>
      </c>
      <c r="J6" s="235" t="str">
        <f>name!$F$12</f>
        <v>No Qualification</v>
      </c>
      <c r="K6" s="235" t="str">
        <f>name!$F$3</f>
        <v>All qualifications</v>
      </c>
      <c r="L6" s="92"/>
      <c r="M6" s="235" t="str">
        <f>name!$F$4</f>
        <v>RQF8 Doctorate</v>
      </c>
      <c r="N6" s="235" t="str">
        <f>name!$F$5</f>
        <v>RQF7 Other higher degree</v>
      </c>
      <c r="O6" s="235" t="str">
        <f>name!$F$6</f>
        <v>RQF6 First degree</v>
      </c>
      <c r="P6" s="235" t="str">
        <f>name!$F$7</f>
        <v>RQF5 Foundation degree;Nursing;Teaching</v>
      </c>
      <c r="Q6" s="235" t="str">
        <f>name!$F$8</f>
        <v>RQF4 HE below degree level</v>
      </c>
      <c r="R6" s="235" t="str">
        <f>name!$F$9</f>
        <v>RQF3 A level &amp; equivalent</v>
      </c>
      <c r="S6" s="235" t="str">
        <f>name!$F$10</f>
        <v>RQF2 GCSE(A-C) &amp; equivalent</v>
      </c>
      <c r="T6" s="235" t="str">
        <f>name!$F$11</f>
        <v>RQF1 GCSE(below grade C) &amp; equivalent</v>
      </c>
      <c r="U6" s="235" t="str">
        <f>name!$F$12</f>
        <v>No Qualification</v>
      </c>
      <c r="V6" s="235" t="str">
        <f>name!$F$3</f>
        <v>All qualifications</v>
      </c>
      <c r="W6" s="92"/>
      <c r="X6" s="235" t="str">
        <f>name!$F$4</f>
        <v>RQF8 Doctorate</v>
      </c>
      <c r="Y6" s="235" t="str">
        <f>name!$F$5</f>
        <v>RQF7 Other higher degree</v>
      </c>
      <c r="Z6" s="235" t="str">
        <f>name!$F$6</f>
        <v>RQF6 First degree</v>
      </c>
      <c r="AA6" s="235" t="str">
        <f>name!$F$7</f>
        <v>RQF5 Foundation degree;Nursing;Teaching</v>
      </c>
      <c r="AB6" s="235" t="str">
        <f>name!$F$8</f>
        <v>RQF4 HE below degree level</v>
      </c>
      <c r="AC6" s="235" t="str">
        <f>name!$F$9</f>
        <v>RQF3 A level &amp; equivalent</v>
      </c>
      <c r="AD6" s="235" t="str">
        <f>name!$F$10</f>
        <v>RQF2 GCSE(A-C) &amp; equivalent</v>
      </c>
      <c r="AE6" s="235" t="str">
        <f>name!$F$11</f>
        <v>RQF1 GCSE(below grade C) &amp; equivalent</v>
      </c>
      <c r="AF6" s="235" t="str">
        <f>name!$F$12</f>
        <v>No Qualification</v>
      </c>
      <c r="AG6" s="235" t="str">
        <f>name!$F$3</f>
        <v>All qualifications</v>
      </c>
    </row>
    <row r="8" spans="1:33" x14ac:dyDescent="0.2">
      <c r="A8" s="10" t="str">
        <f>name!D4</f>
        <v>11 Corporate managers and directors</v>
      </c>
      <c r="B8" s="69">
        <f>'Basic T2'!D8</f>
        <v>1.406513338367287</v>
      </c>
      <c r="C8" s="69">
        <f>'Basic T2'!O8</f>
        <v>11.290721240204533</v>
      </c>
      <c r="D8" s="69">
        <f>'Basic T2'!Z8</f>
        <v>23.685473083806109</v>
      </c>
      <c r="E8" s="69">
        <f>'Basic T2'!AK8</f>
        <v>4.522208236436037</v>
      </c>
      <c r="F8" s="69">
        <f>'Basic T2'!AV8</f>
        <v>6.6864499911184634</v>
      </c>
      <c r="G8" s="69">
        <f>'Basic T2'!BG8</f>
        <v>13.68650674887734</v>
      </c>
      <c r="H8" s="69">
        <f>'Basic T2'!BR8</f>
        <v>10.021583655569753</v>
      </c>
      <c r="I8" s="69">
        <f>'Basic T2'!CC8</f>
        <v>6.4815661633182131</v>
      </c>
      <c r="J8" s="69">
        <f>'Basic T2'!CN8</f>
        <v>1.0988188403346375</v>
      </c>
      <c r="K8" s="309">
        <f>SUM(B8:J8)</f>
        <v>78.879841298032375</v>
      </c>
      <c r="L8" s="97"/>
      <c r="M8" s="97">
        <f t="shared" ref="M8:M33" si="0">B8/B$35*100</f>
        <v>9.0565480162677243</v>
      </c>
      <c r="N8" s="97">
        <f t="shared" ref="N8:N33" si="1">C8/C$35*100</f>
        <v>10.061164145042593</v>
      </c>
      <c r="O8" s="97">
        <f t="shared" ref="O8:O33" si="2">D8/D$35*100</f>
        <v>11.972993129009279</v>
      </c>
      <c r="P8" s="97">
        <f t="shared" ref="P8:P33" si="3">E8/E$35*100</f>
        <v>8.7718550622279885</v>
      </c>
      <c r="Q8" s="97">
        <f t="shared" ref="Q8:Q33" si="4">F8/F$35*100</f>
        <v>12.366167891263039</v>
      </c>
      <c r="R8" s="97">
        <f t="shared" ref="R8:R33" si="5">G8/G$35*100</f>
        <v>8.0343338637436439</v>
      </c>
      <c r="S8" s="97">
        <f t="shared" ref="S8:S33" si="6">H8/H$35*100</f>
        <v>6.8320218810209248</v>
      </c>
      <c r="T8" s="97">
        <f t="shared" ref="T8:T33" si="7">I8/I$35*100</f>
        <v>7.3311952941281007</v>
      </c>
      <c r="U8" s="97">
        <f t="shared" ref="U8:U33" si="8">J8/J$35*100</f>
        <v>3.9251847007314926</v>
      </c>
      <c r="V8" s="97">
        <f t="shared" ref="V8:V33" si="9">K8/K$35*100</f>
        <v>9.1228535920189202</v>
      </c>
      <c r="W8" s="97"/>
      <c r="X8" s="97">
        <f t="shared" ref="X8:X32" si="10">IF($K8&gt;0,B8/$K8*100,0)</f>
        <v>1.7831087324999118</v>
      </c>
      <c r="Y8" s="97">
        <f t="shared" ref="Y8:AG23" si="11">IF($K8&gt;0,C8/$K8*100,0)</f>
        <v>14.31382347429517</v>
      </c>
      <c r="Z8" s="97">
        <f t="shared" si="11"/>
        <v>30.027282882473212</v>
      </c>
      <c r="AA8" s="97">
        <f t="shared" si="11"/>
        <v>5.7330341466455783</v>
      </c>
      <c r="AB8" s="97">
        <f t="shared" si="11"/>
        <v>8.4767538588915166</v>
      </c>
      <c r="AC8" s="97">
        <f t="shared" si="11"/>
        <v>17.351083019000374</v>
      </c>
      <c r="AD8" s="97">
        <f t="shared" si="11"/>
        <v>12.704872994996425</v>
      </c>
      <c r="AE8" s="97">
        <f t="shared" si="11"/>
        <v>8.2170121753019956</v>
      </c>
      <c r="AF8" s="97">
        <f>IF($K8&gt;0,J8/$K8*100,0)</f>
        <v>1.3930287158958155</v>
      </c>
      <c r="AG8" s="97">
        <f t="shared" si="11"/>
        <v>100</v>
      </c>
    </row>
    <row r="9" spans="1:33" x14ac:dyDescent="0.2">
      <c r="A9" s="10" t="str">
        <f>name!D5</f>
        <v>12 Other managers and proprietors</v>
      </c>
      <c r="B9" s="69">
        <f>'Basic T2'!D9</f>
        <v>0.46241307045477237</v>
      </c>
      <c r="C9" s="69">
        <f>'Basic T2'!O9</f>
        <v>4.0246337718354237</v>
      </c>
      <c r="D9" s="69">
        <f>'Basic T2'!Z9</f>
        <v>7.6546378168647315</v>
      </c>
      <c r="E9" s="69">
        <f>'Basic T2'!AK9</f>
        <v>2.3237620529198519</v>
      </c>
      <c r="F9" s="69">
        <f>'Basic T2'!AV9</f>
        <v>2.4733797540272837</v>
      </c>
      <c r="G9" s="69">
        <f>'Basic T2'!BG9</f>
        <v>5.3577953823806004</v>
      </c>
      <c r="H9" s="69">
        <f>'Basic T2'!BR9</f>
        <v>5.1881009091121868</v>
      </c>
      <c r="I9" s="69">
        <f>'Basic T2'!CC9</f>
        <v>2.6897655363870516</v>
      </c>
      <c r="J9" s="69">
        <f>'Basic T2'!CN9</f>
        <v>0.87561619033777216</v>
      </c>
      <c r="K9" s="309">
        <f>SUM(B9:J9)</f>
        <v>31.050104484319675</v>
      </c>
      <c r="L9" s="97"/>
      <c r="M9" s="97">
        <f t="shared" si="0"/>
        <v>2.9774805980758119</v>
      </c>
      <c r="N9" s="97">
        <f t="shared" si="1"/>
        <v>3.5863520266473756</v>
      </c>
      <c r="O9" s="97">
        <f t="shared" si="2"/>
        <v>3.8694150487134196</v>
      </c>
      <c r="P9" s="97">
        <f t="shared" si="3"/>
        <v>4.5074668970535399</v>
      </c>
      <c r="Q9" s="97">
        <f t="shared" si="4"/>
        <v>4.5743599874043204</v>
      </c>
      <c r="R9" s="97">
        <f t="shared" si="5"/>
        <v>3.1451646256778223</v>
      </c>
      <c r="S9" s="97">
        <f t="shared" si="6"/>
        <v>3.5368879959705191</v>
      </c>
      <c r="T9" s="97">
        <f t="shared" si="7"/>
        <v>3.0423505593860254</v>
      </c>
      <c r="U9" s="97">
        <f t="shared" si="8"/>
        <v>3.1278634365059821</v>
      </c>
      <c r="V9" s="97">
        <f t="shared" si="9"/>
        <v>3.5911020175240198</v>
      </c>
      <c r="W9" s="97"/>
      <c r="X9" s="97">
        <f t="shared" si="10"/>
        <v>1.4892480335719684</v>
      </c>
      <c r="Y9" s="97">
        <f t="shared" si="11"/>
        <v>12.96173986747087</v>
      </c>
      <c r="Z9" s="97">
        <f t="shared" si="11"/>
        <v>24.652534811051375</v>
      </c>
      <c r="AA9" s="97">
        <f t="shared" si="11"/>
        <v>7.4839105745790748</v>
      </c>
      <c r="AB9" s="97">
        <f t="shared" si="11"/>
        <v>7.9657695041778105</v>
      </c>
      <c r="AC9" s="97">
        <f t="shared" si="11"/>
        <v>17.255321588648087</v>
      </c>
      <c r="AD9" s="97">
        <f t="shared" si="11"/>
        <v>16.708803384968256</v>
      </c>
      <c r="AE9" s="97">
        <f t="shared" si="11"/>
        <v>8.6626617882892631</v>
      </c>
      <c r="AF9" s="97">
        <f t="shared" si="11"/>
        <v>2.8200104472432903</v>
      </c>
      <c r="AG9" s="97">
        <f t="shared" si="11"/>
        <v>100</v>
      </c>
    </row>
    <row r="10" spans="1:33" x14ac:dyDescent="0.2">
      <c r="A10" s="10" t="str">
        <f>name!D6</f>
        <v>21 Science, research, engineering and technology professionals</v>
      </c>
      <c r="B10" s="69">
        <f>'Basic T2'!D10</f>
        <v>3.7264783870920986</v>
      </c>
      <c r="C10" s="69">
        <f>'Basic T2'!O10</f>
        <v>16.730086728247379</v>
      </c>
      <c r="D10" s="69">
        <f>'Basic T2'!Z10</f>
        <v>24.627521670016844</v>
      </c>
      <c r="E10" s="69">
        <f>'Basic T2'!AK10</f>
        <v>2.6741529901377774</v>
      </c>
      <c r="F10" s="69">
        <f>'Basic T2'!AV10</f>
        <v>5.8461716850112548</v>
      </c>
      <c r="G10" s="69">
        <f>'Basic T2'!BG10</f>
        <v>7.1748412357760358</v>
      </c>
      <c r="H10" s="69">
        <f>'Basic T2'!BR10</f>
        <v>5.1534284316517081</v>
      </c>
      <c r="I10" s="69">
        <f>'Basic T2'!CC10</f>
        <v>3.2310050733791669</v>
      </c>
      <c r="J10" s="69">
        <f>'Basic T2'!CN10</f>
        <v>0.76949449030013362</v>
      </c>
      <c r="K10" s="309">
        <f t="shared" ref="K10:K32" si="12">SUM(B10:J10)</f>
        <v>69.933180691612392</v>
      </c>
      <c r="L10" s="97"/>
      <c r="M10" s="97">
        <f t="shared" si="0"/>
        <v>23.994817200567855</v>
      </c>
      <c r="N10" s="97">
        <f t="shared" si="1"/>
        <v>14.908183910724754</v>
      </c>
      <c r="O10" s="97">
        <f t="shared" si="2"/>
        <v>12.449198151808913</v>
      </c>
      <c r="P10" s="97">
        <f t="shared" si="3"/>
        <v>5.1871300960255899</v>
      </c>
      <c r="Q10" s="97">
        <f t="shared" si="4"/>
        <v>10.812126116852083</v>
      </c>
      <c r="R10" s="97">
        <f t="shared" si="5"/>
        <v>4.2118175927037145</v>
      </c>
      <c r="S10" s="97">
        <f t="shared" si="6"/>
        <v>3.5132507014250067</v>
      </c>
      <c r="T10" s="97">
        <f t="shared" si="7"/>
        <v>3.6545378990831483</v>
      </c>
      <c r="U10" s="97">
        <f t="shared" si="8"/>
        <v>2.7487770410847876</v>
      </c>
      <c r="V10" s="97">
        <f t="shared" si="9"/>
        <v>8.0881269304696062</v>
      </c>
      <c r="W10" s="97"/>
      <c r="X10" s="97">
        <f t="shared" si="10"/>
        <v>5.3286270554816095</v>
      </c>
      <c r="Y10" s="97">
        <f t="shared" si="11"/>
        <v>23.922959835078604</v>
      </c>
      <c r="Z10" s="97">
        <f t="shared" si="11"/>
        <v>35.215789452817795</v>
      </c>
      <c r="AA10" s="97">
        <f t="shared" si="11"/>
        <v>3.8238686753432747</v>
      </c>
      <c r="AB10" s="97">
        <f t="shared" si="11"/>
        <v>8.3596536396526719</v>
      </c>
      <c r="AC10" s="97">
        <f t="shared" si="11"/>
        <v>10.259566581727874</v>
      </c>
      <c r="AD10" s="97">
        <f t="shared" si="11"/>
        <v>7.3690748521463973</v>
      </c>
      <c r="AE10" s="97">
        <f t="shared" si="11"/>
        <v>4.6201317335001253</v>
      </c>
      <c r="AF10" s="97">
        <f t="shared" si="11"/>
        <v>1.1003281742516609</v>
      </c>
      <c r="AG10" s="97">
        <f t="shared" si="11"/>
        <v>100</v>
      </c>
    </row>
    <row r="11" spans="1:33" x14ac:dyDescent="0.2">
      <c r="A11" s="10" t="str">
        <f>name!D7</f>
        <v>22 Health professionals</v>
      </c>
      <c r="B11" s="69">
        <f>'Basic T2'!D11</f>
        <v>2.0659005850098118</v>
      </c>
      <c r="C11" s="69">
        <f>'Basic T2'!O11</f>
        <v>6.7615792567128787</v>
      </c>
      <c r="D11" s="69">
        <f>'Basic T2'!Z11</f>
        <v>12.47714033470529</v>
      </c>
      <c r="E11" s="69">
        <f>'Basic T2'!AK11</f>
        <v>3.9179069896910232</v>
      </c>
      <c r="F11" s="69">
        <f>'Basic T2'!AV11</f>
        <v>1.0313755125471249</v>
      </c>
      <c r="G11" s="69">
        <f>'Basic T2'!BG11</f>
        <v>3.5794798657346716</v>
      </c>
      <c r="H11" s="69">
        <f>'Basic T2'!BR11</f>
        <v>2.2841972976465201</v>
      </c>
      <c r="I11" s="69">
        <f>'Basic T2'!CC11</f>
        <v>1.1973621329212667</v>
      </c>
      <c r="J11" s="69">
        <f>'Basic T2'!CN11</f>
        <v>0.19214638860708494</v>
      </c>
      <c r="K11" s="309">
        <f t="shared" si="12"/>
        <v>33.507088363575669</v>
      </c>
      <c r="L11" s="97"/>
      <c r="M11" s="97">
        <f t="shared" si="0"/>
        <v>13.302346543471716</v>
      </c>
      <c r="N11" s="97">
        <f t="shared" si="1"/>
        <v>6.0252447416079322</v>
      </c>
      <c r="O11" s="97">
        <f t="shared" si="2"/>
        <v>6.3071873197774062</v>
      </c>
      <c r="P11" s="97">
        <f t="shared" si="3"/>
        <v>7.5996748632576407</v>
      </c>
      <c r="Q11" s="97">
        <f t="shared" si="4"/>
        <v>1.9074640151405347</v>
      </c>
      <c r="R11" s="97">
        <f t="shared" si="5"/>
        <v>2.1012473692178331</v>
      </c>
      <c r="S11" s="97">
        <f t="shared" si="6"/>
        <v>1.5572075686278017</v>
      </c>
      <c r="T11" s="97">
        <f t="shared" si="7"/>
        <v>1.3543170605768626</v>
      </c>
      <c r="U11" s="97">
        <f t="shared" si="8"/>
        <v>0.68638253839154084</v>
      </c>
      <c r="V11" s="97">
        <f t="shared" si="9"/>
        <v>3.875264660850259</v>
      </c>
      <c r="W11" s="97"/>
      <c r="X11" s="97">
        <f t="shared" si="10"/>
        <v>6.1655628283583628</v>
      </c>
      <c r="Y11" s="97">
        <f t="shared" si="11"/>
        <v>20.179548826639156</v>
      </c>
      <c r="Z11" s="97">
        <f t="shared" si="11"/>
        <v>37.237315875731937</v>
      </c>
      <c r="AA11" s="97">
        <f t="shared" si="11"/>
        <v>11.69277063760048</v>
      </c>
      <c r="AB11" s="97">
        <f t="shared" si="11"/>
        <v>3.0780815729375504</v>
      </c>
      <c r="AC11" s="97">
        <f t="shared" si="11"/>
        <v>10.682754129200296</v>
      </c>
      <c r="AD11" s="97">
        <f t="shared" si="11"/>
        <v>6.81705695481911</v>
      </c>
      <c r="AE11" s="97">
        <f t="shared" si="11"/>
        <v>3.5734592034050778</v>
      </c>
      <c r="AF11" s="97">
        <f t="shared" si="11"/>
        <v>0.57344997130804198</v>
      </c>
      <c r="AG11" s="97">
        <f t="shared" si="11"/>
        <v>100</v>
      </c>
    </row>
    <row r="12" spans="1:33" x14ac:dyDescent="0.2">
      <c r="A12" s="10" t="str">
        <f>name!D8</f>
        <v>23 Teaching and other educational professionals</v>
      </c>
      <c r="B12" s="69">
        <f>'Basic T2'!D12</f>
        <v>3.4962322060996316</v>
      </c>
      <c r="C12" s="69">
        <f>'Basic T2'!O12</f>
        <v>19.859119201450408</v>
      </c>
      <c r="D12" s="69">
        <f>'Basic T2'!Z12</f>
        <v>11.073205505832906</v>
      </c>
      <c r="E12" s="69">
        <f>'Basic T2'!AK12</f>
        <v>0.87612366951649634</v>
      </c>
      <c r="F12" s="69">
        <f>'Basic T2'!AV12</f>
        <v>0.43870075672595843</v>
      </c>
      <c r="G12" s="69">
        <f>'Basic T2'!BG12</f>
        <v>1.5986898197202666</v>
      </c>
      <c r="H12" s="69">
        <f>'Basic T2'!BR12</f>
        <v>1.1719333829537681</v>
      </c>
      <c r="I12" s="69">
        <f>'Basic T2'!CC12</f>
        <v>0.74268631404652563</v>
      </c>
      <c r="J12" s="69">
        <f>'Basic T2'!CN12</f>
        <v>0.16180616199018644</v>
      </c>
      <c r="K12" s="309">
        <f t="shared" si="12"/>
        <v>39.41849701833614</v>
      </c>
      <c r="L12" s="97"/>
      <c r="M12" s="97">
        <f t="shared" si="0"/>
        <v>22.512260628341433</v>
      </c>
      <c r="N12" s="97">
        <f t="shared" si="1"/>
        <v>17.69646542598905</v>
      </c>
      <c r="O12" s="97">
        <f t="shared" si="2"/>
        <v>5.5974990648631113</v>
      </c>
      <c r="P12" s="97">
        <f t="shared" si="3"/>
        <v>1.6994418310207642</v>
      </c>
      <c r="Q12" s="97">
        <f t="shared" si="4"/>
        <v>0.8113494034806773</v>
      </c>
      <c r="R12" s="97">
        <f t="shared" si="5"/>
        <v>0.9384723210876541</v>
      </c>
      <c r="S12" s="97">
        <f t="shared" si="6"/>
        <v>0.79894304040350994</v>
      </c>
      <c r="T12" s="97">
        <f t="shared" si="7"/>
        <v>0.84004055090348717</v>
      </c>
      <c r="U12" s="97">
        <f t="shared" si="8"/>
        <v>0.57800162157261548</v>
      </c>
      <c r="V12" s="97">
        <f t="shared" si="9"/>
        <v>4.5589490444966865</v>
      </c>
      <c r="W12" s="97"/>
      <c r="X12" s="97">
        <f t="shared" si="10"/>
        <v>8.8695218502960778</v>
      </c>
      <c r="Y12" s="97">
        <f t="shared" si="11"/>
        <v>50.380203974323592</v>
      </c>
      <c r="Z12" s="97">
        <f t="shared" si="11"/>
        <v>28.091394506193446</v>
      </c>
      <c r="AA12" s="97">
        <f t="shared" si="11"/>
        <v>2.2226206877166157</v>
      </c>
      <c r="AB12" s="97">
        <f t="shared" si="11"/>
        <v>1.112931212272984</v>
      </c>
      <c r="AC12" s="97">
        <f t="shared" si="11"/>
        <v>4.0556843630456294</v>
      </c>
      <c r="AD12" s="97">
        <f t="shared" si="11"/>
        <v>2.9730544581865326</v>
      </c>
      <c r="AE12" s="97">
        <f t="shared" si="11"/>
        <v>1.8841061182547203</v>
      </c>
      <c r="AF12" s="97">
        <f t="shared" si="11"/>
        <v>0.41048282971042688</v>
      </c>
      <c r="AG12" s="97">
        <f t="shared" si="11"/>
        <v>100</v>
      </c>
    </row>
    <row r="13" spans="1:33" x14ac:dyDescent="0.2">
      <c r="A13" s="10" t="str">
        <f>name!D9</f>
        <v>24 Business, media and public service professionals</v>
      </c>
      <c r="B13" s="69">
        <f>'Basic T2'!D13</f>
        <v>1.3749778355672453</v>
      </c>
      <c r="C13" s="69">
        <f>'Basic T2'!O13</f>
        <v>16.750517280132414</v>
      </c>
      <c r="D13" s="69">
        <f>'Basic T2'!Z13</f>
        <v>25.677091687829506</v>
      </c>
      <c r="E13" s="69">
        <f>'Basic T2'!AK13</f>
        <v>2.4873851666236639</v>
      </c>
      <c r="F13" s="69">
        <f>'Basic T2'!AV13</f>
        <v>3.9397440332053861</v>
      </c>
      <c r="G13" s="69">
        <f>'Basic T2'!BG13</f>
        <v>8.1469008593004997</v>
      </c>
      <c r="H13" s="69">
        <f>'Basic T2'!BR13</f>
        <v>5.2371468704852235</v>
      </c>
      <c r="I13" s="69">
        <f>'Basic T2'!CC13</f>
        <v>3.0197054132096408</v>
      </c>
      <c r="J13" s="69">
        <f>'Basic T2'!CN13</f>
        <v>0.68872444512603148</v>
      </c>
      <c r="K13" s="309">
        <f t="shared" si="12"/>
        <v>67.322193591479618</v>
      </c>
      <c r="L13" s="97"/>
      <c r="M13" s="97">
        <f t="shared" si="0"/>
        <v>8.8534907202329372</v>
      </c>
      <c r="N13" s="97">
        <f t="shared" si="1"/>
        <v>14.926389579938975</v>
      </c>
      <c r="O13" s="97">
        <f t="shared" si="2"/>
        <v>12.979755196931942</v>
      </c>
      <c r="P13" s="97">
        <f t="shared" si="3"/>
        <v>4.8248512728273178</v>
      </c>
      <c r="Q13" s="97">
        <f t="shared" si="4"/>
        <v>7.2863083142673926</v>
      </c>
      <c r="R13" s="97">
        <f t="shared" si="5"/>
        <v>4.7824417624905822</v>
      </c>
      <c r="S13" s="97">
        <f t="shared" si="6"/>
        <v>3.5703241366836753</v>
      </c>
      <c r="T13" s="97">
        <f t="shared" si="7"/>
        <v>3.4155402501734518</v>
      </c>
      <c r="U13" s="97">
        <f t="shared" si="8"/>
        <v>2.4602514589258337</v>
      </c>
      <c r="V13" s="97">
        <f t="shared" si="9"/>
        <v>7.7861530338036218</v>
      </c>
      <c r="W13" s="97"/>
      <c r="X13" s="97">
        <f t="shared" si="10"/>
        <v>2.0423841859800365</v>
      </c>
      <c r="Y13" s="97">
        <f t="shared" si="11"/>
        <v>24.881122237009787</v>
      </c>
      <c r="Z13" s="97">
        <f t="shared" si="11"/>
        <v>38.140604632762937</v>
      </c>
      <c r="AA13" s="97">
        <f t="shared" si="11"/>
        <v>3.6947476514468036</v>
      </c>
      <c r="AB13" s="97">
        <f t="shared" si="11"/>
        <v>5.852073176807485</v>
      </c>
      <c r="AC13" s="97">
        <f t="shared" si="11"/>
        <v>12.101359781496457</v>
      </c>
      <c r="AD13" s="97">
        <f t="shared" si="11"/>
        <v>7.7792279055328404</v>
      </c>
      <c r="AE13" s="97">
        <f t="shared" si="11"/>
        <v>4.4854530907498811</v>
      </c>
      <c r="AF13" s="97">
        <f t="shared" si="11"/>
        <v>1.0230273382137645</v>
      </c>
      <c r="AG13" s="97">
        <f t="shared" si="11"/>
        <v>100</v>
      </c>
    </row>
    <row r="14" spans="1:33" x14ac:dyDescent="0.2">
      <c r="A14" s="10" t="str">
        <f>name!D10</f>
        <v>31 Science, engineering and technology associate professionals</v>
      </c>
      <c r="B14" s="69">
        <f>'Basic T2'!D14</f>
        <v>0.47747700262376663</v>
      </c>
      <c r="C14" s="69">
        <f>'Basic T2'!O14</f>
        <v>2.6305783390071968</v>
      </c>
      <c r="D14" s="69">
        <f>'Basic T2'!Z14</f>
        <v>5.6354421084714037</v>
      </c>
      <c r="E14" s="69">
        <f>'Basic T2'!AK14</f>
        <v>0.89475458089102256</v>
      </c>
      <c r="F14" s="69">
        <f>'Basic T2'!AV14</f>
        <v>1.9070905388462562</v>
      </c>
      <c r="G14" s="69">
        <f>'Basic T2'!BG14</f>
        <v>2.6982930209545475</v>
      </c>
      <c r="H14" s="69">
        <f>'Basic T2'!BR14</f>
        <v>2.0795334969442578</v>
      </c>
      <c r="I14" s="69">
        <f>'Basic T2'!CC14</f>
        <v>1.6497735561440834</v>
      </c>
      <c r="J14" s="69">
        <f>'Basic T2'!CN14</f>
        <v>0.39939066445056048</v>
      </c>
      <c r="K14" s="309">
        <f t="shared" si="12"/>
        <v>18.372333308333097</v>
      </c>
      <c r="L14" s="97"/>
      <c r="M14" s="97">
        <f t="shared" si="0"/>
        <v>3.074477349745913</v>
      </c>
      <c r="N14" s="97">
        <f t="shared" si="1"/>
        <v>2.3441089282145327</v>
      </c>
      <c r="O14" s="97">
        <f t="shared" si="2"/>
        <v>2.8487127702671651</v>
      </c>
      <c r="P14" s="97">
        <f t="shared" si="3"/>
        <v>1.735580736110937</v>
      </c>
      <c r="Q14" s="97">
        <f t="shared" si="4"/>
        <v>3.5270437703920123</v>
      </c>
      <c r="R14" s="97">
        <f t="shared" si="5"/>
        <v>1.5839678736385028</v>
      </c>
      <c r="S14" s="97">
        <f t="shared" si="6"/>
        <v>1.4176819594319299</v>
      </c>
      <c r="T14" s="97">
        <f t="shared" si="7"/>
        <v>1.8660323487292141</v>
      </c>
      <c r="U14" s="97">
        <f t="shared" si="8"/>
        <v>1.4266975302670444</v>
      </c>
      <c r="V14" s="97">
        <f t="shared" si="9"/>
        <v>2.1248535006861933</v>
      </c>
      <c r="W14" s="97"/>
      <c r="X14" s="97">
        <f t="shared" si="10"/>
        <v>2.5988914669167174</v>
      </c>
      <c r="Y14" s="97">
        <f t="shared" si="11"/>
        <v>14.318150530254378</v>
      </c>
      <c r="Z14" s="97">
        <f t="shared" si="11"/>
        <v>30.673524227406375</v>
      </c>
      <c r="AA14" s="97">
        <f t="shared" si="11"/>
        <v>4.8701194664544367</v>
      </c>
      <c r="AB14" s="97">
        <f t="shared" si="11"/>
        <v>10.380230463058613</v>
      </c>
      <c r="AC14" s="97">
        <f t="shared" si="11"/>
        <v>14.686719295097314</v>
      </c>
      <c r="AD14" s="97">
        <f t="shared" si="11"/>
        <v>11.318831756666686</v>
      </c>
      <c r="AE14" s="97">
        <f t="shared" si="11"/>
        <v>8.9796626724369268</v>
      </c>
      <c r="AF14" s="97">
        <f t="shared" si="11"/>
        <v>2.1738701217085463</v>
      </c>
      <c r="AG14" s="97">
        <f t="shared" si="11"/>
        <v>100</v>
      </c>
    </row>
    <row r="15" spans="1:33" x14ac:dyDescent="0.2">
      <c r="A15" s="10" t="str">
        <f>name!D11</f>
        <v>32 Health and social care associate professionals</v>
      </c>
      <c r="B15" s="69">
        <f>'Basic T2'!D15</f>
        <v>7.6670201142416156E-2</v>
      </c>
      <c r="C15" s="69">
        <f>'Basic T2'!O15</f>
        <v>1.7816683093487169</v>
      </c>
      <c r="D15" s="69">
        <f>'Basic T2'!Z15</f>
        <v>4.6044746491907338</v>
      </c>
      <c r="E15" s="69">
        <f>'Basic T2'!AK15</f>
        <v>2.1770092605125551</v>
      </c>
      <c r="F15" s="69">
        <f>'Basic T2'!AV15</f>
        <v>0.78359897304665649</v>
      </c>
      <c r="G15" s="69">
        <f>'Basic T2'!BG15</f>
        <v>2.7827275636781299</v>
      </c>
      <c r="H15" s="69">
        <f>'Basic T2'!BR15</f>
        <v>1.8235377427753068</v>
      </c>
      <c r="I15" s="69">
        <f>'Basic T2'!CC15</f>
        <v>0.5594460838410823</v>
      </c>
      <c r="J15" s="69">
        <f>'Basic T2'!CN15</f>
        <v>0.11369457466395679</v>
      </c>
      <c r="K15" s="309">
        <f t="shared" si="12"/>
        <v>14.702827358199553</v>
      </c>
      <c r="L15" s="97"/>
      <c r="M15" s="97">
        <f t="shared" si="0"/>
        <v>0.49367989561281661</v>
      </c>
      <c r="N15" s="97">
        <f t="shared" si="1"/>
        <v>1.5876450167370562</v>
      </c>
      <c r="O15" s="97">
        <f t="shared" si="2"/>
        <v>2.3275593078675008</v>
      </c>
      <c r="P15" s="97">
        <f t="shared" si="3"/>
        <v>4.2228063600614272</v>
      </c>
      <c r="Q15" s="97">
        <f t="shared" si="4"/>
        <v>1.4492169197388043</v>
      </c>
      <c r="R15" s="97">
        <f t="shared" si="5"/>
        <v>1.6335331365884103</v>
      </c>
      <c r="S15" s="97">
        <f t="shared" si="6"/>
        <v>1.2431617783866225</v>
      </c>
      <c r="T15" s="97">
        <f t="shared" si="7"/>
        <v>0.63278047216206113</v>
      </c>
      <c r="U15" s="97">
        <f t="shared" si="8"/>
        <v>0.40613810816278728</v>
      </c>
      <c r="V15" s="97">
        <f t="shared" si="9"/>
        <v>1.7004565319901415</v>
      </c>
      <c r="W15" s="97"/>
      <c r="X15" s="97">
        <f t="shared" si="10"/>
        <v>0.52146569686583655</v>
      </c>
      <c r="Y15" s="97">
        <f t="shared" si="11"/>
        <v>12.117861863861895</v>
      </c>
      <c r="Z15" s="97">
        <f t="shared" si="11"/>
        <v>31.316933383040002</v>
      </c>
      <c r="AA15" s="97">
        <f t="shared" si="11"/>
        <v>14.806738918133789</v>
      </c>
      <c r="AB15" s="97">
        <f t="shared" si="11"/>
        <v>5.3295801817985353</v>
      </c>
      <c r="AC15" s="97">
        <f t="shared" si="11"/>
        <v>18.926479213035467</v>
      </c>
      <c r="AD15" s="97">
        <f t="shared" si="11"/>
        <v>12.402633169451903</v>
      </c>
      <c r="AE15" s="97">
        <f t="shared" si="11"/>
        <v>3.8050238244080812</v>
      </c>
      <c r="AF15" s="97">
        <f t="shared" si="11"/>
        <v>0.77328374940450462</v>
      </c>
      <c r="AG15" s="97">
        <f t="shared" si="11"/>
        <v>100</v>
      </c>
    </row>
    <row r="16" spans="1:33" x14ac:dyDescent="0.2">
      <c r="A16" s="10" t="str">
        <f>name!D12</f>
        <v>33 Protective service occupations</v>
      </c>
      <c r="B16" s="69">
        <f>'Basic T2'!D16</f>
        <v>3.8073033031675349E-2</v>
      </c>
      <c r="C16" s="69">
        <f>'Basic T2'!O16</f>
        <v>0.77948156383253531</v>
      </c>
      <c r="D16" s="69">
        <f>'Basic T2'!Z16</f>
        <v>2.9226084770079659</v>
      </c>
      <c r="E16" s="69">
        <f>'Basic T2'!AK16</f>
        <v>0.73291473949666075</v>
      </c>
      <c r="F16" s="69">
        <f>'Basic T2'!AV16</f>
        <v>0.59996999762046299</v>
      </c>
      <c r="G16" s="69">
        <f>'Basic T2'!BG16</f>
        <v>1.8788004719334033</v>
      </c>
      <c r="H16" s="69">
        <f>'Basic T2'!BR16</f>
        <v>2.0402488040054179</v>
      </c>
      <c r="I16" s="69">
        <f>'Basic T2'!CC16</f>
        <v>1.0584596537968971</v>
      </c>
      <c r="J16" s="69">
        <f>'Basic T2'!CN16</f>
        <v>0.13983447517385492</v>
      </c>
      <c r="K16" s="309">
        <f t="shared" si="12"/>
        <v>10.190391215898874</v>
      </c>
      <c r="L16" s="97"/>
      <c r="M16" s="97">
        <f t="shared" si="0"/>
        <v>0.2451524933112818</v>
      </c>
      <c r="N16" s="97">
        <f t="shared" si="1"/>
        <v>0.69459619052746757</v>
      </c>
      <c r="O16" s="97">
        <f t="shared" si="2"/>
        <v>1.4773769174965363</v>
      </c>
      <c r="P16" s="97">
        <f t="shared" si="3"/>
        <v>1.4216554240107304</v>
      </c>
      <c r="Q16" s="97">
        <f t="shared" si="4"/>
        <v>1.1096067016354485</v>
      </c>
      <c r="R16" s="97">
        <f t="shared" si="5"/>
        <v>1.1029045271986784</v>
      </c>
      <c r="S16" s="97">
        <f t="shared" si="6"/>
        <v>1.3909003757050729</v>
      </c>
      <c r="T16" s="97">
        <f t="shared" si="7"/>
        <v>1.1972066993400377</v>
      </c>
      <c r="U16" s="97">
        <f t="shared" si="8"/>
        <v>0.49951468107343033</v>
      </c>
      <c r="V16" s="97">
        <f t="shared" si="9"/>
        <v>1.1785704126455954</v>
      </c>
      <c r="W16" s="97"/>
      <c r="X16" s="97">
        <f t="shared" si="10"/>
        <v>0.37361699099711165</v>
      </c>
      <c r="Y16" s="97">
        <f t="shared" si="11"/>
        <v>7.6491819334315796</v>
      </c>
      <c r="Z16" s="97">
        <f t="shared" si="11"/>
        <v>28.680041963925412</v>
      </c>
      <c r="AA16" s="97">
        <f t="shared" si="11"/>
        <v>7.1922139589025758</v>
      </c>
      <c r="AB16" s="97">
        <f t="shared" si="11"/>
        <v>5.8876051459574983</v>
      </c>
      <c r="AC16" s="97">
        <f t="shared" si="11"/>
        <v>18.436980800129941</v>
      </c>
      <c r="AD16" s="97">
        <f t="shared" si="11"/>
        <v>20.021300073565936</v>
      </c>
      <c r="AE16" s="97">
        <f t="shared" si="11"/>
        <v>10.386840224009324</v>
      </c>
      <c r="AF16" s="97">
        <f t="shared" si="11"/>
        <v>1.3722189090806205</v>
      </c>
      <c r="AG16" s="97">
        <f t="shared" si="11"/>
        <v>100</v>
      </c>
    </row>
    <row r="17" spans="1:33" x14ac:dyDescent="0.2">
      <c r="A17" s="10" t="str">
        <f>name!D13</f>
        <v>34 Culture, media and sports occupations</v>
      </c>
      <c r="B17" s="69">
        <f>'Basic T2'!D17</f>
        <v>0.28356367440810276</v>
      </c>
      <c r="C17" s="69">
        <f>'Basic T2'!O17</f>
        <v>4.5764868373611334</v>
      </c>
      <c r="D17" s="69">
        <f>'Basic T2'!Z17</f>
        <v>8.1365515608266925</v>
      </c>
      <c r="E17" s="69">
        <f>'Basic T2'!AK17</f>
        <v>1.0262526860418524</v>
      </c>
      <c r="F17" s="69">
        <f>'Basic T2'!AV17</f>
        <v>1.1905920599143167</v>
      </c>
      <c r="G17" s="69">
        <f>'Basic T2'!BG17</f>
        <v>2.7536338791896813</v>
      </c>
      <c r="H17" s="69">
        <f>'Basic T2'!BR17</f>
        <v>1.3497316693188206</v>
      </c>
      <c r="I17" s="69">
        <f>'Basic T2'!CC17</f>
        <v>1.0493725850298301</v>
      </c>
      <c r="J17" s="69">
        <f>'Basic T2'!CN17</f>
        <v>0.35686619777448841</v>
      </c>
      <c r="K17" s="309">
        <f t="shared" si="12"/>
        <v>20.723051149864915</v>
      </c>
      <c r="L17" s="97"/>
      <c r="M17" s="97">
        <f t="shared" si="0"/>
        <v>1.825868239491713</v>
      </c>
      <c r="N17" s="97">
        <f t="shared" si="1"/>
        <v>4.0781084129824015</v>
      </c>
      <c r="O17" s="97">
        <f t="shared" si="2"/>
        <v>4.1130221713077599</v>
      </c>
      <c r="P17" s="97">
        <f t="shared" si="3"/>
        <v>1.9906513253082527</v>
      </c>
      <c r="Q17" s="97">
        <f t="shared" si="4"/>
        <v>2.2019249859733669</v>
      </c>
      <c r="R17" s="97">
        <f t="shared" si="5"/>
        <v>1.61645439043386</v>
      </c>
      <c r="S17" s="97">
        <f t="shared" si="6"/>
        <v>0.92015360198765128</v>
      </c>
      <c r="T17" s="97">
        <f t="shared" si="7"/>
        <v>1.1869284619350777</v>
      </c>
      <c r="U17" s="97">
        <f t="shared" si="8"/>
        <v>1.2747922480889093</v>
      </c>
      <c r="V17" s="97">
        <f t="shared" si="9"/>
        <v>2.3967259379469978</v>
      </c>
      <c r="W17" s="97"/>
      <c r="X17" s="97">
        <f t="shared" si="10"/>
        <v>1.3683490541881485</v>
      </c>
      <c r="Y17" s="97">
        <f t="shared" si="11"/>
        <v>22.08403967284984</v>
      </c>
      <c r="Z17" s="97">
        <f t="shared" si="11"/>
        <v>39.26328947404896</v>
      </c>
      <c r="AA17" s="97">
        <f t="shared" si="11"/>
        <v>4.9522277323942339</v>
      </c>
      <c r="AB17" s="97">
        <f t="shared" si="11"/>
        <v>5.7452546505058333</v>
      </c>
      <c r="AC17" s="97">
        <f t="shared" si="11"/>
        <v>13.287782089982588</v>
      </c>
      <c r="AD17" s="97">
        <f t="shared" si="11"/>
        <v>6.5131898751676767</v>
      </c>
      <c r="AE17" s="97">
        <f t="shared" si="11"/>
        <v>5.063793827660704</v>
      </c>
      <c r="AF17" s="97">
        <f t="shared" si="11"/>
        <v>1.7220736232020288</v>
      </c>
      <c r="AG17" s="97">
        <f t="shared" si="11"/>
        <v>100</v>
      </c>
    </row>
    <row r="18" spans="1:33" x14ac:dyDescent="0.2">
      <c r="A18" s="10" t="str">
        <f>name!D14</f>
        <v>35 Business and public service associate professionals</v>
      </c>
      <c r="B18" s="69">
        <f>'Basic T2'!D18</f>
        <v>0.96039370392537959</v>
      </c>
      <c r="C18" s="69">
        <f>'Basic T2'!O18</f>
        <v>9.0840069192327313</v>
      </c>
      <c r="D18" s="69">
        <f>'Basic T2'!Z18</f>
        <v>17.304573291052765</v>
      </c>
      <c r="E18" s="69">
        <f>'Basic T2'!AK18</f>
        <v>4.5049382408837779</v>
      </c>
      <c r="F18" s="69">
        <f>'Basic T2'!AV18</f>
        <v>4.1463964726669458</v>
      </c>
      <c r="G18" s="69">
        <f>'Basic T2'!BG18</f>
        <v>10.950714140614782</v>
      </c>
      <c r="H18" s="69">
        <f>'Basic T2'!BR18</f>
        <v>7.9072679113726085</v>
      </c>
      <c r="I18" s="69">
        <f>'Basic T2'!CC18</f>
        <v>4.2971240525523138</v>
      </c>
      <c r="J18" s="69">
        <f>'Basic T2'!CN18</f>
        <v>0.94165195136601121</v>
      </c>
      <c r="K18" s="309">
        <f t="shared" si="12"/>
        <v>60.097066683667308</v>
      </c>
      <c r="L18" s="97"/>
      <c r="M18" s="97">
        <f t="shared" si="0"/>
        <v>6.1839809526570688</v>
      </c>
      <c r="N18" s="97">
        <f t="shared" si="1"/>
        <v>8.09476053519567</v>
      </c>
      <c r="O18" s="97">
        <f t="shared" si="2"/>
        <v>8.7474519246933475</v>
      </c>
      <c r="P18" s="97">
        <f t="shared" si="3"/>
        <v>8.7383559640022224</v>
      </c>
      <c r="Q18" s="97">
        <f t="shared" si="4"/>
        <v>7.6684989782094179</v>
      </c>
      <c r="R18" s="97">
        <f t="shared" si="5"/>
        <v>6.4283527613307596</v>
      </c>
      <c r="S18" s="97">
        <f t="shared" si="6"/>
        <v>5.3906277935990508</v>
      </c>
      <c r="T18" s="97">
        <f t="shared" si="7"/>
        <v>4.8604079382302139</v>
      </c>
      <c r="U18" s="97">
        <f t="shared" si="8"/>
        <v>3.3637554228594984</v>
      </c>
      <c r="V18" s="97">
        <f t="shared" si="9"/>
        <v>6.9505304732220718</v>
      </c>
      <c r="W18" s="97"/>
      <c r="X18" s="97">
        <f t="shared" si="10"/>
        <v>1.5980708492489326</v>
      </c>
      <c r="Y18" s="97">
        <f t="shared" si="11"/>
        <v>15.115557914079538</v>
      </c>
      <c r="Z18" s="97">
        <f t="shared" si="11"/>
        <v>28.794372580842886</v>
      </c>
      <c r="AA18" s="97">
        <f t="shared" si="11"/>
        <v>7.4961033698972415</v>
      </c>
      <c r="AB18" s="97">
        <f t="shared" si="11"/>
        <v>6.8994989297769163</v>
      </c>
      <c r="AC18" s="97">
        <f t="shared" si="11"/>
        <v>18.22171154917762</v>
      </c>
      <c r="AD18" s="97">
        <f t="shared" si="11"/>
        <v>13.157493947240493</v>
      </c>
      <c r="AE18" s="97">
        <f t="shared" si="11"/>
        <v>7.1503058130458648</v>
      </c>
      <c r="AF18" s="97">
        <f t="shared" si="11"/>
        <v>1.5668850466905162</v>
      </c>
      <c r="AG18" s="97">
        <f t="shared" si="11"/>
        <v>100</v>
      </c>
    </row>
    <row r="19" spans="1:33" x14ac:dyDescent="0.2">
      <c r="A19" s="10" t="str">
        <f>name!D15</f>
        <v>41 Administrative occupations</v>
      </c>
      <c r="B19" s="69">
        <f>'Basic T2'!D19</f>
        <v>0.48807802580942095</v>
      </c>
      <c r="C19" s="69">
        <f>'Basic T2'!O19</f>
        <v>5.3416793014230972</v>
      </c>
      <c r="D19" s="69">
        <f>'Basic T2'!Z19</f>
        <v>15.141661837542566</v>
      </c>
      <c r="E19" s="69">
        <f>'Basic T2'!AK19</f>
        <v>5.7377225635600091</v>
      </c>
      <c r="F19" s="69">
        <f>'Basic T2'!AV19</f>
        <v>5.2749617967298237</v>
      </c>
      <c r="G19" s="69">
        <f>'Basic T2'!BG19</f>
        <v>14.711841849793457</v>
      </c>
      <c r="H19" s="69">
        <f>'Basic T2'!BR19</f>
        <v>14.499418401737573</v>
      </c>
      <c r="I19" s="69">
        <f>'Basic T2'!CC19</f>
        <v>7.1021216712239887</v>
      </c>
      <c r="J19" s="69">
        <f>'Basic T2'!CN19</f>
        <v>1.6433546866727677</v>
      </c>
      <c r="K19" s="309">
        <f t="shared" si="12"/>
        <v>69.940840134492703</v>
      </c>
      <c r="L19" s="97"/>
      <c r="M19" s="97">
        <f t="shared" si="0"/>
        <v>3.1427374030873869</v>
      </c>
      <c r="N19" s="97">
        <f t="shared" si="1"/>
        <v>4.7599715836063501</v>
      </c>
      <c r="O19" s="97">
        <f t="shared" si="2"/>
        <v>7.654101419094256</v>
      </c>
      <c r="P19" s="97">
        <f t="shared" si="3"/>
        <v>11.129622539118008</v>
      </c>
      <c r="Q19" s="97">
        <f t="shared" si="4"/>
        <v>9.755709425032002</v>
      </c>
      <c r="R19" s="97">
        <f t="shared" si="5"/>
        <v>8.6362321182892092</v>
      </c>
      <c r="S19" s="97">
        <f t="shared" si="6"/>
        <v>9.8846995831535285</v>
      </c>
      <c r="T19" s="97">
        <f t="shared" si="7"/>
        <v>8.0330956534966518</v>
      </c>
      <c r="U19" s="97">
        <f t="shared" si="8"/>
        <v>5.8703677414549045</v>
      </c>
      <c r="V19" s="97">
        <f t="shared" si="9"/>
        <v>8.0890127838745283</v>
      </c>
      <c r="W19" s="97"/>
      <c r="X19" s="97">
        <f t="shared" si="10"/>
        <v>0.69784409919994039</v>
      </c>
      <c r="Y19" s="97">
        <f t="shared" si="11"/>
        <v>7.637425131227074</v>
      </c>
      <c r="Z19" s="97">
        <f t="shared" si="11"/>
        <v>21.649242142968138</v>
      </c>
      <c r="AA19" s="97">
        <f t="shared" si="11"/>
        <v>8.2036797849820768</v>
      </c>
      <c r="AB19" s="97">
        <f t="shared" si="11"/>
        <v>7.542033791110228</v>
      </c>
      <c r="AC19" s="97">
        <f t="shared" si="11"/>
        <v>21.034694209425179</v>
      </c>
      <c r="AD19" s="97">
        <f t="shared" si="11"/>
        <v>20.730975455622101</v>
      </c>
      <c r="AE19" s="97">
        <f t="shared" si="11"/>
        <v>10.154470060077871</v>
      </c>
      <c r="AF19" s="97">
        <f t="shared" si="11"/>
        <v>2.3496353253873985</v>
      </c>
      <c r="AG19" s="97">
        <f t="shared" si="11"/>
        <v>100</v>
      </c>
    </row>
    <row r="20" spans="1:33" x14ac:dyDescent="0.2">
      <c r="A20" s="10" t="str">
        <f>name!D16</f>
        <v>42 Secretarial and related occupations</v>
      </c>
      <c r="B20" s="69">
        <f>'Basic T2'!D20</f>
        <v>4.6432218813153278E-2</v>
      </c>
      <c r="C20" s="69">
        <f>'Basic T2'!O20</f>
        <v>0.99994224353325756</v>
      </c>
      <c r="D20" s="69">
        <f>'Basic T2'!Z20</f>
        <v>3.0616577668112304</v>
      </c>
      <c r="E20" s="69">
        <f>'Basic T2'!AK20</f>
        <v>1.5245411689960731</v>
      </c>
      <c r="F20" s="69">
        <f>'Basic T2'!AV20</f>
        <v>1.1774009738196276</v>
      </c>
      <c r="G20" s="69">
        <f>'Basic T2'!BG20</f>
        <v>3.6872595566590971</v>
      </c>
      <c r="H20" s="69">
        <f>'Basic T2'!BR20</f>
        <v>4.006351455056385</v>
      </c>
      <c r="I20" s="69">
        <f>'Basic T2'!CC20</f>
        <v>3.1249205234370421</v>
      </c>
      <c r="J20" s="69">
        <f>'Basic T2'!CN20</f>
        <v>0.80998398089753298</v>
      </c>
      <c r="K20" s="309">
        <f t="shared" si="12"/>
        <v>18.438489888023398</v>
      </c>
      <c r="L20" s="97"/>
      <c r="M20" s="97">
        <f t="shared" si="0"/>
        <v>0.29897734185110286</v>
      </c>
      <c r="N20" s="97">
        <f t="shared" si="1"/>
        <v>0.89104875000598371</v>
      </c>
      <c r="O20" s="97">
        <f t="shared" si="2"/>
        <v>1.5476662541510093</v>
      </c>
      <c r="P20" s="97">
        <f t="shared" si="3"/>
        <v>2.9571955716423433</v>
      </c>
      <c r="Q20" s="97">
        <f t="shared" si="4"/>
        <v>2.1775289035182968</v>
      </c>
      <c r="R20" s="97">
        <f t="shared" si="5"/>
        <v>2.1645168386672937</v>
      </c>
      <c r="S20" s="97">
        <f t="shared" si="6"/>
        <v>2.731253037916102</v>
      </c>
      <c r="T20" s="97">
        <f t="shared" si="7"/>
        <v>3.5345473699858956</v>
      </c>
      <c r="U20" s="97">
        <f t="shared" si="8"/>
        <v>2.8934130112733976</v>
      </c>
      <c r="V20" s="97">
        <f t="shared" si="9"/>
        <v>2.1325048445622921</v>
      </c>
      <c r="W20" s="97"/>
      <c r="X20" s="97">
        <f t="shared" si="10"/>
        <v>0.25182224300978695</v>
      </c>
      <c r="Y20" s="97">
        <f t="shared" si="11"/>
        <v>5.4231243968778795</v>
      </c>
      <c r="Z20" s="97">
        <f t="shared" si="11"/>
        <v>16.604709959463168</v>
      </c>
      <c r="AA20" s="97">
        <f t="shared" si="11"/>
        <v>8.268253952761766</v>
      </c>
      <c r="AB20" s="97">
        <f t="shared" si="11"/>
        <v>6.385560753456283</v>
      </c>
      <c r="AC20" s="97">
        <f t="shared" si="11"/>
        <v>19.99762225134355</v>
      </c>
      <c r="AD20" s="97">
        <f t="shared" si="11"/>
        <v>21.728197262286024</v>
      </c>
      <c r="AE20" s="97">
        <f t="shared" si="11"/>
        <v>16.947811574671384</v>
      </c>
      <c r="AF20" s="97">
        <f t="shared" si="11"/>
        <v>4.3928976061301679</v>
      </c>
      <c r="AG20" s="97">
        <f t="shared" si="11"/>
        <v>100</v>
      </c>
    </row>
    <row r="21" spans="1:33" x14ac:dyDescent="0.2">
      <c r="A21" s="10" t="str">
        <f>name!D17</f>
        <v>51 Skilled agricultural and related trades</v>
      </c>
      <c r="B21" s="69">
        <f>'Basic T2'!D21</f>
        <v>2.7151023211192886E-2</v>
      </c>
      <c r="C21" s="69">
        <f>'Basic T2'!O21</f>
        <v>0.15417272912254762</v>
      </c>
      <c r="D21" s="69">
        <f>'Basic T2'!Z21</f>
        <v>1.2379870987143518</v>
      </c>
      <c r="E21" s="69">
        <f>'Basic T2'!AK21</f>
        <v>0.50168331414527356</v>
      </c>
      <c r="F21" s="69">
        <f>'Basic T2'!AV21</f>
        <v>0.72997406129829667</v>
      </c>
      <c r="G21" s="69">
        <f>'Basic T2'!BG21</f>
        <v>1.0380705085740152</v>
      </c>
      <c r="H21" s="69">
        <f>'Basic T2'!BR21</f>
        <v>1.4728070315093065</v>
      </c>
      <c r="I21" s="69">
        <f>'Basic T2'!CC21</f>
        <v>1.2397595416705287</v>
      </c>
      <c r="J21" s="69">
        <f>'Basic T2'!CN21</f>
        <v>0.62985177884930743</v>
      </c>
      <c r="K21" s="309">
        <f t="shared" si="12"/>
        <v>7.0314570870948199</v>
      </c>
      <c r="L21" s="97"/>
      <c r="M21" s="97">
        <f t="shared" si="0"/>
        <v>0.17482560505853995</v>
      </c>
      <c r="N21" s="97">
        <f t="shared" si="1"/>
        <v>0.13738335234667795</v>
      </c>
      <c r="O21" s="97">
        <f t="shared" si="2"/>
        <v>0.62580177200865084</v>
      </c>
      <c r="P21" s="97">
        <f t="shared" si="3"/>
        <v>0.97312929629457501</v>
      </c>
      <c r="Q21" s="97">
        <f t="shared" si="4"/>
        <v>1.3500410247997536</v>
      </c>
      <c r="R21" s="97">
        <f t="shared" si="5"/>
        <v>0.60937426861488353</v>
      </c>
      <c r="S21" s="97">
        <f t="shared" si="6"/>
        <v>1.0040578626713057</v>
      </c>
      <c r="T21" s="97">
        <f t="shared" si="7"/>
        <v>1.4022720880615609</v>
      </c>
      <c r="U21" s="97">
        <f t="shared" si="8"/>
        <v>2.249947375597328</v>
      </c>
      <c r="V21" s="97">
        <f t="shared" si="9"/>
        <v>0.8132236638479392</v>
      </c>
      <c r="W21" s="97"/>
      <c r="X21" s="97">
        <f t="shared" si="10"/>
        <v>0.38613651302835228</v>
      </c>
      <c r="Y21" s="97">
        <f t="shared" si="11"/>
        <v>2.1926142364647072</v>
      </c>
      <c r="Z21" s="97">
        <f t="shared" si="11"/>
        <v>17.606409075389092</v>
      </c>
      <c r="AA21" s="97">
        <f t="shared" si="11"/>
        <v>7.1348414408449949</v>
      </c>
      <c r="AB21" s="97">
        <f t="shared" si="11"/>
        <v>10.381547554888076</v>
      </c>
      <c r="AC21" s="97">
        <f t="shared" si="11"/>
        <v>14.763234642777487</v>
      </c>
      <c r="AD21" s="97">
        <f t="shared" si="11"/>
        <v>20.945971983707643</v>
      </c>
      <c r="AE21" s="97">
        <f t="shared" si="11"/>
        <v>17.631616410571866</v>
      </c>
      <c r="AF21" s="97">
        <f t="shared" si="11"/>
        <v>8.9576281423277884</v>
      </c>
      <c r="AG21" s="97">
        <f t="shared" si="11"/>
        <v>100</v>
      </c>
    </row>
    <row r="22" spans="1:33" x14ac:dyDescent="0.2">
      <c r="A22" s="10" t="str">
        <f>name!D18</f>
        <v>52 Skilled metal, electrical and electronic trades</v>
      </c>
      <c r="B22" s="69">
        <f>'Basic T2'!D22</f>
        <v>3.5582633612171705E-2</v>
      </c>
      <c r="C22" s="69">
        <f>'Basic T2'!O22</f>
        <v>0.70313211742098458</v>
      </c>
      <c r="D22" s="69">
        <f>'Basic T2'!Z22</f>
        <v>1.6342701873163277</v>
      </c>
      <c r="E22" s="69">
        <f>'Basic T2'!AK22</f>
        <v>0.59099364310501312</v>
      </c>
      <c r="F22" s="69">
        <f>'Basic T2'!AV22</f>
        <v>2.3528865145873517</v>
      </c>
      <c r="G22" s="69">
        <f>'Basic T2'!BG22</f>
        <v>10.366412529312278</v>
      </c>
      <c r="H22" s="69">
        <f>'Basic T2'!BR22</f>
        <v>5.7627862686242697</v>
      </c>
      <c r="I22" s="69">
        <f>'Basic T2'!CC22</f>
        <v>2.7666807956917547</v>
      </c>
      <c r="J22" s="69">
        <f>'Basic T2'!CN22</f>
        <v>0.91535112861950441</v>
      </c>
      <c r="K22" s="309">
        <f t="shared" si="12"/>
        <v>25.128095818289658</v>
      </c>
      <c r="L22" s="97"/>
      <c r="M22" s="97">
        <f t="shared" si="0"/>
        <v>0.2291167961677327</v>
      </c>
      <c r="N22" s="97">
        <f t="shared" si="1"/>
        <v>0.6265611822771151</v>
      </c>
      <c r="O22" s="97">
        <f t="shared" si="2"/>
        <v>0.82612264717909467</v>
      </c>
      <c r="P22" s="97">
        <f t="shared" si="3"/>
        <v>1.1463670642687784</v>
      </c>
      <c r="Q22" s="97">
        <f t="shared" si="4"/>
        <v>4.3515153343140316</v>
      </c>
      <c r="R22" s="97">
        <f t="shared" si="5"/>
        <v>6.0853525854303054</v>
      </c>
      <c r="S22" s="97">
        <f t="shared" si="6"/>
        <v>3.9286686851140762</v>
      </c>
      <c r="T22" s="97">
        <f t="shared" si="7"/>
        <v>3.1293481727487507</v>
      </c>
      <c r="U22" s="97">
        <f t="shared" si="8"/>
        <v>3.2698040058726918</v>
      </c>
      <c r="V22" s="97">
        <f t="shared" si="9"/>
        <v>2.9061916888288382</v>
      </c>
      <c r="W22" s="97"/>
      <c r="X22" s="97">
        <f t="shared" si="10"/>
        <v>0.14160497424668619</v>
      </c>
      <c r="Y22" s="97">
        <f t="shared" si="11"/>
        <v>2.7981910070129747</v>
      </c>
      <c r="Z22" s="97">
        <f t="shared" si="11"/>
        <v>6.5037565883795017</v>
      </c>
      <c r="AA22" s="97">
        <f t="shared" si="11"/>
        <v>2.3519237087390215</v>
      </c>
      <c r="AB22" s="97">
        <f t="shared" si="11"/>
        <v>9.3635686985672297</v>
      </c>
      <c r="AC22" s="97">
        <f t="shared" si="11"/>
        <v>41.254270137600372</v>
      </c>
      <c r="AD22" s="97">
        <f t="shared" si="11"/>
        <v>22.933636954813686</v>
      </c>
      <c r="AE22" s="97">
        <f t="shared" si="11"/>
        <v>11.01030820520036</v>
      </c>
      <c r="AF22" s="97">
        <f t="shared" si="11"/>
        <v>3.6427397254401575</v>
      </c>
      <c r="AG22" s="97">
        <f t="shared" si="11"/>
        <v>100</v>
      </c>
    </row>
    <row r="23" spans="1:33" x14ac:dyDescent="0.2">
      <c r="A23" s="10" t="str">
        <f>name!D19</f>
        <v>53 Skilled construction and building trades</v>
      </c>
      <c r="B23" s="69">
        <f>'Basic T2'!D23</f>
        <v>1.0926339312871151E-2</v>
      </c>
      <c r="C23" s="69">
        <f>'Basic T2'!O23</f>
        <v>0.30469100637814667</v>
      </c>
      <c r="D23" s="69">
        <f>'Basic T2'!Z23</f>
        <v>0.90051231941596643</v>
      </c>
      <c r="E23" s="69">
        <f>'Basic T2'!AK23</f>
        <v>0.61021705703253892</v>
      </c>
      <c r="F23" s="69">
        <f>'Basic T2'!AV23</f>
        <v>0.81844630764252857</v>
      </c>
      <c r="G23" s="69">
        <f>'Basic T2'!BG23</f>
        <v>7.0631042236525898</v>
      </c>
      <c r="H23" s="69">
        <f>'Basic T2'!BR23</f>
        <v>6.3819297657127487</v>
      </c>
      <c r="I23" s="69">
        <f>'Basic T2'!CC23</f>
        <v>3.0148355268588425</v>
      </c>
      <c r="J23" s="69">
        <f>'Basic T2'!CN23</f>
        <v>1.3145337226012896</v>
      </c>
      <c r="K23" s="309">
        <f t="shared" si="12"/>
        <v>20.419196268607521</v>
      </c>
      <c r="L23" s="97"/>
      <c r="M23" s="97">
        <f t="shared" si="0"/>
        <v>7.0354765880798836E-2</v>
      </c>
      <c r="N23" s="97">
        <f t="shared" si="1"/>
        <v>0.27151022184241086</v>
      </c>
      <c r="O23" s="97">
        <f t="shared" si="2"/>
        <v>0.45520846363533984</v>
      </c>
      <c r="P23" s="97">
        <f t="shared" si="3"/>
        <v>1.183655263298367</v>
      </c>
      <c r="Q23" s="97">
        <f t="shared" si="4"/>
        <v>1.513664869061385</v>
      </c>
      <c r="R23" s="97">
        <f t="shared" si="5"/>
        <v>4.1462250732384698</v>
      </c>
      <c r="S23" s="97">
        <f t="shared" si="6"/>
        <v>4.3507578543492578</v>
      </c>
      <c r="T23" s="97">
        <f t="shared" si="7"/>
        <v>3.4100320000070088</v>
      </c>
      <c r="U23" s="97">
        <f t="shared" si="8"/>
        <v>4.6957582698334699</v>
      </c>
      <c r="V23" s="97">
        <f t="shared" si="9"/>
        <v>2.3615835802886203</v>
      </c>
      <c r="W23" s="97"/>
      <c r="X23" s="97">
        <f t="shared" si="10"/>
        <v>5.3510134136226059E-2</v>
      </c>
      <c r="Y23" s="97">
        <f t="shared" si="11"/>
        <v>1.4921792335508266</v>
      </c>
      <c r="Z23" s="97">
        <f t="shared" si="11"/>
        <v>4.4101261752423344</v>
      </c>
      <c r="AA23" s="97">
        <f t="shared" si="11"/>
        <v>2.9884479731980775</v>
      </c>
      <c r="AB23" s="97">
        <f t="shared" si="11"/>
        <v>4.0082199949309869</v>
      </c>
      <c r="AC23" s="97">
        <f t="shared" si="11"/>
        <v>34.590510472302029</v>
      </c>
      <c r="AD23" s="97">
        <f t="shared" si="11"/>
        <v>31.254559100958978</v>
      </c>
      <c r="AE23" s="97">
        <f t="shared" si="11"/>
        <v>14.764712024899096</v>
      </c>
      <c r="AF23" s="97">
        <f t="shared" si="11"/>
        <v>6.4377348907814467</v>
      </c>
      <c r="AG23" s="97">
        <f t="shared" si="11"/>
        <v>100</v>
      </c>
    </row>
    <row r="24" spans="1:33" x14ac:dyDescent="0.2">
      <c r="A24" s="10" t="str">
        <f>name!D20</f>
        <v>54 Textiles, printing and other skilled trades</v>
      </c>
      <c r="B24" s="69">
        <f>'Basic T2'!D24</f>
        <v>6.5153381599793239E-2</v>
      </c>
      <c r="C24" s="69">
        <f>'Basic T2'!O24</f>
        <v>0.6594620863869437</v>
      </c>
      <c r="D24" s="69">
        <f>'Basic T2'!Z24</f>
        <v>1.6504740715637547</v>
      </c>
      <c r="E24" s="69">
        <f>'Basic T2'!AK24</f>
        <v>0.58980296558209322</v>
      </c>
      <c r="F24" s="69">
        <f>'Basic T2'!AV24</f>
        <v>0.72745186826944952</v>
      </c>
      <c r="G24" s="69">
        <f>'Basic T2'!BG24</f>
        <v>4.2933715836045323</v>
      </c>
      <c r="H24" s="69">
        <f>'Basic T2'!BR24</f>
        <v>3.6897035646939327</v>
      </c>
      <c r="I24" s="69">
        <f>'Basic T2'!CC24</f>
        <v>3.1099516544652617</v>
      </c>
      <c r="J24" s="69">
        <f>'Basic T2'!CN24</f>
        <v>1.1594440119070986</v>
      </c>
      <c r="K24" s="309">
        <f t="shared" si="12"/>
        <v>15.944815188072859</v>
      </c>
      <c r="L24" s="97"/>
      <c r="M24" s="97">
        <f t="shared" si="0"/>
        <v>0.41952302390939444</v>
      </c>
      <c r="N24" s="97">
        <f t="shared" si="1"/>
        <v>0.58764680815475567</v>
      </c>
      <c r="O24" s="97">
        <f t="shared" si="2"/>
        <v>0.83431370142028483</v>
      </c>
      <c r="P24" s="97">
        <f t="shared" si="3"/>
        <v>1.1440574734426079</v>
      </c>
      <c r="Q24" s="97">
        <f t="shared" si="4"/>
        <v>1.3453763877366893</v>
      </c>
      <c r="R24" s="97">
        <f t="shared" si="5"/>
        <v>2.5203202933150224</v>
      </c>
      <c r="S24" s="97">
        <f t="shared" si="6"/>
        <v>2.5153844297313013</v>
      </c>
      <c r="T24" s="97">
        <f t="shared" si="7"/>
        <v>3.5176163229211603</v>
      </c>
      <c r="U24" s="97">
        <f t="shared" si="8"/>
        <v>4.1417490580217038</v>
      </c>
      <c r="V24" s="97">
        <f t="shared" si="9"/>
        <v>1.84409872178859</v>
      </c>
      <c r="W24" s="97"/>
      <c r="X24" s="97">
        <f t="shared" si="10"/>
        <v>0.40861797914427805</v>
      </c>
      <c r="Y24" s="97">
        <f t="shared" ref="Y24:AG32" si="13">IF($K24&gt;0,C24/$K24*100,0)</f>
        <v>4.1359029791718047</v>
      </c>
      <c r="Z24" s="97">
        <f t="shared" si="13"/>
        <v>10.351164639389191</v>
      </c>
      <c r="AA24" s="97">
        <f t="shared" si="13"/>
        <v>3.6990266655663802</v>
      </c>
      <c r="AB24" s="97">
        <f t="shared" si="13"/>
        <v>4.5623098147515853</v>
      </c>
      <c r="AC24" s="97">
        <f t="shared" si="13"/>
        <v>26.92644306605753</v>
      </c>
      <c r="AD24" s="97">
        <f t="shared" si="13"/>
        <v>23.140459899804473</v>
      </c>
      <c r="AE24" s="97">
        <f t="shared" si="13"/>
        <v>19.504469746325988</v>
      </c>
      <c r="AF24" s="97">
        <f t="shared" si="13"/>
        <v>7.2716052097887802</v>
      </c>
      <c r="AG24" s="97">
        <f t="shared" si="13"/>
        <v>100</v>
      </c>
    </row>
    <row r="25" spans="1:33" x14ac:dyDescent="0.2">
      <c r="A25" s="10" t="str">
        <f>name!D21</f>
        <v>61 Caring personal service occupations</v>
      </c>
      <c r="B25" s="69">
        <f>'Basic T2'!D25</f>
        <v>5.9588306448196099E-2</v>
      </c>
      <c r="C25" s="69">
        <f>'Basic T2'!O25</f>
        <v>2.999527748141082</v>
      </c>
      <c r="D25" s="69">
        <f>'Basic T2'!Z25</f>
        <v>7.9524043144736289</v>
      </c>
      <c r="E25" s="69">
        <f>'Basic T2'!AK25</f>
        <v>6.2706830281747008</v>
      </c>
      <c r="F25" s="69">
        <f>'Basic T2'!AV25</f>
        <v>3.6890345536817968</v>
      </c>
      <c r="G25" s="69">
        <f>'Basic T2'!BG25</f>
        <v>20.351210876576516</v>
      </c>
      <c r="H25" s="69">
        <f>'Basic T2'!BR25</f>
        <v>12.748078186688179</v>
      </c>
      <c r="I25" s="69">
        <f>'Basic T2'!CC25</f>
        <v>2.407136337654638</v>
      </c>
      <c r="J25" s="69">
        <f>'Basic T2'!CN25</f>
        <v>0.51367741705676273</v>
      </c>
      <c r="K25" s="309">
        <f t="shared" si="12"/>
        <v>56.99134076889549</v>
      </c>
      <c r="L25" s="97"/>
      <c r="M25" s="97">
        <f t="shared" si="0"/>
        <v>0.38368947086034638</v>
      </c>
      <c r="N25" s="97">
        <f t="shared" si="1"/>
        <v>2.6728798266841904</v>
      </c>
      <c r="O25" s="97">
        <f t="shared" si="2"/>
        <v>4.0199358433501127</v>
      </c>
      <c r="P25" s="97">
        <f t="shared" si="3"/>
        <v>12.163421007713559</v>
      </c>
      <c r="Q25" s="97">
        <f t="shared" si="4"/>
        <v>6.8226369311211803</v>
      </c>
      <c r="R25" s="97">
        <f t="shared" si="5"/>
        <v>11.946687764376309</v>
      </c>
      <c r="S25" s="97">
        <f t="shared" si="6"/>
        <v>8.6907570804953398</v>
      </c>
      <c r="T25" s="97">
        <f t="shared" si="7"/>
        <v>2.7226732160524647</v>
      </c>
      <c r="U25" s="97">
        <f t="shared" si="8"/>
        <v>1.8349510078735378</v>
      </c>
      <c r="V25" s="97">
        <f t="shared" si="9"/>
        <v>6.5913375241598251</v>
      </c>
      <c r="W25" s="97"/>
      <c r="X25" s="97">
        <f t="shared" si="10"/>
        <v>0.10455677238728515</v>
      </c>
      <c r="Y25" s="97">
        <f t="shared" si="13"/>
        <v>5.2631289379634181</v>
      </c>
      <c r="Z25" s="97">
        <f t="shared" si="13"/>
        <v>13.953706312545396</v>
      </c>
      <c r="AA25" s="97">
        <f t="shared" si="13"/>
        <v>11.002869810701295</v>
      </c>
      <c r="AB25" s="97">
        <f t="shared" si="13"/>
        <v>6.4729737955124298</v>
      </c>
      <c r="AC25" s="97">
        <f t="shared" si="13"/>
        <v>35.709303557363789</v>
      </c>
      <c r="AD25" s="97">
        <f t="shared" si="13"/>
        <v>22.368447582910306</v>
      </c>
      <c r="AE25" s="97">
        <f t="shared" si="13"/>
        <v>4.2236878535912519</v>
      </c>
      <c r="AF25" s="97">
        <f t="shared" si="13"/>
        <v>0.90132537702484716</v>
      </c>
      <c r="AG25" s="97">
        <f t="shared" si="13"/>
        <v>100</v>
      </c>
    </row>
    <row r="26" spans="1:33" x14ac:dyDescent="0.2">
      <c r="A26" s="10" t="str">
        <f>name!D22</f>
        <v>62 Leisure, travel and related personal service occupations</v>
      </c>
      <c r="B26" s="69">
        <f>'Basic T2'!D26</f>
        <v>4.038103266861176E-2</v>
      </c>
      <c r="C26" s="69">
        <f>'Basic T2'!O26</f>
        <v>0.5754392294059455</v>
      </c>
      <c r="D26" s="69">
        <f>'Basic T2'!Z26</f>
        <v>2.4832490651077292</v>
      </c>
      <c r="E26" s="69">
        <f>'Basic T2'!AK26</f>
        <v>1.5233686160290272</v>
      </c>
      <c r="F26" s="69">
        <f>'Basic T2'!AV26</f>
        <v>2.0455246036435639</v>
      </c>
      <c r="G26" s="69">
        <f>'Basic T2'!BG26</f>
        <v>5.5866881032814675</v>
      </c>
      <c r="H26" s="69">
        <f>'Basic T2'!BR26</f>
        <v>4.8939233567497027</v>
      </c>
      <c r="I26" s="69">
        <f>'Basic T2'!CC26</f>
        <v>2.9564111977433951</v>
      </c>
      <c r="J26" s="69">
        <f>'Basic T2'!CN26</f>
        <v>0.89143123574866379</v>
      </c>
      <c r="K26" s="309">
        <f t="shared" si="12"/>
        <v>20.996416440378106</v>
      </c>
      <c r="L26" s="97"/>
      <c r="M26" s="97">
        <f t="shared" si="0"/>
        <v>0.26001371713565535</v>
      </c>
      <c r="N26" s="97">
        <f t="shared" si="1"/>
        <v>0.51277402208232703</v>
      </c>
      <c r="O26" s="97">
        <f t="shared" si="2"/>
        <v>1.2552809854780329</v>
      </c>
      <c r="P26" s="97">
        <f t="shared" si="3"/>
        <v>2.9549211375291944</v>
      </c>
      <c r="Q26" s="97">
        <f t="shared" si="4"/>
        <v>3.7830688493842115</v>
      </c>
      <c r="R26" s="97">
        <f t="shared" si="5"/>
        <v>3.2795305798574095</v>
      </c>
      <c r="S26" s="97">
        <f t="shared" si="6"/>
        <v>3.3363381084755761</v>
      </c>
      <c r="T26" s="97">
        <f t="shared" si="7"/>
        <v>3.3439491805338699</v>
      </c>
      <c r="U26" s="97">
        <f t="shared" si="8"/>
        <v>3.1843577120039352</v>
      </c>
      <c r="V26" s="97">
        <f t="shared" si="9"/>
        <v>2.4283420198438788</v>
      </c>
      <c r="W26" s="97"/>
      <c r="X26" s="97">
        <f t="shared" si="10"/>
        <v>0.19232345092448822</v>
      </c>
      <c r="Y26" s="97">
        <f t="shared" si="13"/>
        <v>2.7406544875882779</v>
      </c>
      <c r="Z26" s="97">
        <f t="shared" si="13"/>
        <v>11.827013777132963</v>
      </c>
      <c r="AA26" s="97">
        <f t="shared" si="13"/>
        <v>7.2553743652152214</v>
      </c>
      <c r="AB26" s="97">
        <f t="shared" si="13"/>
        <v>9.7422558247121902</v>
      </c>
      <c r="AC26" s="97">
        <f t="shared" si="13"/>
        <v>26.607817191783905</v>
      </c>
      <c r="AD26" s="97">
        <f t="shared" si="13"/>
        <v>23.308374410683825</v>
      </c>
      <c r="AE26" s="97">
        <f t="shared" si="13"/>
        <v>14.080551346171315</v>
      </c>
      <c r="AF26" s="97">
        <f t="shared" si="13"/>
        <v>4.2456351457878156</v>
      </c>
      <c r="AG26" s="97">
        <f t="shared" si="13"/>
        <v>100</v>
      </c>
    </row>
    <row r="27" spans="1:33" x14ac:dyDescent="0.2">
      <c r="A27" s="10" t="str">
        <f>name!D23</f>
        <v>63 Community and civil enforcement occupations</v>
      </c>
      <c r="B27" s="69">
        <f>'Basic T2'!D27</f>
        <v>2.2002080633734353E-3</v>
      </c>
      <c r="C27" s="69">
        <f>'Basic T2'!O27</f>
        <v>4.9855972069987077E-2</v>
      </c>
      <c r="D27" s="69">
        <f>'Basic T2'!Z27</f>
        <v>0.18392313436230034</v>
      </c>
      <c r="E27" s="69">
        <f>'Basic T2'!AK27</f>
        <v>5.5111451950136101E-2</v>
      </c>
      <c r="F27" s="69">
        <f>'Basic T2'!AV27</f>
        <v>4.9060860904968119E-2</v>
      </c>
      <c r="G27" s="69">
        <f>'Basic T2'!BG27</f>
        <v>0.16256978914140446</v>
      </c>
      <c r="H27" s="69">
        <f>'Basic T2'!BR27</f>
        <v>0.21777456976133255</v>
      </c>
      <c r="I27" s="69">
        <f>'Basic T2'!CC27</f>
        <v>0.17155465384494037</v>
      </c>
      <c r="J27" s="69">
        <f>'Basic T2'!CN27</f>
        <v>4.8422007359802718E-2</v>
      </c>
      <c r="K27" s="309">
        <f t="shared" si="12"/>
        <v>0.94047264745824533</v>
      </c>
      <c r="L27" s="97"/>
      <c r="M27" s="97">
        <f t="shared" si="0"/>
        <v>1.4167153220780566E-2</v>
      </c>
      <c r="N27" s="97">
        <f t="shared" si="1"/>
        <v>4.4426667520640353E-2</v>
      </c>
      <c r="O27" s="97">
        <f t="shared" si="2"/>
        <v>9.2973039474194316E-2</v>
      </c>
      <c r="P27" s="97">
        <f t="shared" si="3"/>
        <v>0.10690124016857039</v>
      </c>
      <c r="Q27" s="97">
        <f t="shared" si="4"/>
        <v>9.0734970521966787E-2</v>
      </c>
      <c r="R27" s="97">
        <f t="shared" si="5"/>
        <v>9.5432675852630405E-2</v>
      </c>
      <c r="S27" s="97">
        <f t="shared" si="6"/>
        <v>0.14846362380185651</v>
      </c>
      <c r="T27" s="97">
        <f t="shared" si="7"/>
        <v>0.19404271116935215</v>
      </c>
      <c r="U27" s="97">
        <f t="shared" si="8"/>
        <v>0.17297239134480286</v>
      </c>
      <c r="V27" s="97">
        <f t="shared" si="9"/>
        <v>0.10877043017420494</v>
      </c>
      <c r="W27" s="97"/>
      <c r="X27" s="97">
        <f t="shared" si="10"/>
        <v>0.23394705516633532</v>
      </c>
      <c r="Y27" s="97">
        <f t="shared" si="13"/>
        <v>5.3011613048746913</v>
      </c>
      <c r="Z27" s="97">
        <f t="shared" si="13"/>
        <v>19.55645758112982</v>
      </c>
      <c r="AA27" s="97">
        <f t="shared" si="13"/>
        <v>5.8599739289688282</v>
      </c>
      <c r="AB27" s="97">
        <f t="shared" si="13"/>
        <v>5.2166175207287253</v>
      </c>
      <c r="AC27" s="97">
        <f t="shared" si="13"/>
        <v>17.285966750949253</v>
      </c>
      <c r="AD27" s="97">
        <f t="shared" si="13"/>
        <v>23.155864272065521</v>
      </c>
      <c r="AE27" s="97">
        <f t="shared" si="13"/>
        <v>18.24132305267889</v>
      </c>
      <c r="AF27" s="97">
        <f t="shared" si="13"/>
        <v>5.1486885334379204</v>
      </c>
      <c r="AG27" s="97">
        <f t="shared" si="13"/>
        <v>100</v>
      </c>
    </row>
    <row r="28" spans="1:33" x14ac:dyDescent="0.2">
      <c r="A28" s="10" t="str">
        <f>name!D24</f>
        <v>71 Sales occupations</v>
      </c>
      <c r="B28" s="69">
        <f>'Basic T2'!D28</f>
        <v>0.15345620577016131</v>
      </c>
      <c r="C28" s="69">
        <f>'Basic T2'!O28</f>
        <v>2.2810445165757165</v>
      </c>
      <c r="D28" s="69">
        <f>'Basic T2'!Z28</f>
        <v>7.9058957803056211</v>
      </c>
      <c r="E28" s="69">
        <f>'Basic T2'!AK28</f>
        <v>2.4006115624125259</v>
      </c>
      <c r="F28" s="69">
        <f>'Basic T2'!AV28</f>
        <v>1.9833382227907921</v>
      </c>
      <c r="G28" s="69">
        <f>'Basic T2'!BG28</f>
        <v>14.768102626129282</v>
      </c>
      <c r="H28" s="69">
        <f>'Basic T2'!BR28</f>
        <v>12.233122188849805</v>
      </c>
      <c r="I28" s="69">
        <f>'Basic T2'!CC28</f>
        <v>7.857573325056463</v>
      </c>
      <c r="J28" s="69">
        <f>'Basic T2'!CN28</f>
        <v>2.8056083282411088</v>
      </c>
      <c r="K28" s="309">
        <f t="shared" si="12"/>
        <v>52.388752756131474</v>
      </c>
      <c r="L28" s="97"/>
      <c r="M28" s="97">
        <f t="shared" si="0"/>
        <v>0.98810545057824961</v>
      </c>
      <c r="N28" s="97">
        <f t="shared" si="1"/>
        <v>2.0326392632648038</v>
      </c>
      <c r="O28" s="97">
        <f t="shared" si="2"/>
        <v>3.9964258058658046</v>
      </c>
      <c r="P28" s="97">
        <f t="shared" si="3"/>
        <v>4.6565340615068775</v>
      </c>
      <c r="Q28" s="97">
        <f t="shared" si="4"/>
        <v>3.668059056863985</v>
      </c>
      <c r="R28" s="97">
        <f t="shared" si="5"/>
        <v>8.6692586508302831</v>
      </c>
      <c r="S28" s="97">
        <f t="shared" si="6"/>
        <v>8.3396957347129881</v>
      </c>
      <c r="T28" s="97">
        <f t="shared" si="7"/>
        <v>8.8875748750251997</v>
      </c>
      <c r="U28" s="97">
        <f t="shared" si="8"/>
        <v>10.022153317741687</v>
      </c>
      <c r="V28" s="97">
        <f t="shared" si="9"/>
        <v>6.0590248838975169</v>
      </c>
      <c r="W28" s="97"/>
      <c r="X28" s="97">
        <f t="shared" si="10"/>
        <v>0.2929182270944618</v>
      </c>
      <c r="Y28" s="97">
        <f t="shared" si="13"/>
        <v>4.3540729575944095</v>
      </c>
      <c r="Z28" s="97">
        <f t="shared" si="13"/>
        <v>15.090826493059298</v>
      </c>
      <c r="AA28" s="97">
        <f t="shared" si="13"/>
        <v>4.5823033306162522</v>
      </c>
      <c r="AB28" s="97">
        <f t="shared" si="13"/>
        <v>3.7858092022598613</v>
      </c>
      <c r="AC28" s="97">
        <f t="shared" si="13"/>
        <v>28.189452600397807</v>
      </c>
      <c r="AD28" s="97">
        <f t="shared" si="13"/>
        <v>23.35066506697483</v>
      </c>
      <c r="AE28" s="97">
        <f t="shared" si="13"/>
        <v>14.998588268808955</v>
      </c>
      <c r="AF28" s="97">
        <f t="shared" si="13"/>
        <v>5.3553638531941301</v>
      </c>
      <c r="AG28" s="97">
        <f t="shared" si="13"/>
        <v>100</v>
      </c>
    </row>
    <row r="29" spans="1:33" x14ac:dyDescent="0.2">
      <c r="A29" s="10" t="str">
        <f>name!D25</f>
        <v>72 Customer service occupations</v>
      </c>
      <c r="B29" s="69">
        <f>'Basic T2'!D29</f>
        <v>6.0814384444454909E-2</v>
      </c>
      <c r="C29" s="69">
        <f>'Basic T2'!O29</f>
        <v>0.72677774398118333</v>
      </c>
      <c r="D29" s="69">
        <f>'Basic T2'!Z29</f>
        <v>2.5225066510332312</v>
      </c>
      <c r="E29" s="69">
        <f>'Basic T2'!AK29</f>
        <v>0.86708676994498235</v>
      </c>
      <c r="F29" s="69">
        <f>'Basic T2'!AV29</f>
        <v>0.93518390347799407</v>
      </c>
      <c r="G29" s="69">
        <f>'Basic T2'!BG29</f>
        <v>3.3423314800888311</v>
      </c>
      <c r="H29" s="69">
        <f>'Basic T2'!BR29</f>
        <v>3.2812267602141043</v>
      </c>
      <c r="I29" s="69">
        <f>'Basic T2'!CC29</f>
        <v>1.4712261426311697</v>
      </c>
      <c r="J29" s="69">
        <f>'Basic T2'!CN29</f>
        <v>0.55873870156015115</v>
      </c>
      <c r="K29" s="309">
        <f t="shared" si="12"/>
        <v>13.765892537376102</v>
      </c>
      <c r="L29" s="97"/>
      <c r="M29" s="97">
        <f t="shared" si="0"/>
        <v>0.39158419460160648</v>
      </c>
      <c r="N29" s="97">
        <f t="shared" si="1"/>
        <v>0.64763180523142239</v>
      </c>
      <c r="O29" s="97">
        <f t="shared" si="2"/>
        <v>1.2751256727631219</v>
      </c>
      <c r="P29" s="97">
        <f t="shared" si="3"/>
        <v>1.6819127016422144</v>
      </c>
      <c r="Q29" s="97">
        <f t="shared" si="4"/>
        <v>1.7295636959787013</v>
      </c>
      <c r="R29" s="97">
        <f t="shared" si="5"/>
        <v>1.9620351260585034</v>
      </c>
      <c r="S29" s="97">
        <f t="shared" si="6"/>
        <v>2.2369132257769566</v>
      </c>
      <c r="T29" s="97">
        <f t="shared" si="7"/>
        <v>1.6640802395102139</v>
      </c>
      <c r="U29" s="97">
        <f t="shared" si="8"/>
        <v>1.9959182738462835</v>
      </c>
      <c r="V29" s="97">
        <f t="shared" si="9"/>
        <v>1.5920952694041572</v>
      </c>
      <c r="W29" s="97"/>
      <c r="X29" s="97">
        <f>IF($K29&gt;0,B29/$K29*100,0)</f>
        <v>0.44177581859902171</v>
      </c>
      <c r="Y29" s="97">
        <f t="shared" si="13"/>
        <v>5.2795541008902385</v>
      </c>
      <c r="Z29" s="97">
        <f t="shared" si="13"/>
        <v>18.32432328077757</v>
      </c>
      <c r="AA29" s="97">
        <f t="shared" si="13"/>
        <v>6.2988053087784506</v>
      </c>
      <c r="AB29" s="97">
        <f t="shared" si="13"/>
        <v>6.7934854273985792</v>
      </c>
      <c r="AC29" s="97">
        <f t="shared" si="13"/>
        <v>24.279802206896413</v>
      </c>
      <c r="AD29" s="97">
        <f t="shared" si="13"/>
        <v>23.835917295628796</v>
      </c>
      <c r="AE29" s="97">
        <f t="shared" si="13"/>
        <v>10.687473686407246</v>
      </c>
      <c r="AF29" s="97">
        <f t="shared" si="13"/>
        <v>4.0588628746236868</v>
      </c>
      <c r="AG29" s="97">
        <f t="shared" si="13"/>
        <v>100</v>
      </c>
    </row>
    <row r="30" spans="1:33" x14ac:dyDescent="0.2">
      <c r="A30" s="10" t="str">
        <f>name!D26</f>
        <v>81 Process, plant and machine operatives</v>
      </c>
      <c r="B30" s="69">
        <f>'Basic T2'!D30</f>
        <v>3.469912506872741E-2</v>
      </c>
      <c r="C30" s="69">
        <f>'Basic T2'!O30</f>
        <v>0.20691050615883391</v>
      </c>
      <c r="D30" s="69">
        <f>'Basic T2'!Z30</f>
        <v>0.49670646935126583</v>
      </c>
      <c r="E30" s="69">
        <f>'Basic T2'!AK30</f>
        <v>0.24248516497749548</v>
      </c>
      <c r="F30" s="69">
        <f>'Basic T2'!AV30</f>
        <v>0.52391734874115647</v>
      </c>
      <c r="G30" s="69">
        <f>'Basic T2'!BG30</f>
        <v>2.8388952176527149</v>
      </c>
      <c r="H30" s="69">
        <f>'Basic T2'!BR30</f>
        <v>3.3183314899823269</v>
      </c>
      <c r="I30" s="69">
        <f>'Basic T2'!CC30</f>
        <v>2.4259543189187633</v>
      </c>
      <c r="J30" s="69">
        <f>'Basic T2'!CN30</f>
        <v>0.85173139370140061</v>
      </c>
      <c r="K30" s="309">
        <f t="shared" si="12"/>
        <v>10.939631034552685</v>
      </c>
      <c r="L30" s="97"/>
      <c r="M30" s="97">
        <f t="shared" si="0"/>
        <v>0.22342787923518911</v>
      </c>
      <c r="N30" s="97">
        <f t="shared" si="1"/>
        <v>0.18437799689758019</v>
      </c>
      <c r="O30" s="97">
        <f t="shared" si="2"/>
        <v>0.25108483683795213</v>
      </c>
      <c r="P30" s="97">
        <f t="shared" si="3"/>
        <v>0.47035532437121064</v>
      </c>
      <c r="Q30" s="97">
        <f t="shared" si="4"/>
        <v>0.96895212022587962</v>
      </c>
      <c r="R30" s="97">
        <f t="shared" si="5"/>
        <v>1.6665050038921005</v>
      </c>
      <c r="S30" s="97">
        <f t="shared" si="6"/>
        <v>2.26220866154623</v>
      </c>
      <c r="T30" s="97">
        <f t="shared" si="7"/>
        <v>2.7439579321553884</v>
      </c>
      <c r="U30" s="97">
        <f t="shared" si="8"/>
        <v>3.0425425128962114</v>
      </c>
      <c r="V30" s="97">
        <f t="shared" si="9"/>
        <v>1.2652237965572595</v>
      </c>
      <c r="W30" s="97"/>
      <c r="X30" s="97">
        <f t="shared" si="10"/>
        <v>0.31718734351396927</v>
      </c>
      <c r="Y30" s="97">
        <f t="shared" si="13"/>
        <v>1.8913846866069772</v>
      </c>
      <c r="Z30" s="97">
        <f t="shared" si="13"/>
        <v>4.5404316451114743</v>
      </c>
      <c r="AA30" s="97">
        <f t="shared" si="13"/>
        <v>2.2165753507737982</v>
      </c>
      <c r="AB30" s="97">
        <f t="shared" si="13"/>
        <v>4.7891683648778489</v>
      </c>
      <c r="AC30" s="97">
        <f t="shared" si="13"/>
        <v>25.950557278267439</v>
      </c>
      <c r="AD30" s="97">
        <f t="shared" si="13"/>
        <v>30.333120737814824</v>
      </c>
      <c r="AE30" s="97">
        <f t="shared" si="13"/>
        <v>22.175833090315546</v>
      </c>
      <c r="AF30" s="97">
        <f t="shared" si="13"/>
        <v>7.7857415027181256</v>
      </c>
      <c r="AG30" s="97">
        <f t="shared" si="13"/>
        <v>100</v>
      </c>
    </row>
    <row r="31" spans="1:33" x14ac:dyDescent="0.2">
      <c r="A31" s="10" t="str">
        <f>name!D27</f>
        <v>82 Transport and mobile machine drivers and operatives</v>
      </c>
      <c r="B31" s="69">
        <f>'Basic T2'!D31</f>
        <v>6.9733200551285249E-2</v>
      </c>
      <c r="C31" s="69">
        <f>'Basic T2'!O31</f>
        <v>0.61167539261485904</v>
      </c>
      <c r="D31" s="69">
        <f>'Basic T2'!Z31</f>
        <v>1.4449960045720462</v>
      </c>
      <c r="E31" s="69">
        <f>'Basic T2'!AK31</f>
        <v>0.64035559659464836</v>
      </c>
      <c r="F31" s="69">
        <f>'Basic T2'!AV31</f>
        <v>1.1112599341182383</v>
      </c>
      <c r="G31" s="69">
        <f>'Basic T2'!BG31</f>
        <v>5.0143649729302604</v>
      </c>
      <c r="H31" s="69">
        <f>'Basic T2'!BR31</f>
        <v>6.4363151284276849</v>
      </c>
      <c r="I31" s="69">
        <f>'Basic T2'!CC31</f>
        <v>5.0261098919715721</v>
      </c>
      <c r="J31" s="69">
        <f>'Basic T2'!CN31</f>
        <v>2.3488940082025906</v>
      </c>
      <c r="K31" s="309">
        <f t="shared" si="12"/>
        <v>22.703704129983187</v>
      </c>
      <c r="L31" s="97"/>
      <c r="M31" s="97">
        <f t="shared" si="0"/>
        <v>0.44901250624032502</v>
      </c>
      <c r="N31" s="97">
        <f t="shared" si="1"/>
        <v>0.54506407497400811</v>
      </c>
      <c r="O31" s="97">
        <f t="shared" si="2"/>
        <v>0.73044465580109996</v>
      </c>
      <c r="P31" s="97">
        <f t="shared" si="3"/>
        <v>1.2421158398582823</v>
      </c>
      <c r="Q31" s="97">
        <f t="shared" si="4"/>
        <v>2.0552052186726022</v>
      </c>
      <c r="R31" s="97">
        <f t="shared" si="5"/>
        <v>2.9435620824494309</v>
      </c>
      <c r="S31" s="97">
        <f t="shared" si="6"/>
        <v>4.3878340292180065</v>
      </c>
      <c r="T31" s="97">
        <f t="shared" si="7"/>
        <v>5.6849521025222094</v>
      </c>
      <c r="U31" s="97">
        <f t="shared" si="8"/>
        <v>8.3906850576286462</v>
      </c>
      <c r="V31" s="97">
        <f t="shared" si="9"/>
        <v>2.6257984976386926</v>
      </c>
      <c r="W31" s="97"/>
      <c r="X31" s="97">
        <f t="shared" si="10"/>
        <v>0.30714459698756164</v>
      </c>
      <c r="Y31" s="97">
        <f t="shared" si="13"/>
        <v>2.6941656265114129</v>
      </c>
      <c r="Z31" s="97">
        <f t="shared" si="13"/>
        <v>6.3645826086314337</v>
      </c>
      <c r="AA31" s="97">
        <f t="shared" si="13"/>
        <v>2.8204895242136976</v>
      </c>
      <c r="AB31" s="97">
        <f t="shared" si="13"/>
        <v>4.8946195200397957</v>
      </c>
      <c r="AC31" s="97">
        <f t="shared" si="13"/>
        <v>22.086109580278315</v>
      </c>
      <c r="AD31" s="97">
        <f t="shared" si="13"/>
        <v>28.349185188366228</v>
      </c>
      <c r="AE31" s="97">
        <f t="shared" si="13"/>
        <v>22.137840870353582</v>
      </c>
      <c r="AF31" s="97">
        <f t="shared" si="13"/>
        <v>10.345862484617967</v>
      </c>
      <c r="AG31" s="97">
        <f t="shared" si="13"/>
        <v>100</v>
      </c>
    </row>
    <row r="32" spans="1:33" x14ac:dyDescent="0.2">
      <c r="A32" s="10" t="str">
        <f>name!D28</f>
        <v>91 Elementary trades and related occupations</v>
      </c>
      <c r="B32" s="69">
        <f>'Basic T2'!D32</f>
        <v>6.9350926456514933E-4</v>
      </c>
      <c r="C32" s="69">
        <f>'Basic T2'!O32</f>
        <v>0.12279038930677916</v>
      </c>
      <c r="D32" s="69">
        <f>'Basic T2'!Z32</f>
        <v>0.42196263957337476</v>
      </c>
      <c r="E32" s="69">
        <f>'Basic T2'!AK32</f>
        <v>0.30878825723105946</v>
      </c>
      <c r="F32" s="69">
        <f>'Basic T2'!AV32</f>
        <v>0.372857159422462</v>
      </c>
      <c r="G32" s="69">
        <f>'Basic T2'!BG32</f>
        <v>1.5856547970581338</v>
      </c>
      <c r="H32" s="69">
        <f>'Basic T2'!BR32</f>
        <v>2.3067964892513566</v>
      </c>
      <c r="I32" s="69">
        <f>'Basic T2'!CC32</f>
        <v>2.4623743763723929</v>
      </c>
      <c r="J32" s="69">
        <f>'Basic T2'!CN32</f>
        <v>1.1362907027826816</v>
      </c>
      <c r="K32" s="309">
        <f t="shared" si="12"/>
        <v>8.7182083202628071</v>
      </c>
      <c r="L32" s="97"/>
      <c r="M32" s="97">
        <f t="shared" si="0"/>
        <v>4.4655104099842295E-3</v>
      </c>
      <c r="N32" s="97">
        <f t="shared" si="1"/>
        <v>0.10941854253296648</v>
      </c>
      <c r="O32" s="97">
        <f t="shared" si="2"/>
        <v>0.21330187353381688</v>
      </c>
      <c r="P32" s="97">
        <f t="shared" si="3"/>
        <v>0.59896530538441484</v>
      </c>
      <c r="Q32" s="97">
        <f t="shared" si="4"/>
        <v>0.6895758196056333</v>
      </c>
      <c r="R32" s="97">
        <f t="shared" si="5"/>
        <v>0.93082042525253672</v>
      </c>
      <c r="S32" s="97">
        <f t="shared" si="6"/>
        <v>1.5726141327841381</v>
      </c>
      <c r="T32" s="97">
        <f t="shared" si="7"/>
        <v>2.7851520736773865</v>
      </c>
      <c r="U32" s="97">
        <f t="shared" si="8"/>
        <v>4.0590411434770362</v>
      </c>
      <c r="V32" s="97">
        <f t="shared" si="9"/>
        <v>1.008304996329433</v>
      </c>
      <c r="W32" s="97"/>
      <c r="X32" s="97">
        <f t="shared" si="10"/>
        <v>7.9547223361628016E-3</v>
      </c>
      <c r="Y32" s="97">
        <f t="shared" si="13"/>
        <v>1.408436054703929</v>
      </c>
      <c r="Z32" s="97">
        <f t="shared" si="13"/>
        <v>4.8400155636640587</v>
      </c>
      <c r="AA32" s="97">
        <f t="shared" si="13"/>
        <v>3.5418774808738585</v>
      </c>
      <c r="AB32" s="97">
        <f t="shared" si="13"/>
        <v>4.2767635932244206</v>
      </c>
      <c r="AC32" s="97">
        <f t="shared" si="13"/>
        <v>18.187851664117321</v>
      </c>
      <c r="AD32" s="97">
        <f t="shared" si="13"/>
        <v>26.459524761411291</v>
      </c>
      <c r="AE32" s="97">
        <f t="shared" si="13"/>
        <v>28.244041503910356</v>
      </c>
      <c r="AF32" s="97">
        <f t="shared" si="13"/>
        <v>13.033534655758588</v>
      </c>
      <c r="AG32" s="97">
        <f t="shared" si="13"/>
        <v>100</v>
      </c>
    </row>
    <row r="33" spans="1:33" x14ac:dyDescent="0.2">
      <c r="A33" s="10" t="str">
        <f>name!D29</f>
        <v>92 Elementary administration and service occupations</v>
      </c>
      <c r="B33" s="69">
        <f>'Basic T2'!D33</f>
        <v>6.6764425269880467E-2</v>
      </c>
      <c r="C33" s="69">
        <f>'Basic T2'!O33</f>
        <v>2.2148429006617509</v>
      </c>
      <c r="D33" s="69">
        <f>'Basic T2'!Z33</f>
        <v>6.9872324699569281</v>
      </c>
      <c r="E33" s="69">
        <f>'Basic T2'!AK33</f>
        <v>3.5527535090849804</v>
      </c>
      <c r="F33" s="69">
        <f>'Basic T2'!AV33</f>
        <v>3.2357416702178652</v>
      </c>
      <c r="G33" s="69">
        <f>'Basic T2'!BG33</f>
        <v>14.931975531689764</v>
      </c>
      <c r="H33" s="69">
        <f>'Basic T2'!BR33</f>
        <v>21.180198813917603</v>
      </c>
      <c r="I33" s="69">
        <f>'Basic T2'!CC33</f>
        <v>17.297892844591214</v>
      </c>
      <c r="J33" s="69">
        <f>'Basic T2'!CN33</f>
        <v>6.6287096516711275</v>
      </c>
      <c r="K33" s="309">
        <f t="shared" ref="K33" si="14">SUM(B33:J33)</f>
        <v>76.096111817061114</v>
      </c>
      <c r="L33" s="97"/>
      <c r="M33" s="97">
        <f t="shared" si="0"/>
        <v>0.42989654398662752</v>
      </c>
      <c r="N33" s="97">
        <f t="shared" si="1"/>
        <v>1.97364698897096</v>
      </c>
      <c r="O33" s="97">
        <f t="shared" si="2"/>
        <v>3.5320420266708683</v>
      </c>
      <c r="P33" s="97">
        <f t="shared" si="3"/>
        <v>6.8913763418546035</v>
      </c>
      <c r="Q33" s="97">
        <f t="shared" si="4"/>
        <v>5.9843003088065849</v>
      </c>
      <c r="R33" s="97">
        <f t="shared" si="5"/>
        <v>8.765456289764165</v>
      </c>
      <c r="S33" s="97">
        <f t="shared" si="6"/>
        <v>14.439193117011579</v>
      </c>
      <c r="T33" s="97">
        <f t="shared" si="7"/>
        <v>19.565368527485212</v>
      </c>
      <c r="U33" s="97">
        <f t="shared" si="8"/>
        <v>23.678980333470452</v>
      </c>
      <c r="V33" s="97">
        <f t="shared" si="9"/>
        <v>8.8009011631501135</v>
      </c>
      <c r="W33" s="97"/>
      <c r="X33" s="97">
        <f t="shared" ref="X33" si="15">IF($K33&gt;0,B33/$K33*100,0)</f>
        <v>8.7736973250861369E-2</v>
      </c>
      <c r="Y33" s="97">
        <f t="shared" ref="Y33" si="16">IF($K33&gt;0,C33/$K33*100,0)</f>
        <v>2.9105861623867786</v>
      </c>
      <c r="Z33" s="97">
        <f t="shared" ref="Z33" si="17">IF($K33&gt;0,D33/$K33*100,0)</f>
        <v>9.1821149637114008</v>
      </c>
      <c r="AA33" s="97">
        <f t="shared" ref="AA33" si="18">IF($K33&gt;0,E33/$K33*100,0)</f>
        <v>4.6687714053327438</v>
      </c>
      <c r="AB33" s="97">
        <f t="shared" ref="AB33" si="19">IF($K33&gt;0,F33/$K33*100,0)</f>
        <v>4.252177401647999</v>
      </c>
      <c r="AC33" s="97">
        <f t="shared" ref="AC33" si="20">IF($K33&gt;0,G33/$K33*100,0)</f>
        <v>19.622521013408655</v>
      </c>
      <c r="AD33" s="97">
        <f t="shared" ref="AD33" si="21">IF($K33&gt;0,H33/$K33*100,0)</f>
        <v>27.833483614558212</v>
      </c>
      <c r="AE33" s="97">
        <f t="shared" ref="AE33" si="22">IF($K33&gt;0,I33/$K33*100,0)</f>
        <v>22.731638229002055</v>
      </c>
      <c r="AF33" s="97">
        <f>IF($K33&gt;0,J33/$K33*100,0)</f>
        <v>8.7109702367012911</v>
      </c>
      <c r="AG33" s="97">
        <f t="shared" ref="AG33" si="23">IF($K33&gt;0,K33/$K33*100,0)</f>
        <v>100</v>
      </c>
    </row>
    <row r="34" spans="1:33" x14ac:dyDescent="0.2">
      <c r="B34" s="309"/>
      <c r="C34" s="309"/>
      <c r="D34" s="309"/>
      <c r="E34" s="69"/>
      <c r="F34" s="69"/>
      <c r="G34" s="69"/>
      <c r="H34" s="69"/>
      <c r="I34" s="69"/>
      <c r="J34" s="69"/>
      <c r="K34" s="309"/>
      <c r="L34" s="97"/>
      <c r="M34" s="97"/>
      <c r="N34" s="97"/>
      <c r="O34" s="97"/>
      <c r="P34" s="97"/>
      <c r="Q34" s="97"/>
      <c r="R34" s="97"/>
      <c r="S34" s="97"/>
      <c r="T34" s="97"/>
      <c r="U34" s="97"/>
      <c r="V34" s="97"/>
      <c r="W34" s="97"/>
      <c r="X34" s="97"/>
      <c r="Y34" s="97"/>
      <c r="Z34" s="97"/>
      <c r="AA34" s="97"/>
      <c r="AB34" s="97"/>
      <c r="AC34" s="97"/>
      <c r="AD34" s="97"/>
      <c r="AE34" s="97"/>
      <c r="AF34" s="97"/>
      <c r="AG34" s="97"/>
    </row>
    <row r="35" spans="1:33" x14ac:dyDescent="0.2">
      <c r="A35" s="108" t="str">
        <f>name!D3</f>
        <v>All occupations</v>
      </c>
      <c r="B35" s="310">
        <f>SUM(B8:B33)</f>
        <v>15.530347057630047</v>
      </c>
      <c r="C35" s="310">
        <f t="shared" ref="C35:K35" si="24">SUM(C8:C33)</f>
        <v>112.22082333054647</v>
      </c>
      <c r="D35" s="310">
        <f t="shared" si="24"/>
        <v>197.82415999570523</v>
      </c>
      <c r="E35" s="310">
        <f t="shared" si="24"/>
        <v>51.553613281971266</v>
      </c>
      <c r="F35" s="310">
        <f t="shared" si="24"/>
        <v>54.070509554076025</v>
      </c>
      <c r="G35" s="310">
        <f t="shared" si="24"/>
        <v>170.35023663430428</v>
      </c>
      <c r="H35" s="310">
        <f t="shared" si="24"/>
        <v>146.68547364301187</v>
      </c>
      <c r="I35" s="310">
        <f t="shared" si="24"/>
        <v>88.410769366758032</v>
      </c>
      <c r="J35" s="310">
        <f t="shared" si="24"/>
        <v>27.994067135996506</v>
      </c>
      <c r="K35" s="310">
        <f t="shared" si="24"/>
        <v>864.63999999999976</v>
      </c>
      <c r="L35" s="98"/>
      <c r="M35" s="98">
        <f>B35/B$35*100</f>
        <v>100</v>
      </c>
      <c r="N35" s="98">
        <f>C35/C$35*100</f>
        <v>100</v>
      </c>
      <c r="O35" s="98">
        <f>D35/D$35*100</f>
        <v>100</v>
      </c>
      <c r="P35" s="98">
        <f t="shared" ref="P35:U35" si="25">E35/E$35*100</f>
        <v>100</v>
      </c>
      <c r="Q35" s="98">
        <f t="shared" si="25"/>
        <v>100</v>
      </c>
      <c r="R35" s="98">
        <f t="shared" si="25"/>
        <v>100</v>
      </c>
      <c r="S35" s="98">
        <f t="shared" si="25"/>
        <v>100</v>
      </c>
      <c r="T35" s="98">
        <f t="shared" si="25"/>
        <v>100</v>
      </c>
      <c r="U35" s="98">
        <f t="shared" si="25"/>
        <v>100</v>
      </c>
      <c r="V35" s="98">
        <f>K35/K$35*100</f>
        <v>100</v>
      </c>
      <c r="W35" s="98"/>
      <c r="X35" s="98">
        <f>IF($K35&gt;0,B35/$K35*100,0)</f>
        <v>1.7961633810175393</v>
      </c>
      <c r="Y35" s="98">
        <f t="shared" ref="Y35:AG35" si="26">IF($K35&gt;0,C35/$K35*100,0)</f>
        <v>12.97890721346994</v>
      </c>
      <c r="Z35" s="98">
        <f t="shared" si="26"/>
        <v>22.87936713495851</v>
      </c>
      <c r="AA35" s="98">
        <f t="shared" si="26"/>
        <v>5.9624367692879439</v>
      </c>
      <c r="AB35" s="98">
        <f t="shared" si="26"/>
        <v>6.2535285846220434</v>
      </c>
      <c r="AC35" s="98">
        <f t="shared" si="26"/>
        <v>19.701868596676576</v>
      </c>
      <c r="AD35" s="98">
        <f t="shared" si="26"/>
        <v>16.964918768853153</v>
      </c>
      <c r="AE35" s="98">
        <f t="shared" si="26"/>
        <v>10.225153748005882</v>
      </c>
      <c r="AF35" s="98">
        <f t="shared" si="26"/>
        <v>3.2376558031084053</v>
      </c>
      <c r="AG35" s="98">
        <f t="shared" si="26"/>
        <v>100</v>
      </c>
    </row>
    <row r="37" spans="1:33" x14ac:dyDescent="0.2">
      <c r="A37" s="91" t="str">
        <f ca="1">CELL("filename")</f>
        <v>M:\IE\Projects\Nuffield via NFER AI and automation\Data\Results\Workbooks\LEPs\M3_LEP\[M3_LEP_MainTables.Main.xlsm]Manager</v>
      </c>
    </row>
  </sheetData>
  <pageMargins left="0.31496062992125984" right="0.31496062992125984" top="0.74803149606299213" bottom="0.74803149606299213" header="0.31496062992125984" footer="0.31496062992125984"/>
  <pageSetup paperSize="9" scale="71" orientation="landscape" r:id="rId1"/>
  <colBreaks count="2" manualBreakCount="2">
    <brk id="12" max="33" man="1"/>
    <brk id="23" max="33" man="1"/>
  </colBreaks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3"/>
  <dimension ref="A1:DP101"/>
  <sheetViews>
    <sheetView zoomScale="85" zoomScaleNormal="85" workbookViewId="0">
      <selection activeCell="J103" sqref="J103"/>
    </sheetView>
  </sheetViews>
  <sheetFormatPr defaultColWidth="9.140625" defaultRowHeight="12.75" x14ac:dyDescent="0.2"/>
  <cols>
    <col min="1" max="1" width="33.7109375" style="91" customWidth="1"/>
    <col min="2" max="2" width="5.7109375" style="91" customWidth="1"/>
    <col min="3" max="3" width="11.7109375" style="91" customWidth="1"/>
    <col min="4" max="4" width="7.85546875" style="91" customWidth="1"/>
    <col min="5" max="5" width="9.85546875" style="91" customWidth="1"/>
    <col min="6" max="6" width="10" style="91" customWidth="1"/>
    <col min="7" max="7" width="2.7109375" style="91" customWidth="1"/>
    <col min="8" max="8" width="5.7109375" style="91" customWidth="1"/>
    <col min="9" max="9" width="10.7109375" style="91" customWidth="1"/>
    <col min="10" max="12" width="8.7109375" style="91" customWidth="1"/>
    <col min="13" max="13" width="2.7109375" style="91" customWidth="1"/>
    <col min="14" max="14" width="5.7109375" style="91" customWidth="1"/>
    <col min="15" max="15" width="10.7109375" style="91" customWidth="1"/>
    <col min="16" max="18" width="8.7109375" style="91" customWidth="1"/>
    <col min="19" max="19" width="2.7109375" style="91" customWidth="1"/>
    <col min="20" max="20" width="5.7109375" style="91" customWidth="1"/>
    <col min="21" max="21" width="10.7109375" style="91" customWidth="1"/>
    <col min="22" max="24" width="8.7109375" style="91" customWidth="1"/>
    <col min="25" max="25" width="33.7109375" style="91" customWidth="1"/>
    <col min="26" max="26" width="5.7109375" style="91" customWidth="1"/>
    <col min="27" max="27" width="11.7109375" style="91" customWidth="1"/>
    <col min="28" max="28" width="7.42578125" style="91" customWidth="1"/>
    <col min="29" max="30" width="8.7109375" style="91" customWidth="1"/>
    <col min="31" max="31" width="2.7109375" style="91" customWidth="1"/>
    <col min="32" max="32" width="5.7109375" style="91" customWidth="1"/>
    <col min="33" max="33" width="10.7109375" style="91" customWidth="1"/>
    <col min="34" max="36" width="8.7109375" style="91" customWidth="1"/>
    <col min="37" max="37" width="2.7109375" style="91" customWidth="1"/>
    <col min="38" max="38" width="5.7109375" style="91" customWidth="1"/>
    <col min="39" max="39" width="10.7109375" style="91" customWidth="1"/>
    <col min="40" max="42" width="8.7109375" style="91" customWidth="1"/>
    <col min="43" max="43" width="2.7109375" style="91" customWidth="1"/>
    <col min="44" max="44" width="5.7109375" style="91" customWidth="1"/>
    <col min="45" max="45" width="10.7109375" style="91" customWidth="1"/>
    <col min="46" max="48" width="8.7109375" style="91" customWidth="1"/>
    <col min="49" max="49" width="33.7109375" style="91" customWidth="1"/>
    <col min="50" max="50" width="5.7109375" style="91" customWidth="1"/>
    <col min="51" max="51" width="11.7109375" style="91" customWidth="1"/>
    <col min="52" max="52" width="7.42578125" style="91" customWidth="1"/>
    <col min="53" max="54" width="8.7109375" style="91" customWidth="1"/>
    <col min="55" max="55" width="2.7109375" style="91" customWidth="1"/>
    <col min="56" max="56" width="5.7109375" style="91" customWidth="1"/>
    <col min="57" max="57" width="10.7109375" style="91" customWidth="1"/>
    <col min="58" max="60" width="8.7109375" style="91" customWidth="1"/>
    <col min="61" max="61" width="2.7109375" style="91" customWidth="1"/>
    <col min="62" max="62" width="5.7109375" style="91" customWidth="1"/>
    <col min="63" max="63" width="10.7109375" style="91" customWidth="1"/>
    <col min="64" max="66" width="8.7109375" style="91" customWidth="1"/>
    <col min="67" max="67" width="2.7109375" style="91" customWidth="1"/>
    <col min="68" max="68" width="5.7109375" style="91" customWidth="1"/>
    <col min="69" max="69" width="10.7109375" style="91" customWidth="1"/>
    <col min="70" max="72" width="8.7109375" style="91" customWidth="1"/>
    <col min="73" max="73" width="33.7109375" style="91" customWidth="1"/>
    <col min="74" max="74" width="5.7109375" style="91" customWidth="1"/>
    <col min="75" max="75" width="11.7109375" style="91" customWidth="1"/>
    <col min="76" max="76" width="7.42578125" style="91" customWidth="1"/>
    <col min="77" max="78" width="8.7109375" style="91" customWidth="1"/>
    <col min="79" max="79" width="2.7109375" style="91" customWidth="1"/>
    <col min="80" max="80" width="5.7109375" style="91" customWidth="1"/>
    <col min="81" max="81" width="10.7109375" style="91" customWidth="1"/>
    <col min="82" max="84" width="8.7109375" style="91" customWidth="1"/>
    <col min="85" max="85" width="2.7109375" style="91" customWidth="1"/>
    <col min="86" max="86" width="5.7109375" style="91" customWidth="1"/>
    <col min="87" max="87" width="10.7109375" style="91" customWidth="1"/>
    <col min="88" max="90" width="8.7109375" style="91" customWidth="1"/>
    <col min="91" max="91" width="2.7109375" style="91" customWidth="1"/>
    <col min="92" max="92" width="5.7109375" style="91" customWidth="1"/>
    <col min="93" max="93" width="10.7109375" style="91" customWidth="1"/>
    <col min="94" max="96" width="8.7109375" style="91" customWidth="1"/>
    <col min="97" max="97" width="33.7109375" style="91" customWidth="1"/>
    <col min="98" max="98" width="5.7109375" style="91" customWidth="1"/>
    <col min="99" max="99" width="11.7109375" style="91" customWidth="1"/>
    <col min="100" max="100" width="7.42578125" style="91" customWidth="1"/>
    <col min="101" max="102" width="8.7109375" style="91" customWidth="1"/>
    <col min="103" max="103" width="2.7109375" style="91" customWidth="1"/>
    <col min="104" max="104" width="5.7109375" style="91" customWidth="1"/>
    <col min="105" max="105" width="10.7109375" style="91" customWidth="1"/>
    <col min="106" max="108" width="8.7109375" style="91" customWidth="1"/>
    <col min="109" max="109" width="2.7109375" style="91" customWidth="1"/>
    <col min="110" max="110" width="5.7109375" style="91" customWidth="1"/>
    <col min="111" max="111" width="10.7109375" style="91" customWidth="1"/>
    <col min="112" max="114" width="8.7109375" style="91" customWidth="1"/>
    <col min="115" max="115" width="2.7109375" style="91" customWidth="1"/>
    <col min="116" max="116" width="5.7109375" style="91" customWidth="1"/>
    <col min="117" max="117" width="10.7109375" style="91" customWidth="1"/>
    <col min="118" max="120" width="8.7109375" style="91" customWidth="1"/>
    <col min="121" max="16384" width="9.140625" style="91"/>
  </cols>
  <sheetData>
    <row r="1" spans="1:120" ht="15.75" x14ac:dyDescent="0.25">
      <c r="A1" s="19" t="str">
        <f>CONCATENATE("Basic Table 5  Replacement Demand, ",A100,"-",A101,", by Industry and Qualification for ",name!$H$3)</f>
        <v>Basic Table 5  Replacement Demand, 2015-2025, by Industry and Qualification for M</v>
      </c>
      <c r="Y1" s="19" t="str">
        <f>CONCATENATE("Basic Table 5  Replacement Demand, ",A100,"-",A101,", by Industry and Qualification for ",name!$H$4)</f>
        <v>Basic Table 5  Replacement Demand, 2015-2025, by Industry and Qualification for F</v>
      </c>
      <c r="AW1" s="19" t="str">
        <f>CONCATENATE("Basic Table 5  Replacement Demand, ",A100,"-",A101,", by Industry and Qualification for ",name!$H$5)</f>
        <v xml:space="preserve">Basic Table 5  Replacement Demand, 2015-2025, by Industry and Qualification for </v>
      </c>
      <c r="BU1" s="19" t="str">
        <f>CONCATENATE("Basic Table 5  Replacement Demand, ",A100,"-",A101,", by Industry and Qualification for ",name!$H$6)</f>
        <v xml:space="preserve">Basic Table 5  Replacement Demand, 2015-2025, by Industry and Qualification for </v>
      </c>
      <c r="CS1" s="19" t="str">
        <f>CONCATENATE("Basic Table 5  Replacement Demand, ",A100,"-",A101,", by Industry and Qualification for ",name!$H$7)</f>
        <v xml:space="preserve">Basic Table 5  Replacement Demand, 2015-2025, by Industry and Qualification for </v>
      </c>
    </row>
    <row r="2" spans="1:120" ht="15.75" x14ac:dyDescent="0.25">
      <c r="A2" s="19"/>
      <c r="Y2" s="19"/>
      <c r="AW2" s="19"/>
      <c r="BU2" s="19"/>
      <c r="CS2" s="19"/>
    </row>
    <row r="3" spans="1:120" x14ac:dyDescent="0.2">
      <c r="B3" s="92"/>
      <c r="C3" s="92"/>
      <c r="D3" s="92"/>
      <c r="E3" s="92"/>
      <c r="F3" s="92"/>
      <c r="G3" s="92"/>
      <c r="H3" s="92"/>
      <c r="I3" s="92"/>
      <c r="J3" s="92"/>
      <c r="K3" s="92"/>
      <c r="L3" s="92"/>
      <c r="M3" s="92"/>
      <c r="N3" s="92"/>
      <c r="O3" s="92"/>
      <c r="P3" s="92"/>
      <c r="Q3" s="92"/>
      <c r="R3" s="92"/>
      <c r="S3" s="92"/>
      <c r="T3" s="92"/>
      <c r="U3" s="92"/>
      <c r="V3" s="92"/>
      <c r="W3" s="92"/>
      <c r="X3" s="116" t="s">
        <v>36</v>
      </c>
      <c r="Z3" s="92"/>
      <c r="AA3" s="92"/>
      <c r="AB3" s="92"/>
      <c r="AC3" s="92"/>
      <c r="AD3" s="92"/>
      <c r="AE3" s="92"/>
      <c r="AF3" s="92"/>
      <c r="AG3" s="92"/>
      <c r="AH3" s="92"/>
      <c r="AI3" s="92"/>
      <c r="AJ3" s="92"/>
      <c r="AK3" s="92"/>
      <c r="AL3" s="92"/>
      <c r="AM3" s="92"/>
      <c r="AN3" s="92"/>
      <c r="AO3" s="92"/>
      <c r="AP3" s="92"/>
      <c r="AQ3" s="92"/>
      <c r="AR3" s="92"/>
      <c r="AS3" s="92"/>
      <c r="AT3" s="92"/>
      <c r="AU3" s="92"/>
      <c r="AV3" s="116" t="str">
        <f>$X$3</f>
        <v>thousands</v>
      </c>
      <c r="AX3" s="92"/>
      <c r="AY3" s="92"/>
      <c r="AZ3" s="92"/>
      <c r="BA3" s="92"/>
      <c r="BB3" s="92"/>
      <c r="BC3" s="92"/>
      <c r="BD3" s="92"/>
      <c r="BE3" s="92"/>
      <c r="BF3" s="92"/>
      <c r="BG3" s="92"/>
      <c r="BH3" s="92"/>
      <c r="BI3" s="92"/>
      <c r="BJ3" s="92"/>
      <c r="BK3" s="92"/>
      <c r="BL3" s="92"/>
      <c r="BM3" s="92"/>
      <c r="BN3" s="92"/>
      <c r="BO3" s="92"/>
      <c r="BP3" s="92"/>
      <c r="BQ3" s="92"/>
      <c r="BR3" s="92"/>
      <c r="BS3" s="92"/>
      <c r="BT3" s="116" t="str">
        <f>$X$3</f>
        <v>thousands</v>
      </c>
      <c r="BV3" s="92"/>
      <c r="BW3" s="92"/>
      <c r="BX3" s="92"/>
      <c r="BY3" s="92"/>
      <c r="BZ3" s="92"/>
      <c r="CA3" s="92"/>
      <c r="CB3" s="92"/>
      <c r="CC3" s="92"/>
      <c r="CD3" s="92"/>
      <c r="CE3" s="92"/>
      <c r="CF3" s="92"/>
      <c r="CG3" s="92"/>
      <c r="CH3" s="92"/>
      <c r="CI3" s="92"/>
      <c r="CJ3" s="92"/>
      <c r="CK3" s="92"/>
      <c r="CL3" s="92"/>
      <c r="CM3" s="92"/>
      <c r="CN3" s="92"/>
      <c r="CO3" s="92"/>
      <c r="CP3" s="92"/>
      <c r="CQ3" s="92"/>
      <c r="CR3" s="116" t="str">
        <f>$X$3</f>
        <v>thousands</v>
      </c>
      <c r="CT3" s="92"/>
      <c r="CU3" s="92"/>
      <c r="CV3" s="92"/>
      <c r="CW3" s="92"/>
      <c r="CX3" s="92"/>
      <c r="CY3" s="92"/>
      <c r="CZ3" s="92"/>
      <c r="DA3" s="92"/>
      <c r="DB3" s="92"/>
      <c r="DC3" s="92"/>
      <c r="DD3" s="92"/>
      <c r="DE3" s="92"/>
      <c r="DF3" s="92"/>
      <c r="DG3" s="92"/>
      <c r="DH3" s="92"/>
      <c r="DI3" s="92"/>
      <c r="DJ3" s="92"/>
      <c r="DK3" s="92"/>
      <c r="DL3" s="92"/>
      <c r="DM3" s="92"/>
      <c r="DN3" s="92"/>
      <c r="DO3" s="92"/>
      <c r="DP3" s="116" t="str">
        <f>$X$3</f>
        <v>thousands</v>
      </c>
    </row>
    <row r="4" spans="1:120" x14ac:dyDescent="0.2">
      <c r="A4" s="96"/>
      <c r="B4" s="385" t="str">
        <f>name!F3</f>
        <v>All qualifications</v>
      </c>
      <c r="C4" s="385"/>
      <c r="D4" s="385"/>
      <c r="E4" s="385"/>
      <c r="F4" s="385"/>
      <c r="G4" s="103"/>
      <c r="H4" s="385" t="str">
        <f>name!F4</f>
        <v>RQF8 Doctorate</v>
      </c>
      <c r="I4" s="385"/>
      <c r="J4" s="385"/>
      <c r="K4" s="385"/>
      <c r="L4" s="385"/>
      <c r="N4" s="384" t="str">
        <f>name!F5</f>
        <v>RQF7 Other higher degree</v>
      </c>
      <c r="O4" s="384"/>
      <c r="P4" s="384"/>
      <c r="Q4" s="384"/>
      <c r="R4" s="384"/>
      <c r="S4" s="111"/>
      <c r="T4" s="384" t="str">
        <f>name!F6</f>
        <v>RQF6 First degree</v>
      </c>
      <c r="U4" s="384"/>
      <c r="V4" s="384"/>
      <c r="W4" s="384"/>
      <c r="X4" s="384"/>
      <c r="Y4" s="96"/>
      <c r="Z4" s="385" t="str">
        <f>$B$4</f>
        <v>All qualifications</v>
      </c>
      <c r="AA4" s="385"/>
      <c r="AB4" s="385"/>
      <c r="AC4" s="385"/>
      <c r="AD4" s="385"/>
      <c r="AE4" s="103"/>
      <c r="AF4" s="385" t="str">
        <f>$H$4</f>
        <v>RQF8 Doctorate</v>
      </c>
      <c r="AG4" s="385"/>
      <c r="AH4" s="385"/>
      <c r="AI4" s="385"/>
      <c r="AJ4" s="385"/>
      <c r="AL4" s="384" t="str">
        <f>$N$4</f>
        <v>RQF7 Other higher degree</v>
      </c>
      <c r="AM4" s="384"/>
      <c r="AN4" s="384"/>
      <c r="AO4" s="384"/>
      <c r="AP4" s="384"/>
      <c r="AQ4" s="111"/>
      <c r="AR4" s="384" t="str">
        <f>$T$4</f>
        <v>RQF6 First degree</v>
      </c>
      <c r="AS4" s="384"/>
      <c r="AT4" s="384"/>
      <c r="AU4" s="384"/>
      <c r="AV4" s="384"/>
      <c r="AW4" s="96"/>
      <c r="AX4" s="385" t="str">
        <f>$B$4</f>
        <v>All qualifications</v>
      </c>
      <c r="AY4" s="385"/>
      <c r="AZ4" s="385"/>
      <c r="BA4" s="385"/>
      <c r="BB4" s="385"/>
      <c r="BC4" s="103"/>
      <c r="BD4" s="385" t="str">
        <f>$H$4</f>
        <v>RQF8 Doctorate</v>
      </c>
      <c r="BE4" s="385"/>
      <c r="BF4" s="385"/>
      <c r="BG4" s="385"/>
      <c r="BH4" s="385"/>
      <c r="BJ4" s="384" t="str">
        <f>$N$4</f>
        <v>RQF7 Other higher degree</v>
      </c>
      <c r="BK4" s="384"/>
      <c r="BL4" s="384"/>
      <c r="BM4" s="384"/>
      <c r="BN4" s="384"/>
      <c r="BO4" s="111"/>
      <c r="BP4" s="384" t="str">
        <f>$T$4</f>
        <v>RQF6 First degree</v>
      </c>
      <c r="BQ4" s="384"/>
      <c r="BR4" s="384"/>
      <c r="BS4" s="384"/>
      <c r="BT4" s="384"/>
      <c r="BU4" s="96"/>
      <c r="BV4" s="385" t="str">
        <f>$B$4</f>
        <v>All qualifications</v>
      </c>
      <c r="BW4" s="385"/>
      <c r="BX4" s="385"/>
      <c r="BY4" s="385"/>
      <c r="BZ4" s="385"/>
      <c r="CA4" s="103"/>
      <c r="CB4" s="385" t="str">
        <f>$H$4</f>
        <v>RQF8 Doctorate</v>
      </c>
      <c r="CC4" s="385"/>
      <c r="CD4" s="385"/>
      <c r="CE4" s="385"/>
      <c r="CF4" s="385"/>
      <c r="CH4" s="384" t="str">
        <f>$N$4</f>
        <v>RQF7 Other higher degree</v>
      </c>
      <c r="CI4" s="384"/>
      <c r="CJ4" s="384"/>
      <c r="CK4" s="384"/>
      <c r="CL4" s="384"/>
      <c r="CM4" s="111"/>
      <c r="CN4" s="384" t="str">
        <f>$T$4</f>
        <v>RQF6 First degree</v>
      </c>
      <c r="CO4" s="384"/>
      <c r="CP4" s="384"/>
      <c r="CQ4" s="384"/>
      <c r="CR4" s="384"/>
      <c r="CS4" s="96"/>
      <c r="CT4" s="385" t="str">
        <f>$B$4</f>
        <v>All qualifications</v>
      </c>
      <c r="CU4" s="385"/>
      <c r="CV4" s="385"/>
      <c r="CW4" s="385"/>
      <c r="CX4" s="385"/>
      <c r="CY4" s="103"/>
      <c r="CZ4" s="385" t="str">
        <f>$H$4</f>
        <v>RQF8 Doctorate</v>
      </c>
      <c r="DA4" s="385"/>
      <c r="DB4" s="385"/>
      <c r="DC4" s="385"/>
      <c r="DD4" s="385"/>
      <c r="DF4" s="384" t="str">
        <f>$N$4</f>
        <v>RQF7 Other higher degree</v>
      </c>
      <c r="DG4" s="384"/>
      <c r="DH4" s="384"/>
      <c r="DI4" s="384"/>
      <c r="DJ4" s="384"/>
      <c r="DK4" s="111"/>
      <c r="DL4" s="384" t="str">
        <f>$T$4</f>
        <v>RQF6 First degree</v>
      </c>
      <c r="DM4" s="384"/>
      <c r="DN4" s="384"/>
      <c r="DO4" s="384"/>
      <c r="DP4" s="384"/>
    </row>
    <row r="6" spans="1:120" s="102" customFormat="1" ht="38.25" x14ac:dyDescent="0.2">
      <c r="A6" s="101"/>
      <c r="B6" s="106" t="s">
        <v>48</v>
      </c>
      <c r="C6" s="115" t="str">
        <f>CONCATENATE($A$100," Level")</f>
        <v>2015 Level</v>
      </c>
      <c r="D6" s="105" t="s">
        <v>43</v>
      </c>
      <c r="E6" s="115" t="s">
        <v>49</v>
      </c>
      <c r="F6" s="115" t="s">
        <v>50</v>
      </c>
      <c r="G6" s="104"/>
      <c r="H6" s="105" t="str">
        <f>B6</f>
        <v>RD p.a%</v>
      </c>
      <c r="I6" s="105" t="str">
        <f>C6</f>
        <v>2015 Level</v>
      </c>
      <c r="J6" s="105" t="str">
        <f>D6</f>
        <v>Net Change</v>
      </c>
      <c r="K6" s="105" t="str">
        <f>E6</f>
        <v>Replace-ment Demand</v>
      </c>
      <c r="L6" s="105" t="str">
        <f>F6</f>
        <v>Total Require-ment</v>
      </c>
      <c r="M6" s="104"/>
      <c r="N6" s="106" t="str">
        <f>H6</f>
        <v>RD p.a%</v>
      </c>
      <c r="O6" s="106" t="str">
        <f>I6</f>
        <v>2015 Level</v>
      </c>
      <c r="P6" s="106" t="str">
        <f>J6</f>
        <v>Net Change</v>
      </c>
      <c r="Q6" s="106" t="str">
        <f>K6</f>
        <v>Replace-ment Demand</v>
      </c>
      <c r="R6" s="106" t="str">
        <f>L6</f>
        <v>Total Require-ment</v>
      </c>
      <c r="S6" s="104"/>
      <c r="T6" s="106" t="str">
        <f>N6</f>
        <v>RD p.a%</v>
      </c>
      <c r="U6" s="106" t="str">
        <f>O6</f>
        <v>2015 Level</v>
      </c>
      <c r="V6" s="106" t="str">
        <f>P6</f>
        <v>Net Change</v>
      </c>
      <c r="W6" s="106" t="str">
        <f>Q6</f>
        <v>Replace-ment Demand</v>
      </c>
      <c r="X6" s="106" t="str">
        <f>R6</f>
        <v>Total Require-ment</v>
      </c>
      <c r="Y6" s="101"/>
      <c r="Z6" s="106" t="s">
        <v>48</v>
      </c>
      <c r="AA6" s="115" t="str">
        <f>CONCATENATE($A$100," Level")</f>
        <v>2015 Level</v>
      </c>
      <c r="AB6" s="105" t="s">
        <v>43</v>
      </c>
      <c r="AC6" s="115" t="s">
        <v>49</v>
      </c>
      <c r="AD6" s="115" t="s">
        <v>50</v>
      </c>
      <c r="AE6" s="104"/>
      <c r="AF6" s="105" t="str">
        <f>Z6</f>
        <v>RD p.a%</v>
      </c>
      <c r="AG6" s="105" t="str">
        <f>AA6</f>
        <v>2015 Level</v>
      </c>
      <c r="AH6" s="105" t="str">
        <f>AB6</f>
        <v>Net Change</v>
      </c>
      <c r="AI6" s="105" t="str">
        <f>AC6</f>
        <v>Replace-ment Demand</v>
      </c>
      <c r="AJ6" s="105" t="str">
        <f>AD6</f>
        <v>Total Require-ment</v>
      </c>
      <c r="AK6" s="104"/>
      <c r="AL6" s="106" t="str">
        <f>AF6</f>
        <v>RD p.a%</v>
      </c>
      <c r="AM6" s="106" t="str">
        <f>AG6</f>
        <v>2015 Level</v>
      </c>
      <c r="AN6" s="106" t="str">
        <f>AH6</f>
        <v>Net Change</v>
      </c>
      <c r="AO6" s="106" t="str">
        <f>AI6</f>
        <v>Replace-ment Demand</v>
      </c>
      <c r="AP6" s="106" t="str">
        <f>AJ6</f>
        <v>Total Require-ment</v>
      </c>
      <c r="AQ6" s="104"/>
      <c r="AR6" s="106" t="str">
        <f>AL6</f>
        <v>RD p.a%</v>
      </c>
      <c r="AS6" s="106" t="str">
        <f>AM6</f>
        <v>2015 Level</v>
      </c>
      <c r="AT6" s="106" t="str">
        <f>AN6</f>
        <v>Net Change</v>
      </c>
      <c r="AU6" s="106" t="str">
        <f>AO6</f>
        <v>Replace-ment Demand</v>
      </c>
      <c r="AV6" s="106" t="str">
        <f>AP6</f>
        <v>Total Require-ment</v>
      </c>
      <c r="AW6" s="101"/>
      <c r="AX6" s="106" t="s">
        <v>48</v>
      </c>
      <c r="AY6" s="115" t="str">
        <f>CONCATENATE($A$100," Level")</f>
        <v>2015 Level</v>
      </c>
      <c r="AZ6" s="105" t="s">
        <v>43</v>
      </c>
      <c r="BA6" s="115" t="s">
        <v>49</v>
      </c>
      <c r="BB6" s="115" t="s">
        <v>50</v>
      </c>
      <c r="BC6" s="104"/>
      <c r="BD6" s="105" t="str">
        <f>AX6</f>
        <v>RD p.a%</v>
      </c>
      <c r="BE6" s="105" t="str">
        <f>AY6</f>
        <v>2015 Level</v>
      </c>
      <c r="BF6" s="105" t="str">
        <f>AZ6</f>
        <v>Net Change</v>
      </c>
      <c r="BG6" s="105" t="str">
        <f>BA6</f>
        <v>Replace-ment Demand</v>
      </c>
      <c r="BH6" s="105" t="str">
        <f>BB6</f>
        <v>Total Require-ment</v>
      </c>
      <c r="BI6" s="104"/>
      <c r="BJ6" s="106" t="str">
        <f>BD6</f>
        <v>RD p.a%</v>
      </c>
      <c r="BK6" s="106" t="str">
        <f>BE6</f>
        <v>2015 Level</v>
      </c>
      <c r="BL6" s="106" t="str">
        <f>BF6</f>
        <v>Net Change</v>
      </c>
      <c r="BM6" s="106" t="str">
        <f>BG6</f>
        <v>Replace-ment Demand</v>
      </c>
      <c r="BN6" s="106" t="str">
        <f>BH6</f>
        <v>Total Require-ment</v>
      </c>
      <c r="BO6" s="104"/>
      <c r="BP6" s="106" t="str">
        <f>BJ6</f>
        <v>RD p.a%</v>
      </c>
      <c r="BQ6" s="106" t="str">
        <f>BK6</f>
        <v>2015 Level</v>
      </c>
      <c r="BR6" s="106" t="str">
        <f>BL6</f>
        <v>Net Change</v>
      </c>
      <c r="BS6" s="106" t="str">
        <f>BM6</f>
        <v>Replace-ment Demand</v>
      </c>
      <c r="BT6" s="106" t="str">
        <f>BN6</f>
        <v>Total Require-ment</v>
      </c>
      <c r="BU6" s="101"/>
      <c r="BV6" s="106" t="s">
        <v>48</v>
      </c>
      <c r="BW6" s="115" t="str">
        <f>CONCATENATE($A$100," Level")</f>
        <v>2015 Level</v>
      </c>
      <c r="BX6" s="105" t="s">
        <v>43</v>
      </c>
      <c r="BY6" s="115" t="s">
        <v>49</v>
      </c>
      <c r="BZ6" s="115" t="s">
        <v>50</v>
      </c>
      <c r="CA6" s="104"/>
      <c r="CB6" s="105" t="str">
        <f>BV6</f>
        <v>RD p.a%</v>
      </c>
      <c r="CC6" s="105" t="str">
        <f>BW6</f>
        <v>2015 Level</v>
      </c>
      <c r="CD6" s="105" t="str">
        <f>BX6</f>
        <v>Net Change</v>
      </c>
      <c r="CE6" s="105" t="str">
        <f>BY6</f>
        <v>Replace-ment Demand</v>
      </c>
      <c r="CF6" s="105" t="str">
        <f>BZ6</f>
        <v>Total Require-ment</v>
      </c>
      <c r="CG6" s="104"/>
      <c r="CH6" s="106" t="str">
        <f>CB6</f>
        <v>RD p.a%</v>
      </c>
      <c r="CI6" s="106" t="str">
        <f>CC6</f>
        <v>2015 Level</v>
      </c>
      <c r="CJ6" s="106" t="str">
        <f>CD6</f>
        <v>Net Change</v>
      </c>
      <c r="CK6" s="106" t="str">
        <f>CE6</f>
        <v>Replace-ment Demand</v>
      </c>
      <c r="CL6" s="106" t="str">
        <f>CF6</f>
        <v>Total Require-ment</v>
      </c>
      <c r="CM6" s="104"/>
      <c r="CN6" s="106" t="str">
        <f>CH6</f>
        <v>RD p.a%</v>
      </c>
      <c r="CO6" s="106" t="str">
        <f>CI6</f>
        <v>2015 Level</v>
      </c>
      <c r="CP6" s="106" t="str">
        <f>CJ6</f>
        <v>Net Change</v>
      </c>
      <c r="CQ6" s="106" t="str">
        <f>CK6</f>
        <v>Replace-ment Demand</v>
      </c>
      <c r="CR6" s="106" t="str">
        <f>CL6</f>
        <v>Total Require-ment</v>
      </c>
      <c r="CS6" s="101"/>
      <c r="CT6" s="106" t="s">
        <v>48</v>
      </c>
      <c r="CU6" s="115" t="str">
        <f>CONCATENATE($A$100," Level")</f>
        <v>2015 Level</v>
      </c>
      <c r="CV6" s="105" t="s">
        <v>43</v>
      </c>
      <c r="CW6" s="115" t="s">
        <v>49</v>
      </c>
      <c r="CX6" s="115" t="s">
        <v>50</v>
      </c>
      <c r="CY6" s="104"/>
      <c r="CZ6" s="105" t="str">
        <f>CT6</f>
        <v>RD p.a%</v>
      </c>
      <c r="DA6" s="105" t="str">
        <f>CU6</f>
        <v>2015 Level</v>
      </c>
      <c r="DB6" s="105" t="str">
        <f>CV6</f>
        <v>Net Change</v>
      </c>
      <c r="DC6" s="105" t="str">
        <f>CW6</f>
        <v>Replace-ment Demand</v>
      </c>
      <c r="DD6" s="105" t="str">
        <f>CX6</f>
        <v>Total Require-ment</v>
      </c>
      <c r="DE6" s="104"/>
      <c r="DF6" s="106" t="str">
        <f>CZ6</f>
        <v>RD p.a%</v>
      </c>
      <c r="DG6" s="106" t="str">
        <f>DA6</f>
        <v>2015 Level</v>
      </c>
      <c r="DH6" s="106" t="str">
        <f>DB6</f>
        <v>Net Change</v>
      </c>
      <c r="DI6" s="106" t="str">
        <f>DC6</f>
        <v>Replace-ment Demand</v>
      </c>
      <c r="DJ6" s="106" t="str">
        <f>DD6</f>
        <v>Total Require-ment</v>
      </c>
      <c r="DK6" s="104"/>
      <c r="DL6" s="106" t="str">
        <f>DF6</f>
        <v>RD p.a%</v>
      </c>
      <c r="DM6" s="106" t="str">
        <f>DG6</f>
        <v>2015 Level</v>
      </c>
      <c r="DN6" s="106" t="str">
        <f>DH6</f>
        <v>Net Change</v>
      </c>
      <c r="DO6" s="106" t="str">
        <f>DI6</f>
        <v>Replace-ment Demand</v>
      </c>
      <c r="DP6" s="106" t="str">
        <f>DJ6</f>
        <v>Total Require-ment</v>
      </c>
    </row>
    <row r="8" spans="1:120" x14ac:dyDescent="0.2">
      <c r="A8" s="91" t="str">
        <f>name!B4</f>
        <v>Agriculture</v>
      </c>
      <c r="B8" s="40">
        <f>IF(C8&gt;0,((1+(E8/C8))^(1/($A$101-$A$100))-1)*100,0)</f>
        <v>3.6286528043839583</v>
      </c>
      <c r="C8" s="11">
        <v>55.936999999999848</v>
      </c>
      <c r="D8" s="94">
        <v>-6.9799999999999773</v>
      </c>
      <c r="E8" s="94">
        <v>23.953969842292668</v>
      </c>
      <c r="F8" s="94">
        <f>SUM(D8:E8)</f>
        <v>16.973969842292689</v>
      </c>
      <c r="G8" s="94"/>
      <c r="H8" s="40">
        <f>IF(I8&gt;0,((1+(K8/I8))^(1/($A$101-$A$100))-1)*100,0)</f>
        <v>3.5263839839017708</v>
      </c>
      <c r="I8" s="94">
        <v>17.246149343314809</v>
      </c>
      <c r="J8" s="94">
        <v>-6.8895887133768028</v>
      </c>
      <c r="K8" s="94">
        <v>7.1433335785126539</v>
      </c>
      <c r="L8" s="94">
        <f>SUM(J8:K8)</f>
        <v>0.25374486513585115</v>
      </c>
      <c r="N8" s="40">
        <f>IF(O8&gt;0,((1+(Q8/O8))^(1/($A$101-$A$100))-1)*100,0)</f>
        <v>3.688575763403712</v>
      </c>
      <c r="O8" s="94">
        <v>26.89476620234856</v>
      </c>
      <c r="P8" s="94">
        <v>-1.7755328024279793</v>
      </c>
      <c r="Q8" s="94">
        <v>11.739873371498375</v>
      </c>
      <c r="R8" s="94">
        <f>SUM(P8:Q8)</f>
        <v>9.9643405690703943</v>
      </c>
      <c r="S8" s="107"/>
      <c r="T8" s="40">
        <f>IF(U8&gt;0,((1+(W8/U8))^(1/($A$101-$A$100))-1)*100,0)</f>
        <v>3.6405249613346236</v>
      </c>
      <c r="U8" s="94">
        <v>11.79608445433648</v>
      </c>
      <c r="V8" s="94">
        <v>1.6851215158048036</v>
      </c>
      <c r="W8" s="94">
        <v>5.0707628922816417</v>
      </c>
      <c r="X8" s="94">
        <f>SUM(V8:W8)</f>
        <v>6.7558844080864455</v>
      </c>
      <c r="Y8" s="91" t="str">
        <f t="shared" ref="Y8:Y48" si="0">A8</f>
        <v>Agriculture</v>
      </c>
      <c r="Z8" s="40">
        <f>IF(AA8&gt;0,((1+(AC8/AA8))^(1/($A$101-$A$100))-1)*100,0)</f>
        <v>3.2278133961415545</v>
      </c>
      <c r="AA8" s="11">
        <v>4.3826960714462242</v>
      </c>
      <c r="AB8" s="94">
        <v>3.8928451595904385</v>
      </c>
      <c r="AC8" s="94">
        <v>1.6388586204918438</v>
      </c>
      <c r="AD8" s="94">
        <f>SUM(AB8:AC8)</f>
        <v>5.5317037800822826</v>
      </c>
      <c r="AE8" s="94"/>
      <c r="AF8" s="40">
        <f>IF(AG8&gt;0,((1+(AI8/AG8))^(1/($A$101-$A$100))-1)*100,0)</f>
        <v>3.7281488295962228</v>
      </c>
      <c r="AG8" s="94">
        <v>0.36786575366769064</v>
      </c>
      <c r="AH8" s="94">
        <v>0.72586367094203585</v>
      </c>
      <c r="AI8" s="94">
        <v>0.16259790102888269</v>
      </c>
      <c r="AJ8" s="94">
        <f>SUM(AH8:AI8)</f>
        <v>0.88846157197091857</v>
      </c>
      <c r="AL8" s="40">
        <f>IF(AM8&gt;0,((1+(AO8/AM8))^(1/($A$101-$A$100))-1)*100,0)</f>
        <v>3.4098436752145078</v>
      </c>
      <c r="AM8" s="94">
        <v>1.6324139933768864</v>
      </c>
      <c r="AN8" s="94">
        <v>2.2923856880061342</v>
      </c>
      <c r="AO8" s="94">
        <v>0.65028751093123516</v>
      </c>
      <c r="AP8" s="94">
        <f>SUM(AN8:AO8)</f>
        <v>2.9426731989373693</v>
      </c>
      <c r="AQ8" s="107"/>
      <c r="AR8" s="40">
        <f>IF(AS8&gt;0,((1+(AU8/AS8))^(1/($A$101-$A$100))-1)*100,0)</f>
        <v>3.0212804601292831</v>
      </c>
      <c r="AS8" s="94">
        <v>2.382416324401647</v>
      </c>
      <c r="AT8" s="94">
        <v>0.87459580064226849</v>
      </c>
      <c r="AU8" s="94">
        <v>0.82597320853172596</v>
      </c>
      <c r="AV8" s="94">
        <f>SUM(AT8:AU8)</f>
        <v>1.7005690091739945</v>
      </c>
      <c r="AW8" s="91" t="str">
        <f>Y8</f>
        <v>Agriculture</v>
      </c>
      <c r="AX8" s="40">
        <f>IF(AY8&gt;0,((1+(BA8/AY8))^(1/($A$101-$A$100))-1)*100,0)</f>
        <v>2.6560490695816119</v>
      </c>
      <c r="AY8" s="11">
        <v>1.9992749386487922</v>
      </c>
      <c r="AZ8" s="94">
        <v>0.50024802314102146</v>
      </c>
      <c r="BA8" s="94">
        <v>0.59919667769333007</v>
      </c>
      <c r="BB8" s="94">
        <f>SUM(AZ8:BA8)</f>
        <v>1.0994447008343515</v>
      </c>
      <c r="BC8" s="94"/>
      <c r="BD8" s="40">
        <f>IF(BE8&gt;0,((1+(BG8/BE8))^(1/($A$101-$A$100))-1)*100,0)</f>
        <v>2.5886964610706498</v>
      </c>
      <c r="BE8" s="94">
        <v>0.35374225719986674</v>
      </c>
      <c r="BF8" s="94">
        <v>0.49967527486298247</v>
      </c>
      <c r="BG8" s="94">
        <v>0.1030114256045692</v>
      </c>
      <c r="BH8" s="94">
        <f>SUM(BF8:BG8)</f>
        <v>0.60268670046755168</v>
      </c>
      <c r="BJ8" s="40">
        <f>IF(BK8&gt;0,((1+(BM8/BK8))^(1/($A$101-$A$100))-1)*100,0)</f>
        <v>2.6156756899814892</v>
      </c>
      <c r="BK8" s="94">
        <v>0.79083739900797367</v>
      </c>
      <c r="BL8" s="94">
        <v>8.9741026511377109E-2</v>
      </c>
      <c r="BM8" s="94">
        <v>0.2329842080987119</v>
      </c>
      <c r="BN8" s="94">
        <f>SUM(BL8:BM8)</f>
        <v>0.32272523461008901</v>
      </c>
      <c r="BO8" s="107"/>
      <c r="BP8" s="40">
        <f>IF(BQ8&gt;0,((1+(BS8/BQ8))^(1/($A$101-$A$100))-1)*100,0)</f>
        <v>2.7209488084197098</v>
      </c>
      <c r="BQ8" s="94">
        <v>0.85469528244095183</v>
      </c>
      <c r="BR8" s="94">
        <v>-8.91682782333382E-2</v>
      </c>
      <c r="BS8" s="94">
        <v>0.26320104399004901</v>
      </c>
      <c r="BT8" s="94">
        <f>SUM(BR8:BS8)</f>
        <v>0.17403276575671081</v>
      </c>
      <c r="BU8" s="91" t="str">
        <f>AW8</f>
        <v>Agriculture</v>
      </c>
      <c r="BV8" s="40">
        <f>IF(BW8&gt;0,((1+(BY8/BW8))^(1/($A$101-$A$100))-1)*100,0)</f>
        <v>4.0147443282656514</v>
      </c>
      <c r="BW8" s="11">
        <v>39.351032099647234</v>
      </c>
      <c r="BX8" s="94">
        <v>-10.192568070379561</v>
      </c>
      <c r="BY8" s="94">
        <v>18.980742173027217</v>
      </c>
      <c r="BZ8" s="94">
        <f>SUM(BX8:BY8)</f>
        <v>8.7881741026476554</v>
      </c>
      <c r="CA8" s="94"/>
      <c r="CB8" s="40">
        <f>IF(CC8&gt;0,((1+(CE8/CC8))^(1/($A$101-$A$100))-1)*100,0)</f>
        <v>3.9264502862225381</v>
      </c>
      <c r="CC8" s="94">
        <v>12.261822191887621</v>
      </c>
      <c r="CD8" s="94">
        <v>-6.5032966118226403</v>
      </c>
      <c r="CE8" s="94">
        <v>5.7607158890505197</v>
      </c>
      <c r="CF8" s="94">
        <f>SUM(CD8:CE8)</f>
        <v>-0.74258072277212062</v>
      </c>
      <c r="CH8" s="40">
        <f>IF(CI8&gt;0,((1+(CK8/CI8))^(1/($A$101-$A$100))-1)*100,0)</f>
        <v>3.9924360846625317</v>
      </c>
      <c r="CI8" s="94">
        <v>20.383214444648981</v>
      </c>
      <c r="CJ8" s="94">
        <v>-4.2877513599355161</v>
      </c>
      <c r="CK8" s="94">
        <v>9.7669852444241734</v>
      </c>
      <c r="CL8" s="94">
        <f>SUM(CJ8:CK8)</f>
        <v>5.4792338844886572</v>
      </c>
      <c r="CM8" s="107"/>
      <c r="CN8" s="40">
        <f>IF(CO8&gt;0,((1+(CQ8/CO8))^(1/($A$101-$A$100))-1)*100,0)</f>
        <v>4.2410858263209894</v>
      </c>
      <c r="CO8" s="94">
        <v>6.7059954631106375</v>
      </c>
      <c r="CP8" s="94">
        <v>0.59847990137859675</v>
      </c>
      <c r="CQ8" s="94">
        <v>3.4530410395525251</v>
      </c>
      <c r="CR8" s="94">
        <f>SUM(CP8:CQ8)</f>
        <v>4.0515209409311215</v>
      </c>
      <c r="CS8" s="91" t="str">
        <f>BU8</f>
        <v>Agriculture</v>
      </c>
      <c r="CT8" s="40">
        <f>IF(CU8&gt;0,((1+(CW8/CU8))^(1/($A$101-$A$100))-1)*100,0)</f>
        <v>2.4032187492160517</v>
      </c>
      <c r="CU8" s="11">
        <v>10.203996890257596</v>
      </c>
      <c r="CV8" s="94">
        <v>-1.1805251123518785</v>
      </c>
      <c r="CW8" s="94">
        <v>2.7351723710802771</v>
      </c>
      <c r="CX8" s="94">
        <f>SUM(CV8:CW8)</f>
        <v>1.5546472587283986</v>
      </c>
      <c r="CY8" s="94"/>
      <c r="CZ8" s="40">
        <f>IF(DA8&gt;0,((1+(DC8/DA8))^(1/($A$101-$A$100))-1)*100,0)</f>
        <v>2.3545977595102796</v>
      </c>
      <c r="DA8" s="94">
        <v>4.2627191405596321</v>
      </c>
      <c r="DB8" s="94">
        <v>-1.6118310473591806</v>
      </c>
      <c r="DC8" s="94">
        <v>1.1170083628286818</v>
      </c>
      <c r="DD8" s="94">
        <f>SUM(DB8:DC8)</f>
        <v>-0.49482268453049882</v>
      </c>
      <c r="DF8" s="40">
        <f>IF(DG8&gt;0,((1+(DI8/DG8))^(1/($A$101-$A$100))-1)*100,0)</f>
        <v>2.3908685473913449</v>
      </c>
      <c r="DG8" s="94">
        <v>4.088300365314721</v>
      </c>
      <c r="DH8" s="94">
        <v>0.13009184299002535</v>
      </c>
      <c r="DI8" s="94">
        <v>1.0896164080442534</v>
      </c>
      <c r="DJ8" s="94">
        <f>SUM(DH8:DI8)</f>
        <v>1.2197082510342787</v>
      </c>
      <c r="DK8" s="107"/>
      <c r="DL8" s="40">
        <f>IF(DM8&gt;0,((1+(DO8/DM8))^(1/($A$101-$A$100))-1)*100,0)</f>
        <v>2.5412252196502561</v>
      </c>
      <c r="DM8" s="94">
        <v>1.8529773843832451</v>
      </c>
      <c r="DN8" s="94">
        <v>0.30121409201727667</v>
      </c>
      <c r="DO8" s="94">
        <v>0.52854760020734193</v>
      </c>
      <c r="DP8" s="94">
        <f>SUM(DN8:DO8)</f>
        <v>0.8297616922246186</v>
      </c>
    </row>
    <row r="9" spans="1:120" x14ac:dyDescent="0.2">
      <c r="A9" s="91" t="str">
        <f>name!B5</f>
        <v>Mining and quarrying</v>
      </c>
      <c r="B9" s="40">
        <f t="shared" ref="B9:B50" si="1">IF(C9&gt;0,((1+(E9/C9))^(1/($A$101-$A$100))-1)*100,0)</f>
        <v>2.5879456250919697</v>
      </c>
      <c r="C9" s="11">
        <v>2.8879999999999906</v>
      </c>
      <c r="D9" s="94">
        <v>0.31300000000000278</v>
      </c>
      <c r="E9" s="94">
        <v>0.84072640567762824</v>
      </c>
      <c r="F9" s="94">
        <f t="shared" ref="F9:F50" si="2">SUM(D9:E9)</f>
        <v>1.1537264056776311</v>
      </c>
      <c r="G9" s="94"/>
      <c r="H9" s="40">
        <f t="shared" ref="H9:H50" si="3">IF(I9&gt;0,((1+(K9/I9))^(1/($A$101-$A$100))-1)*100,0)</f>
        <v>2.4436532378282472</v>
      </c>
      <c r="I9" s="94">
        <v>0.56134327419487429</v>
      </c>
      <c r="J9" s="94">
        <v>-0.21770904065899815</v>
      </c>
      <c r="K9" s="94">
        <v>0.15328319439040927</v>
      </c>
      <c r="L9" s="94">
        <f t="shared" ref="L9:L48" si="4">SUM(J9:K9)</f>
        <v>-6.4425846268588882E-2</v>
      </c>
      <c r="N9" s="40">
        <f t="shared" ref="N9:N50" si="5">IF(O9&gt;0,((1+(Q9/O9))^(1/($A$101-$A$100))-1)*100,0)</f>
        <v>2.5068914334568815</v>
      </c>
      <c r="O9" s="94">
        <v>1.5400906331410087</v>
      </c>
      <c r="P9" s="94">
        <v>0.28375808682996728</v>
      </c>
      <c r="Q9" s="94">
        <v>0.43268145633424426</v>
      </c>
      <c r="R9" s="94">
        <f t="shared" ref="R9:R48" si="6">SUM(P9:Q9)</f>
        <v>0.71643954316421155</v>
      </c>
      <c r="S9" s="107"/>
      <c r="T9" s="40">
        <f t="shared" ref="T9:T50" si="7">IF(U9&gt;0,((1+(W9/U9))^(1/($A$101-$A$100))-1)*100,0)</f>
        <v>2.8454839589988623</v>
      </c>
      <c r="U9" s="94">
        <v>0.78656609266410804</v>
      </c>
      <c r="V9" s="94">
        <v>0.24695095382903356</v>
      </c>
      <c r="W9" s="94">
        <v>0.25476175495297482</v>
      </c>
      <c r="X9" s="94">
        <f t="shared" ref="X9:X48" si="8">SUM(V9:W9)</f>
        <v>0.50171270878200835</v>
      </c>
      <c r="Y9" s="91" t="str">
        <f t="shared" si="0"/>
        <v>Mining and quarrying</v>
      </c>
      <c r="Z9" s="40">
        <f t="shared" ref="Z9:Z48" si="9">IF(AA9&gt;0,((1+(AC9/AA9))^(1/($A$101-$A$100))-1)*100,0)</f>
        <v>2.8484964339744012</v>
      </c>
      <c r="AA9" s="11">
        <v>0.91916274125036446</v>
      </c>
      <c r="AB9" s="94">
        <v>0.31532613098932155</v>
      </c>
      <c r="AC9" s="94">
        <v>0.29806511305958167</v>
      </c>
      <c r="AD9" s="94">
        <f t="shared" ref="AD9:AD48" si="10">SUM(AB9:AC9)</f>
        <v>0.61339124404890322</v>
      </c>
      <c r="AE9" s="94"/>
      <c r="AF9" s="40">
        <f t="shared" ref="AF9:AF48" si="11">IF(AG9&gt;0,((1+(AI9/AG9))^(1/($A$101-$A$100))-1)*100,0)</f>
        <v>2.5647482470575023</v>
      </c>
      <c r="AG9" s="94">
        <v>6.0971942881735838E-2</v>
      </c>
      <c r="AH9" s="94">
        <v>-2.5168577316816716E-2</v>
      </c>
      <c r="AI9" s="94">
        <v>1.7571732105538661E-2</v>
      </c>
      <c r="AJ9" s="94">
        <f t="shared" ref="AJ9:AJ48" si="12">SUM(AH9:AI9)</f>
        <v>-7.5968452112780555E-3</v>
      </c>
      <c r="AL9" s="40">
        <f t="shared" ref="AL9:AL48" si="13">IF(AM9&gt;0,((1+(AO9/AM9))^(1/($A$101-$A$100))-1)*100,0)</f>
        <v>2.6969613560046124</v>
      </c>
      <c r="AM9" s="94">
        <v>0.23935227172586462</v>
      </c>
      <c r="AN9" s="94">
        <v>0.14142536362746669</v>
      </c>
      <c r="AO9" s="94">
        <v>7.2977576857019638E-2</v>
      </c>
      <c r="AP9" s="94">
        <f t="shared" ref="AP9:AP48" si="14">SUM(AN9:AO9)</f>
        <v>0.21440294048448633</v>
      </c>
      <c r="AQ9" s="107"/>
      <c r="AR9" s="40">
        <f t="shared" ref="AR9:AR48" si="15">IF(AS9&gt;0,((1+(AU9/AS9))^(1/($A$101-$A$100))-1)*100,0)</f>
        <v>2.9340110632854799</v>
      </c>
      <c r="AS9" s="94">
        <v>0.61883852664276406</v>
      </c>
      <c r="AT9" s="94">
        <v>0.19906934467867154</v>
      </c>
      <c r="AU9" s="94">
        <v>0.20751580409702336</v>
      </c>
      <c r="AV9" s="94">
        <f t="shared" ref="AV9:AV48" si="16">SUM(AT9:AU9)</f>
        <v>0.4065851487756949</v>
      </c>
      <c r="AW9" s="91" t="str">
        <f t="shared" ref="AW9:AW48" si="17">Y9</f>
        <v>Mining and quarrying</v>
      </c>
      <c r="AX9" s="40">
        <f t="shared" ref="AX9:AX48" si="18">IF(AY9&gt;0,((1+(BA9/AY9))^(1/($A$101-$A$100))-1)*100,0)</f>
        <v>2.6726206587082579</v>
      </c>
      <c r="AY9" s="11">
        <v>0.3067194252346826</v>
      </c>
      <c r="AZ9" s="94">
        <v>6.8760264538259452E-2</v>
      </c>
      <c r="BA9" s="94">
        <v>9.2569950318502167E-2</v>
      </c>
      <c r="BB9" s="94">
        <f t="shared" ref="BB9:BB48" si="19">SUM(AZ9:BA9)</f>
        <v>0.16133021485676163</v>
      </c>
      <c r="BC9" s="94"/>
      <c r="BD9" s="40">
        <f t="shared" ref="BD9:BD48" si="20">IF(BE9&gt;0,((1+(BG9/BE9))^(1/($A$101-$A$100))-1)*100,0)</f>
        <v>2.5499994113037161</v>
      </c>
      <c r="BE9" s="94">
        <v>4.8330458353493297E-2</v>
      </c>
      <c r="BF9" s="94">
        <v>1.4245064889474328E-2</v>
      </c>
      <c r="BG9" s="94">
        <v>1.3839064758290531E-2</v>
      </c>
      <c r="BH9" s="94">
        <f t="shared" ref="BH9:BH48" si="21">SUM(BF9:BG9)</f>
        <v>2.8084129647764858E-2</v>
      </c>
      <c r="BJ9" s="40">
        <f t="shared" ref="BJ9:BJ48" si="22">IF(BK9&gt;0,((1+(BM9/BK9))^(1/($A$101-$A$100))-1)*100,0)</f>
        <v>2.6327433470687112</v>
      </c>
      <c r="BK9" s="94">
        <v>0.1678509941154788</v>
      </c>
      <c r="BL9" s="94">
        <v>9.5539598382306211E-3</v>
      </c>
      <c r="BM9" s="94">
        <v>4.9811346068916303E-2</v>
      </c>
      <c r="BN9" s="94">
        <f t="shared" ref="BN9:BN48" si="23">SUM(BL9:BM9)</f>
        <v>5.936530590714692E-2</v>
      </c>
      <c r="BO9" s="107"/>
      <c r="BP9" s="40">
        <f t="shared" ref="BP9:BP48" si="24">IF(BQ9&gt;0,((1+(BS9/BQ9))^(1/($A$101-$A$100))-1)*100,0)</f>
        <v>2.8106890888395686</v>
      </c>
      <c r="BQ9" s="94">
        <v>9.0537972765710545E-2</v>
      </c>
      <c r="BR9" s="94">
        <v>4.4961239810554506E-2</v>
      </c>
      <c r="BS9" s="94">
        <v>2.8919539491295328E-2</v>
      </c>
      <c r="BT9" s="94">
        <f t="shared" ref="BT9:BT48" si="25">SUM(BR9:BS9)</f>
        <v>7.388077930184983E-2</v>
      </c>
      <c r="BU9" s="91" t="str">
        <f t="shared" ref="BU9:BU48" si="26">AW9</f>
        <v>Mining and quarrying</v>
      </c>
      <c r="BV9" s="40">
        <f t="shared" ref="BV9:BV48" si="27">IF(BW9&gt;0,((1+(BY9/BW9))^(1/($A$101-$A$100))-1)*100,0)</f>
        <v>2.4107447061383347</v>
      </c>
      <c r="BW9" s="11">
        <v>1.5632668821604008</v>
      </c>
      <c r="BX9" s="94">
        <v>-0.15103332096346828</v>
      </c>
      <c r="BY9" s="94">
        <v>0.42048964990866566</v>
      </c>
      <c r="BZ9" s="94">
        <f t="shared" ref="BZ9:BZ48" si="28">SUM(BX9:BY9)</f>
        <v>0.26945632894519739</v>
      </c>
      <c r="CA9" s="94"/>
      <c r="CB9" s="40">
        <f t="shared" ref="CB9:CB48" si="29">IF(CC9&gt;0,((1+(CE9/CC9))^(1/($A$101-$A$100))-1)*100,0)</f>
        <v>2.407525741530181</v>
      </c>
      <c r="CC9" s="94">
        <v>0.42499848743780899</v>
      </c>
      <c r="CD9" s="94">
        <v>-0.17974314270981959</v>
      </c>
      <c r="CE9" s="94">
        <v>0.11414717753563779</v>
      </c>
      <c r="CF9" s="94">
        <f t="shared" ref="CF9:CF48" si="30">SUM(CD9:CE9)</f>
        <v>-6.55959651741818E-2</v>
      </c>
      <c r="CH9" s="40">
        <f t="shared" ref="CH9:CH48" si="31">IF(CI9&gt;0,((1+(CK9/CI9))^(1/($A$101-$A$100))-1)*100,0)</f>
        <v>2.4305453687403666</v>
      </c>
      <c r="CI9" s="94">
        <v>1.0610788014669583</v>
      </c>
      <c r="CJ9" s="94">
        <v>2.578945240654381E-2</v>
      </c>
      <c r="CK9" s="94">
        <v>0.28801606100837185</v>
      </c>
      <c r="CL9" s="94">
        <f t="shared" ref="CL9:CL48" si="32">SUM(CJ9:CK9)</f>
        <v>0.31380551341491564</v>
      </c>
      <c r="CM9" s="107"/>
      <c r="CN9" s="40">
        <f t="shared" ref="CN9:CN48" si="33">IF(CO9&gt;0,((1+(CQ9/CO9))^(1/($A$101-$A$100))-1)*100,0)</f>
        <v>2.1531444581060377</v>
      </c>
      <c r="CO9" s="94">
        <v>7.7189593255633515E-2</v>
      </c>
      <c r="CP9" s="94">
        <v>2.9203693398075089E-3</v>
      </c>
      <c r="CQ9" s="94">
        <v>1.8326411364656129E-2</v>
      </c>
      <c r="CR9" s="94">
        <f t="shared" ref="CR9:CR48" si="34">SUM(CP9:CQ9)</f>
        <v>2.1246780704463637E-2</v>
      </c>
      <c r="CS9" s="91" t="str">
        <f t="shared" ref="CS9:CS48" si="35">BU9</f>
        <v>Mining and quarrying</v>
      </c>
      <c r="CT9" s="40">
        <f t="shared" ref="CT9:CT48" si="36">IF(CU9&gt;0,((1+(CW9/CU9))^(1/($A$101-$A$100))-1)*100,0)</f>
        <v>2.6540810004833215</v>
      </c>
      <c r="CU9" s="11">
        <v>9.8850951354543179E-2</v>
      </c>
      <c r="CV9" s="94">
        <v>7.9946925435890021E-2</v>
      </c>
      <c r="CW9" s="94">
        <v>2.9601692390878832E-2</v>
      </c>
      <c r="CX9" s="94">
        <f t="shared" ref="CX9:CX48" si="37">SUM(CV9:CW9)</f>
        <v>0.10954861782676885</v>
      </c>
      <c r="CY9" s="94"/>
      <c r="CZ9" s="40">
        <f t="shared" ref="CZ9:CZ48" si="38">IF(DA9&gt;0,((1+(DC9/DA9))^(1/($A$101-$A$100))-1)*100,0)</f>
        <v>2.5446431599745356</v>
      </c>
      <c r="DA9" s="94">
        <v>2.7042385521836187E-2</v>
      </c>
      <c r="DB9" s="94">
        <v>-2.7042385521836187E-2</v>
      </c>
      <c r="DC9" s="94">
        <v>7.7252199909423136E-3</v>
      </c>
      <c r="DD9" s="94">
        <f t="shared" ref="DD9:DD48" si="39">SUM(DB9:DC9)</f>
        <v>-1.9317165530893875E-2</v>
      </c>
      <c r="DF9" s="40">
        <f t="shared" ref="DF9:DF48" si="40">IF(DG9&gt;0,((1+(DI9/DG9))^(1/($A$101-$A$100))-1)*100,0)</f>
        <v>2.695023478374603</v>
      </c>
      <c r="DG9" s="94">
        <v>7.1808565832706991E-2</v>
      </c>
      <c r="DH9" s="94">
        <v>0.10698931095772621</v>
      </c>
      <c r="DI9" s="94">
        <v>2.1876472399936519E-2</v>
      </c>
      <c r="DJ9" s="94">
        <f t="shared" ref="DJ9:DJ48" si="41">SUM(DH9:DI9)</f>
        <v>0.12886578335766272</v>
      </c>
      <c r="DK9" s="107"/>
      <c r="DL9" s="40">
        <f t="shared" ref="DL9:DL48" si="42">IF(DM9&gt;0,((1+(DO9/DM9))^(1/($A$101-$A$100))-1)*100,0)</f>
        <v>0</v>
      </c>
      <c r="DM9" s="94">
        <v>0</v>
      </c>
      <c r="DN9" s="94">
        <v>0</v>
      </c>
      <c r="DO9" s="94">
        <v>0</v>
      </c>
      <c r="DP9" s="94">
        <f t="shared" ref="DP9:DP48" si="43">SUM(DN9:DO9)</f>
        <v>0</v>
      </c>
    </row>
    <row r="10" spans="1:120" x14ac:dyDescent="0.2">
      <c r="A10" s="91" t="str">
        <f>name!B6</f>
        <v>Food drink and tobacco</v>
      </c>
      <c r="B10" s="40">
        <f t="shared" si="1"/>
        <v>2.4974565282579464</v>
      </c>
      <c r="C10" s="11">
        <v>95.045497362862733</v>
      </c>
      <c r="D10" s="94">
        <v>-5.3306461845042801</v>
      </c>
      <c r="E10" s="94">
        <v>26.590587472903774</v>
      </c>
      <c r="F10" s="94">
        <f t="shared" si="2"/>
        <v>21.259941288399496</v>
      </c>
      <c r="G10" s="94"/>
      <c r="H10" s="40">
        <f t="shared" si="3"/>
        <v>2.284281579929015</v>
      </c>
      <c r="I10" s="94">
        <v>28.557886141186682</v>
      </c>
      <c r="J10" s="94">
        <v>-7.0859124796803128</v>
      </c>
      <c r="K10" s="94">
        <v>7.2365107328119995</v>
      </c>
      <c r="L10" s="94">
        <f t="shared" si="4"/>
        <v>0.15059825313168673</v>
      </c>
      <c r="N10" s="40">
        <f t="shared" si="5"/>
        <v>2.4310099949182096</v>
      </c>
      <c r="O10" s="94">
        <v>47.02342038156808</v>
      </c>
      <c r="P10" s="94">
        <v>2.711005058419897</v>
      </c>
      <c r="Q10" s="94">
        <v>12.766608810353613</v>
      </c>
      <c r="R10" s="94">
        <f t="shared" si="6"/>
        <v>15.47761386877351</v>
      </c>
      <c r="S10" s="107"/>
      <c r="T10" s="40">
        <f t="shared" si="7"/>
        <v>2.9579537866369021</v>
      </c>
      <c r="U10" s="94">
        <v>19.464190840107968</v>
      </c>
      <c r="V10" s="94">
        <v>-0.95573876324386542</v>
      </c>
      <c r="W10" s="94">
        <v>6.5874679297381604</v>
      </c>
      <c r="X10" s="94">
        <f t="shared" si="8"/>
        <v>5.6317291664942948</v>
      </c>
      <c r="Y10" s="91" t="str">
        <f t="shared" si="0"/>
        <v>Food drink and tobacco</v>
      </c>
      <c r="Z10" s="40">
        <f t="shared" si="9"/>
        <v>3.1266976916814349</v>
      </c>
      <c r="AA10" s="11">
        <v>21.34292323603459</v>
      </c>
      <c r="AB10" s="94">
        <v>-5.4147809911053627E-2</v>
      </c>
      <c r="AC10" s="94">
        <v>7.6949639013979727</v>
      </c>
      <c r="AD10" s="94">
        <f t="shared" si="10"/>
        <v>7.6408160914869194</v>
      </c>
      <c r="AE10" s="94"/>
      <c r="AF10" s="40">
        <f t="shared" si="11"/>
        <v>3.009575633743844</v>
      </c>
      <c r="AG10" s="94">
        <v>1.8592043302087065</v>
      </c>
      <c r="AH10" s="94">
        <v>-0.39908371390288427</v>
      </c>
      <c r="AI10" s="94">
        <v>0.64173468922880073</v>
      </c>
      <c r="AJ10" s="94">
        <f t="shared" si="12"/>
        <v>0.24265097532591645</v>
      </c>
      <c r="AL10" s="40">
        <f t="shared" si="13"/>
        <v>3.0478152738149689</v>
      </c>
      <c r="AM10" s="94">
        <v>7.0494146420033079</v>
      </c>
      <c r="AN10" s="94">
        <v>0.77249580975616283</v>
      </c>
      <c r="AO10" s="94">
        <v>2.4684810982893786</v>
      </c>
      <c r="AP10" s="94">
        <f t="shared" si="14"/>
        <v>3.2409769080455413</v>
      </c>
      <c r="AQ10" s="107"/>
      <c r="AR10" s="40">
        <f t="shared" si="15"/>
        <v>3.1885211674371972</v>
      </c>
      <c r="AS10" s="94">
        <v>12.434304263822574</v>
      </c>
      <c r="AT10" s="94">
        <v>-0.42755990576433228</v>
      </c>
      <c r="AU10" s="94">
        <v>4.5847481138797939</v>
      </c>
      <c r="AV10" s="94">
        <f t="shared" si="16"/>
        <v>4.1571882081154614</v>
      </c>
      <c r="AW10" s="91" t="str">
        <f t="shared" si="17"/>
        <v>Food drink and tobacco</v>
      </c>
      <c r="AX10" s="40">
        <f t="shared" si="18"/>
        <v>2.5235241914950635</v>
      </c>
      <c r="AY10" s="11">
        <v>17.336358924907866</v>
      </c>
      <c r="AZ10" s="94">
        <v>-0.12728232767007444</v>
      </c>
      <c r="BA10" s="94">
        <v>4.9066304279196737</v>
      </c>
      <c r="BB10" s="94">
        <f t="shared" si="19"/>
        <v>4.7793481002495994</v>
      </c>
      <c r="BC10" s="94"/>
      <c r="BD10" s="40">
        <f t="shared" si="20"/>
        <v>2.4363702313833224</v>
      </c>
      <c r="BE10" s="94">
        <v>3.9959783673326772</v>
      </c>
      <c r="BF10" s="94">
        <v>-0.83348086360043461</v>
      </c>
      <c r="BG10" s="94">
        <v>1.0875463509002989</v>
      </c>
      <c r="BH10" s="94">
        <f t="shared" si="21"/>
        <v>0.25406548729986433</v>
      </c>
      <c r="BJ10" s="40">
        <f t="shared" si="22"/>
        <v>2.5027216432235821</v>
      </c>
      <c r="BK10" s="94">
        <v>10.073083832716854</v>
      </c>
      <c r="BL10" s="94">
        <v>1.512717786678091</v>
      </c>
      <c r="BM10" s="94">
        <v>2.8247393034036694</v>
      </c>
      <c r="BN10" s="94">
        <f t="shared" si="23"/>
        <v>4.3374570900817604</v>
      </c>
      <c r="BO10" s="107"/>
      <c r="BP10" s="40">
        <f t="shared" si="24"/>
        <v>2.6925252680388922</v>
      </c>
      <c r="BQ10" s="94">
        <v>3.2672967248583333</v>
      </c>
      <c r="BR10" s="94">
        <v>-0.80651925074773079</v>
      </c>
      <c r="BS10" s="94">
        <v>0.9943447736157055</v>
      </c>
      <c r="BT10" s="94">
        <f t="shared" si="25"/>
        <v>0.18782552286797471</v>
      </c>
      <c r="BU10" s="91" t="str">
        <f t="shared" si="26"/>
        <v>Food drink and tobacco</v>
      </c>
      <c r="BV10" s="40">
        <f t="shared" si="27"/>
        <v>2.2441836744385046</v>
      </c>
      <c r="BW10" s="11">
        <v>49.598564072912936</v>
      </c>
      <c r="BX10" s="94">
        <v>-3.6306790931946717</v>
      </c>
      <c r="BY10" s="94">
        <v>12.324896934512662</v>
      </c>
      <c r="BZ10" s="94">
        <f t="shared" si="28"/>
        <v>8.6942178413179896</v>
      </c>
      <c r="CA10" s="94"/>
      <c r="CB10" s="40">
        <f t="shared" si="29"/>
        <v>2.1888664422200721</v>
      </c>
      <c r="CC10" s="94">
        <v>19.525240563492041</v>
      </c>
      <c r="CD10" s="94">
        <v>-4.8301674544914821</v>
      </c>
      <c r="CE10" s="94">
        <v>4.7203188998071877</v>
      </c>
      <c r="CF10" s="94">
        <f t="shared" si="30"/>
        <v>-0.10984855468429444</v>
      </c>
      <c r="CH10" s="40">
        <f t="shared" si="31"/>
        <v>2.2613705769742198</v>
      </c>
      <c r="CI10" s="94">
        <v>26.537310513901321</v>
      </c>
      <c r="CJ10" s="94">
        <v>0.90730570853380754</v>
      </c>
      <c r="CK10" s="94">
        <v>6.6500717395964477</v>
      </c>
      <c r="CL10" s="94">
        <f t="shared" si="32"/>
        <v>7.5573774481302554</v>
      </c>
      <c r="CM10" s="107"/>
      <c r="CN10" s="40">
        <f t="shared" si="33"/>
        <v>2.4184670868230285</v>
      </c>
      <c r="CO10" s="94">
        <v>3.5360129955195734</v>
      </c>
      <c r="CP10" s="94">
        <v>0.29218265276300265</v>
      </c>
      <c r="CQ10" s="94">
        <v>0.95450629510902829</v>
      </c>
      <c r="CR10" s="94">
        <f t="shared" si="34"/>
        <v>1.2466889478720309</v>
      </c>
      <c r="CS10" s="91" t="str">
        <f t="shared" si="35"/>
        <v>Food drink and tobacco</v>
      </c>
      <c r="CT10" s="40">
        <f t="shared" si="36"/>
        <v>2.2228446109720412</v>
      </c>
      <c r="CU10" s="11">
        <v>6.7676511290073389</v>
      </c>
      <c r="CV10" s="94">
        <v>-1.5185369537284803</v>
      </c>
      <c r="CW10" s="94">
        <v>1.6640962090734628</v>
      </c>
      <c r="CX10" s="94">
        <f t="shared" si="37"/>
        <v>0.14555925534498249</v>
      </c>
      <c r="CY10" s="94"/>
      <c r="CZ10" s="40">
        <f t="shared" si="38"/>
        <v>2.2373089799467394</v>
      </c>
      <c r="DA10" s="94">
        <v>3.1774628801532612</v>
      </c>
      <c r="DB10" s="94">
        <v>-1.0231804476855118</v>
      </c>
      <c r="DC10" s="94">
        <v>0.78691079287571253</v>
      </c>
      <c r="DD10" s="94">
        <f t="shared" si="39"/>
        <v>-0.23626965480979922</v>
      </c>
      <c r="DF10" s="40">
        <f t="shared" si="40"/>
        <v>2.2136668085149358</v>
      </c>
      <c r="DG10" s="94">
        <v>3.3636113929465901</v>
      </c>
      <c r="DH10" s="94">
        <v>-0.48151424654816377</v>
      </c>
      <c r="DI10" s="94">
        <v>0.82331666906411805</v>
      </c>
      <c r="DJ10" s="94">
        <f t="shared" si="41"/>
        <v>0.34180242251595427</v>
      </c>
      <c r="DK10" s="107"/>
      <c r="DL10" s="40">
        <f t="shared" si="42"/>
        <v>2.1558658032539757</v>
      </c>
      <c r="DM10" s="94">
        <v>0.22657685590748641</v>
      </c>
      <c r="DN10" s="94">
        <v>-1.3842259494804953E-2</v>
      </c>
      <c r="DO10" s="94">
        <v>5.3868747133632294E-2</v>
      </c>
      <c r="DP10" s="94">
        <f t="shared" si="43"/>
        <v>4.0026487638827338E-2</v>
      </c>
    </row>
    <row r="11" spans="1:120" x14ac:dyDescent="0.2">
      <c r="A11" s="91" t="str">
        <f>name!B7</f>
        <v>Engineering</v>
      </c>
      <c r="B11" s="40">
        <f t="shared" si="1"/>
        <v>2.3974240716110096</v>
      </c>
      <c r="C11" s="11">
        <v>26.682999999999964</v>
      </c>
      <c r="D11" s="94">
        <v>2.1359999999999681</v>
      </c>
      <c r="E11" s="94">
        <v>7.1332131341977885</v>
      </c>
      <c r="F11" s="94">
        <f t="shared" si="2"/>
        <v>9.2692131341977557</v>
      </c>
      <c r="G11" s="94"/>
      <c r="H11" s="40">
        <f t="shared" si="3"/>
        <v>2.1428388473321736</v>
      </c>
      <c r="I11" s="94">
        <v>7.7290127378228242</v>
      </c>
      <c r="J11" s="94">
        <v>-0.85964814638885922</v>
      </c>
      <c r="K11" s="94">
        <v>1.8253838239565419</v>
      </c>
      <c r="L11" s="94">
        <f t="shared" si="4"/>
        <v>0.96573567756768264</v>
      </c>
      <c r="N11" s="40">
        <f t="shared" si="5"/>
        <v>2.2704847424125818</v>
      </c>
      <c r="O11" s="94">
        <v>12.694060205112665</v>
      </c>
      <c r="P11" s="94">
        <v>1.750762648197131</v>
      </c>
      <c r="Q11" s="94">
        <v>3.1952007619921963</v>
      </c>
      <c r="R11" s="94">
        <f t="shared" si="6"/>
        <v>4.9459634101893268</v>
      </c>
      <c r="S11" s="107"/>
      <c r="T11" s="40">
        <f t="shared" si="7"/>
        <v>2.9505987528880562</v>
      </c>
      <c r="U11" s="94">
        <v>6.2599270570644734</v>
      </c>
      <c r="V11" s="94">
        <v>1.2448854981916966</v>
      </c>
      <c r="W11" s="94">
        <v>2.112628548249051</v>
      </c>
      <c r="X11" s="94">
        <f t="shared" si="8"/>
        <v>3.3575140464407474</v>
      </c>
      <c r="Y11" s="91" t="str">
        <f t="shared" si="0"/>
        <v>Engineering</v>
      </c>
      <c r="Z11" s="40">
        <f t="shared" si="9"/>
        <v>2.9893837262348733</v>
      </c>
      <c r="AA11" s="11">
        <v>6.5504971882441936</v>
      </c>
      <c r="AB11" s="94">
        <v>0.7414598842641813</v>
      </c>
      <c r="AC11" s="94">
        <v>2.243753846340574</v>
      </c>
      <c r="AD11" s="94">
        <f t="shared" si="10"/>
        <v>2.9852137306047553</v>
      </c>
      <c r="AE11" s="94"/>
      <c r="AF11" s="40">
        <f t="shared" si="11"/>
        <v>2.6484123810696314</v>
      </c>
      <c r="AG11" s="94">
        <v>0.62605054755772271</v>
      </c>
      <c r="AH11" s="94">
        <v>-4.0708044204614172E-2</v>
      </c>
      <c r="AI11" s="94">
        <v>0.18702662236296508</v>
      </c>
      <c r="AJ11" s="94">
        <f t="shared" si="12"/>
        <v>0.14631857815835092</v>
      </c>
      <c r="AL11" s="40">
        <f t="shared" si="13"/>
        <v>2.8200029669356086</v>
      </c>
      <c r="AM11" s="94">
        <v>1.9725323922654858</v>
      </c>
      <c r="AN11" s="94">
        <v>5.7186726837409781E-2</v>
      </c>
      <c r="AO11" s="94">
        <v>0.63242284192617815</v>
      </c>
      <c r="AP11" s="94">
        <f t="shared" si="14"/>
        <v>0.68960956876358792</v>
      </c>
      <c r="AQ11" s="107"/>
      <c r="AR11" s="40">
        <f t="shared" si="15"/>
        <v>3.1257074628290971</v>
      </c>
      <c r="AS11" s="94">
        <v>3.9519142484209846</v>
      </c>
      <c r="AT11" s="94">
        <v>0.72498120163138557</v>
      </c>
      <c r="AU11" s="94">
        <v>1.4243043820514307</v>
      </c>
      <c r="AV11" s="94">
        <f t="shared" si="16"/>
        <v>2.1492855836828162</v>
      </c>
      <c r="AW11" s="91" t="str">
        <f t="shared" si="17"/>
        <v>Engineering</v>
      </c>
      <c r="AX11" s="40">
        <f t="shared" si="18"/>
        <v>2.6610076636430335</v>
      </c>
      <c r="AY11" s="11">
        <v>3.2443503982662985</v>
      </c>
      <c r="AZ11" s="94">
        <v>0.14772454699359541</v>
      </c>
      <c r="BA11" s="94">
        <v>0.97439173559588765</v>
      </c>
      <c r="BB11" s="94">
        <f t="shared" si="19"/>
        <v>1.122116282589483</v>
      </c>
      <c r="BC11" s="94"/>
      <c r="BD11" s="40">
        <f t="shared" si="20"/>
        <v>2.5177966298219889</v>
      </c>
      <c r="BE11" s="94">
        <v>0.76061810370622518</v>
      </c>
      <c r="BF11" s="94">
        <v>-8.6613615501482388E-2</v>
      </c>
      <c r="BG11" s="94">
        <v>0.21472921204151713</v>
      </c>
      <c r="BH11" s="94">
        <f t="shared" si="21"/>
        <v>0.12811559654003474</v>
      </c>
      <c r="BJ11" s="40">
        <f t="shared" si="22"/>
        <v>2.6414518363808703</v>
      </c>
      <c r="BK11" s="94">
        <v>1.3612202522776553</v>
      </c>
      <c r="BL11" s="94">
        <v>-9.1457270541903425E-3</v>
      </c>
      <c r="BM11" s="94">
        <v>0.40545313032121294</v>
      </c>
      <c r="BN11" s="94">
        <f t="shared" si="23"/>
        <v>0.39630740326702257</v>
      </c>
      <c r="BO11" s="107"/>
      <c r="BP11" s="40">
        <f t="shared" si="24"/>
        <v>2.7805073211446985</v>
      </c>
      <c r="BQ11" s="94">
        <v>1.122512042282418</v>
      </c>
      <c r="BR11" s="94">
        <v>0.24348388954926817</v>
      </c>
      <c r="BS11" s="94">
        <v>0.35420939323315764</v>
      </c>
      <c r="BT11" s="94">
        <f t="shared" si="25"/>
        <v>0.59769328278242584</v>
      </c>
      <c r="BU11" s="91" t="str">
        <f t="shared" si="26"/>
        <v>Engineering</v>
      </c>
      <c r="BV11" s="40">
        <f t="shared" si="27"/>
        <v>2.0986442989320508</v>
      </c>
      <c r="BW11" s="11">
        <v>15.307841962071205</v>
      </c>
      <c r="BX11" s="94">
        <v>0.41022057712335003</v>
      </c>
      <c r="BY11" s="94">
        <v>3.5335820893340286</v>
      </c>
      <c r="BZ11" s="94">
        <f t="shared" si="28"/>
        <v>3.9438026664573789</v>
      </c>
      <c r="CA11" s="94"/>
      <c r="CB11" s="40">
        <f t="shared" si="29"/>
        <v>2.0210770566263747</v>
      </c>
      <c r="CC11" s="94">
        <v>5.8033468392667986</v>
      </c>
      <c r="CD11" s="94">
        <v>-0.34664652297871712</v>
      </c>
      <c r="CE11" s="94">
        <v>1.2855322454287512</v>
      </c>
      <c r="CF11" s="94">
        <f t="shared" si="30"/>
        <v>0.9388857224500341</v>
      </c>
      <c r="CH11" s="40">
        <f t="shared" si="31"/>
        <v>2.0955416811876404</v>
      </c>
      <c r="CI11" s="94">
        <v>8.3881190579667813</v>
      </c>
      <c r="CJ11" s="94">
        <v>0.46878350843430538</v>
      </c>
      <c r="CK11" s="94">
        <v>1.9331324937867693</v>
      </c>
      <c r="CL11" s="94">
        <f t="shared" si="32"/>
        <v>2.4019160022210748</v>
      </c>
      <c r="CM11" s="107"/>
      <c r="CN11" s="40">
        <f t="shared" si="33"/>
        <v>2.5160385347847258</v>
      </c>
      <c r="CO11" s="94">
        <v>1.1163760648376253</v>
      </c>
      <c r="CP11" s="94">
        <v>0.28808359166776182</v>
      </c>
      <c r="CQ11" s="94">
        <v>0.31491735011850813</v>
      </c>
      <c r="CR11" s="94">
        <f t="shared" si="34"/>
        <v>0.60300094178626995</v>
      </c>
      <c r="CS11" s="91" t="str">
        <f t="shared" si="35"/>
        <v>Engineering</v>
      </c>
      <c r="CT11" s="40">
        <f t="shared" si="36"/>
        <v>2.1859392974191483</v>
      </c>
      <c r="CU11" s="11">
        <v>1.5803104514182647</v>
      </c>
      <c r="CV11" s="94">
        <v>0.83659499161884154</v>
      </c>
      <c r="CW11" s="94">
        <v>0.38148546292729896</v>
      </c>
      <c r="CX11" s="94">
        <f t="shared" si="37"/>
        <v>1.2180804545461406</v>
      </c>
      <c r="CY11" s="94"/>
      <c r="CZ11" s="40">
        <f t="shared" si="38"/>
        <v>2.307194889511166</v>
      </c>
      <c r="DA11" s="94">
        <v>0.53899724729207821</v>
      </c>
      <c r="DB11" s="94">
        <v>-0.3856799637040455</v>
      </c>
      <c r="DC11" s="94">
        <v>0.13809574412330866</v>
      </c>
      <c r="DD11" s="94">
        <f t="shared" si="39"/>
        <v>-0.24758421958073684</v>
      </c>
      <c r="DF11" s="40">
        <f t="shared" si="40"/>
        <v>2.0967447677556317</v>
      </c>
      <c r="DG11" s="94">
        <v>0.97218850260274148</v>
      </c>
      <c r="DH11" s="94">
        <v>1.2339381399796061</v>
      </c>
      <c r="DI11" s="94">
        <v>0.22419229595803594</v>
      </c>
      <c r="DJ11" s="94">
        <f t="shared" si="41"/>
        <v>1.4581304359376421</v>
      </c>
      <c r="DK11" s="107"/>
      <c r="DL11" s="40">
        <f t="shared" si="42"/>
        <v>2.4810635165479544</v>
      </c>
      <c r="DM11" s="94">
        <v>6.9124701523444784E-2</v>
      </c>
      <c r="DN11" s="94">
        <v>-1.1663184656719028E-2</v>
      </c>
      <c r="DO11" s="94">
        <v>1.9197422845954378E-2</v>
      </c>
      <c r="DP11" s="94">
        <f t="shared" si="43"/>
        <v>7.53423818923535E-3</v>
      </c>
    </row>
    <row r="12" spans="1:120" x14ac:dyDescent="0.2">
      <c r="A12" s="91" t="str">
        <f>name!B8</f>
        <v>Rest of manufacturing</v>
      </c>
      <c r="B12" s="40">
        <f t="shared" si="1"/>
        <v>2.6164350010096316</v>
      </c>
      <c r="C12" s="11">
        <v>42.15199999999993</v>
      </c>
      <c r="D12" s="94">
        <v>-3.3299999999999712</v>
      </c>
      <c r="E12" s="94">
        <v>12.422204390941479</v>
      </c>
      <c r="F12" s="94">
        <f t="shared" si="2"/>
        <v>9.0922043909415073</v>
      </c>
      <c r="G12" s="94"/>
      <c r="H12" s="40">
        <f t="shared" si="3"/>
        <v>2.4469808961299799</v>
      </c>
      <c r="I12" s="94">
        <v>9.6089439679508644</v>
      </c>
      <c r="J12" s="94">
        <v>-2.1975561779706503</v>
      </c>
      <c r="K12" s="94">
        <v>2.6278403106316235</v>
      </c>
      <c r="L12" s="94">
        <f t="shared" si="4"/>
        <v>0.43028413266097321</v>
      </c>
      <c r="N12" s="40">
        <f t="shared" si="5"/>
        <v>2.5333579555699037</v>
      </c>
      <c r="O12" s="94">
        <v>22.575808590792999</v>
      </c>
      <c r="P12" s="94">
        <v>-0.95500589125711122</v>
      </c>
      <c r="Q12" s="94">
        <v>6.4173226387381153</v>
      </c>
      <c r="R12" s="94">
        <f t="shared" si="6"/>
        <v>5.4623167474810037</v>
      </c>
      <c r="S12" s="107"/>
      <c r="T12" s="40">
        <f t="shared" si="7"/>
        <v>2.9608263556274439</v>
      </c>
      <c r="U12" s="94">
        <v>9.9672474412560668</v>
      </c>
      <c r="V12" s="94">
        <v>-0.17743793077220946</v>
      </c>
      <c r="W12" s="94">
        <v>3.3770414415717394</v>
      </c>
      <c r="X12" s="94">
        <f t="shared" si="8"/>
        <v>3.19960351079953</v>
      </c>
      <c r="Y12" s="91" t="str">
        <f t="shared" si="0"/>
        <v>Rest of manufacturing</v>
      </c>
      <c r="Z12" s="40">
        <f t="shared" si="9"/>
        <v>2.9763942733826543</v>
      </c>
      <c r="AA12" s="11">
        <v>10.498945664126412</v>
      </c>
      <c r="AB12" s="94">
        <v>0.34529888283838883</v>
      </c>
      <c r="AC12" s="94">
        <v>3.5784558313106598</v>
      </c>
      <c r="AD12" s="94">
        <f t="shared" si="10"/>
        <v>3.9237547141490485</v>
      </c>
      <c r="AE12" s="94"/>
      <c r="AF12" s="40">
        <f t="shared" si="11"/>
        <v>2.7040649618628176</v>
      </c>
      <c r="AG12" s="94">
        <v>0.75816764967198691</v>
      </c>
      <c r="AH12" s="94">
        <v>-0.14426412804349217</v>
      </c>
      <c r="AI12" s="94">
        <v>0.23184690614128767</v>
      </c>
      <c r="AJ12" s="94">
        <f t="shared" si="12"/>
        <v>8.7582778097795494E-2</v>
      </c>
      <c r="AL12" s="40">
        <f t="shared" si="13"/>
        <v>2.8324908960291717</v>
      </c>
      <c r="AM12" s="94">
        <v>3.7458067354035878</v>
      </c>
      <c r="AN12" s="94">
        <v>-2.1430511128079324E-2</v>
      </c>
      <c r="AO12" s="94">
        <v>1.2069719734322446</v>
      </c>
      <c r="AP12" s="94">
        <f t="shared" si="14"/>
        <v>1.1855414623041653</v>
      </c>
      <c r="AQ12" s="107"/>
      <c r="AR12" s="40">
        <f t="shared" si="15"/>
        <v>3.0991188393576063</v>
      </c>
      <c r="AS12" s="94">
        <v>5.9949712790508363</v>
      </c>
      <c r="AT12" s="94">
        <v>0.51099352200996029</v>
      </c>
      <c r="AU12" s="94">
        <v>2.1396369517371276</v>
      </c>
      <c r="AV12" s="94">
        <f t="shared" si="16"/>
        <v>2.6506304737470878</v>
      </c>
      <c r="AW12" s="91" t="str">
        <f t="shared" si="17"/>
        <v>Rest of manufacturing</v>
      </c>
      <c r="AX12" s="40">
        <f t="shared" si="18"/>
        <v>2.667464938337738</v>
      </c>
      <c r="AY12" s="11">
        <v>4.3775371772570599</v>
      </c>
      <c r="AZ12" s="94">
        <v>-1.2645538867862174</v>
      </c>
      <c r="BA12" s="94">
        <v>1.3183086935944921</v>
      </c>
      <c r="BB12" s="94">
        <f t="shared" si="19"/>
        <v>5.3754806808274713E-2</v>
      </c>
      <c r="BC12" s="94"/>
      <c r="BD12" s="40">
        <f t="shared" si="20"/>
        <v>2.5806373974742502</v>
      </c>
      <c r="BE12" s="94">
        <v>0.50445012564800362</v>
      </c>
      <c r="BF12" s="94">
        <v>-0.13667993756951582</v>
      </c>
      <c r="BG12" s="94">
        <v>0.14638677364194702</v>
      </c>
      <c r="BH12" s="94">
        <f t="shared" si="21"/>
        <v>9.7068360724311964E-3</v>
      </c>
      <c r="BJ12" s="40">
        <f t="shared" si="22"/>
        <v>2.6049115123564892</v>
      </c>
      <c r="BK12" s="94">
        <v>2.2466979729709307</v>
      </c>
      <c r="BL12" s="94">
        <v>-0.58280055442252565</v>
      </c>
      <c r="BM12" s="94">
        <v>0.65883758800710124</v>
      </c>
      <c r="BN12" s="94">
        <f t="shared" si="23"/>
        <v>7.6037033584575586E-2</v>
      </c>
      <c r="BO12" s="107"/>
      <c r="BP12" s="40">
        <f t="shared" si="24"/>
        <v>2.779912687566588</v>
      </c>
      <c r="BQ12" s="94">
        <v>1.6263890786381248</v>
      </c>
      <c r="BR12" s="94">
        <v>-0.54507339479417605</v>
      </c>
      <c r="BS12" s="94">
        <v>0.51308433194544378</v>
      </c>
      <c r="BT12" s="94">
        <f t="shared" si="25"/>
        <v>-3.1989062848732264E-2</v>
      </c>
      <c r="BU12" s="91" t="str">
        <f t="shared" si="26"/>
        <v>Rest of manufacturing</v>
      </c>
      <c r="BV12" s="40">
        <f t="shared" si="27"/>
        <v>2.4731834060013336</v>
      </c>
      <c r="BW12" s="11">
        <v>26.112763020344723</v>
      </c>
      <c r="BX12" s="94">
        <v>-1.8174984546461121</v>
      </c>
      <c r="BY12" s="94">
        <v>7.2264319158956178</v>
      </c>
      <c r="BZ12" s="94">
        <f t="shared" si="28"/>
        <v>5.4089334612495055</v>
      </c>
      <c r="CA12" s="94"/>
      <c r="CB12" s="40">
        <f t="shared" si="29"/>
        <v>2.4168124747555364</v>
      </c>
      <c r="CC12" s="94">
        <v>7.7759473470029352</v>
      </c>
      <c r="CD12" s="94">
        <v>-1.7158164744931881</v>
      </c>
      <c r="CE12" s="94">
        <v>2.0974328886080462</v>
      </c>
      <c r="CF12" s="94">
        <f t="shared" si="30"/>
        <v>0.38161641411485814</v>
      </c>
      <c r="CH12" s="40">
        <f t="shared" si="31"/>
        <v>2.4638206980051702</v>
      </c>
      <c r="CI12" s="94">
        <v>16.01397145403611</v>
      </c>
      <c r="CJ12" s="94">
        <v>5.414488253187176E-2</v>
      </c>
      <c r="CK12" s="94">
        <v>4.4130248025048795</v>
      </c>
      <c r="CL12" s="94">
        <f t="shared" si="32"/>
        <v>4.467169685036751</v>
      </c>
      <c r="CM12" s="107"/>
      <c r="CN12" s="40">
        <f t="shared" si="33"/>
        <v>2.7231827177615964</v>
      </c>
      <c r="CO12" s="94">
        <v>2.3228442193056784</v>
      </c>
      <c r="CP12" s="94">
        <v>-0.15582686268479601</v>
      </c>
      <c r="CQ12" s="94">
        <v>0.71597422478269179</v>
      </c>
      <c r="CR12" s="94">
        <f t="shared" si="34"/>
        <v>0.56014736209789584</v>
      </c>
      <c r="CS12" s="91" t="str">
        <f t="shared" si="35"/>
        <v>Rest of manufacturing</v>
      </c>
      <c r="CT12" s="40">
        <f t="shared" si="36"/>
        <v>2.3148990339762587</v>
      </c>
      <c r="CU12" s="11">
        <v>1.1627541382717359</v>
      </c>
      <c r="CV12" s="94">
        <v>-0.59324654140603028</v>
      </c>
      <c r="CW12" s="94">
        <v>0.2990079501407093</v>
      </c>
      <c r="CX12" s="94">
        <f t="shared" si="37"/>
        <v>-0.29423859126532098</v>
      </c>
      <c r="CY12" s="94"/>
      <c r="CZ12" s="40">
        <f t="shared" si="38"/>
        <v>2.3930795875785948</v>
      </c>
      <c r="DA12" s="94">
        <v>0.57037884562794017</v>
      </c>
      <c r="DB12" s="94">
        <v>-0.20079563786445448</v>
      </c>
      <c r="DC12" s="94">
        <v>0.15217374224034305</v>
      </c>
      <c r="DD12" s="94">
        <f t="shared" si="39"/>
        <v>-4.8621895624111428E-2</v>
      </c>
      <c r="DF12" s="40">
        <f t="shared" si="40"/>
        <v>2.201138550303483</v>
      </c>
      <c r="DG12" s="94">
        <v>0.56933242838237019</v>
      </c>
      <c r="DH12" s="94">
        <v>-0.40491970823837808</v>
      </c>
      <c r="DI12" s="94">
        <v>0.13848827479389025</v>
      </c>
      <c r="DJ12" s="94">
        <f t="shared" si="41"/>
        <v>-0.26643143344448783</v>
      </c>
      <c r="DK12" s="107"/>
      <c r="DL12" s="40">
        <f t="shared" si="42"/>
        <v>3.1392149650770529</v>
      </c>
      <c r="DM12" s="94">
        <v>2.3042864261425509E-2</v>
      </c>
      <c r="DN12" s="94">
        <v>1.2468804696802241E-2</v>
      </c>
      <c r="DO12" s="94">
        <v>8.3459331064760084E-3</v>
      </c>
      <c r="DP12" s="94">
        <f t="shared" si="43"/>
        <v>2.0814737803278249E-2</v>
      </c>
    </row>
    <row r="13" spans="1:120" x14ac:dyDescent="0.2">
      <c r="A13" s="91" t="str">
        <f>name!B9</f>
        <v>Electricity and gas</v>
      </c>
      <c r="B13" s="40">
        <f t="shared" si="1"/>
        <v>2.751547529508569</v>
      </c>
      <c r="C13" s="11">
        <v>5.0589999999999913</v>
      </c>
      <c r="D13" s="94">
        <v>2.0489999999999946</v>
      </c>
      <c r="E13" s="94">
        <v>1.5776420433154477</v>
      </c>
      <c r="F13" s="94">
        <f t="shared" si="2"/>
        <v>3.6266420433154423</v>
      </c>
      <c r="G13" s="94"/>
      <c r="H13" s="40">
        <f t="shared" si="3"/>
        <v>2.5733600826927994</v>
      </c>
      <c r="I13" s="94">
        <v>0.31361419735656709</v>
      </c>
      <c r="J13" s="94">
        <v>7.8773033073184756E-2</v>
      </c>
      <c r="K13" s="94">
        <v>9.0720990468516644E-2</v>
      </c>
      <c r="L13" s="94">
        <f t="shared" si="4"/>
        <v>0.1694940235417014</v>
      </c>
      <c r="N13" s="40">
        <f t="shared" si="5"/>
        <v>2.5323926518590278</v>
      </c>
      <c r="O13" s="94">
        <v>1.1279969424904663</v>
      </c>
      <c r="P13" s="94">
        <v>0.17361487914005555</v>
      </c>
      <c r="Q13" s="94">
        <v>0.32050420132079388</v>
      </c>
      <c r="R13" s="94">
        <f t="shared" si="6"/>
        <v>0.4941190804608494</v>
      </c>
      <c r="S13" s="107"/>
      <c r="T13" s="40">
        <f t="shared" si="7"/>
        <v>2.8342615174113073</v>
      </c>
      <c r="U13" s="94">
        <v>3.6173888601529574</v>
      </c>
      <c r="V13" s="94">
        <v>1.7966120877867537</v>
      </c>
      <c r="W13" s="94">
        <v>1.1664168515261377</v>
      </c>
      <c r="X13" s="94">
        <f t="shared" si="8"/>
        <v>2.9630289393128915</v>
      </c>
      <c r="Y13" s="91" t="str">
        <f t="shared" si="0"/>
        <v>Electricity and gas</v>
      </c>
      <c r="Z13" s="40">
        <f t="shared" si="9"/>
        <v>2.8458192992028453</v>
      </c>
      <c r="AA13" s="11">
        <v>3.4150679378844369</v>
      </c>
      <c r="AB13" s="94">
        <v>1.4840300025780557</v>
      </c>
      <c r="AC13" s="94">
        <v>1.1062575228637768</v>
      </c>
      <c r="AD13" s="94">
        <f t="shared" si="10"/>
        <v>2.5902875254418323</v>
      </c>
      <c r="AE13" s="94"/>
      <c r="AF13" s="40">
        <f t="shared" si="11"/>
        <v>2.7430555154363878</v>
      </c>
      <c r="AG13" s="94">
        <v>0.11612647673624334</v>
      </c>
      <c r="AH13" s="94">
        <v>0.11035323287716786</v>
      </c>
      <c r="AI13" s="94">
        <v>3.6088022100809053E-2</v>
      </c>
      <c r="AJ13" s="94">
        <f t="shared" si="12"/>
        <v>0.14644125497797691</v>
      </c>
      <c r="AL13" s="40">
        <f t="shared" si="13"/>
        <v>2.6040221070196878</v>
      </c>
      <c r="AM13" s="94">
        <v>0.78807550212350175</v>
      </c>
      <c r="AN13" s="94">
        <v>0.1640515512066609</v>
      </c>
      <c r="AO13" s="94">
        <v>0.23101248718210923</v>
      </c>
      <c r="AP13" s="94">
        <f t="shared" si="14"/>
        <v>0.39506403838877013</v>
      </c>
      <c r="AQ13" s="107"/>
      <c r="AR13" s="40">
        <f t="shared" si="15"/>
        <v>2.9253673336995467</v>
      </c>
      <c r="AS13" s="94">
        <v>2.510865959024692</v>
      </c>
      <c r="AT13" s="94">
        <v>1.2096252184942269</v>
      </c>
      <c r="AU13" s="94">
        <v>0.83915701358085859</v>
      </c>
      <c r="AV13" s="94">
        <f t="shared" si="16"/>
        <v>2.0487822320750855</v>
      </c>
      <c r="AW13" s="91" t="str">
        <f t="shared" si="17"/>
        <v>Electricity and gas</v>
      </c>
      <c r="AX13" s="40">
        <f t="shared" si="18"/>
        <v>2.7527088286745105</v>
      </c>
      <c r="AY13" s="11">
        <v>0.957602688269793</v>
      </c>
      <c r="AZ13" s="94">
        <v>0.25026458116444267</v>
      </c>
      <c r="BA13" s="94">
        <v>0.29876903958455009</v>
      </c>
      <c r="BB13" s="94">
        <f t="shared" si="19"/>
        <v>0.54903362074899276</v>
      </c>
      <c r="BC13" s="94"/>
      <c r="BD13" s="40">
        <f t="shared" si="20"/>
        <v>2.6027440742423469</v>
      </c>
      <c r="BE13" s="94">
        <v>6.6675648433861312E-2</v>
      </c>
      <c r="BF13" s="94">
        <v>1.2223965695389253E-2</v>
      </c>
      <c r="BG13" s="94">
        <v>1.953422506429308E-2</v>
      </c>
      <c r="BH13" s="94">
        <f t="shared" si="21"/>
        <v>3.1758190759682337E-2</v>
      </c>
      <c r="BJ13" s="40">
        <f t="shared" si="22"/>
        <v>2.595302754086215</v>
      </c>
      <c r="BK13" s="94">
        <v>0.10025366029317774</v>
      </c>
      <c r="BL13" s="94">
        <v>-4.2143802914000279E-2</v>
      </c>
      <c r="BM13" s="94">
        <v>2.9277725477586596E-2</v>
      </c>
      <c r="BN13" s="94">
        <f t="shared" si="23"/>
        <v>-1.2866077436413683E-2</v>
      </c>
      <c r="BO13" s="107"/>
      <c r="BP13" s="40">
        <f t="shared" si="24"/>
        <v>2.7850477621075731</v>
      </c>
      <c r="BQ13" s="94">
        <v>0.79067337954275396</v>
      </c>
      <c r="BR13" s="94">
        <v>0.28018441838305369</v>
      </c>
      <c r="BS13" s="94">
        <v>0.24995708904267042</v>
      </c>
      <c r="BT13" s="94">
        <f t="shared" si="25"/>
        <v>0.53014150742572408</v>
      </c>
      <c r="BU13" s="91" t="str">
        <f t="shared" si="26"/>
        <v>Electricity and gas</v>
      </c>
      <c r="BV13" s="40">
        <f t="shared" si="27"/>
        <v>2.30166568848158</v>
      </c>
      <c r="BW13" s="11">
        <v>0.58372112403374876</v>
      </c>
      <c r="BX13" s="94">
        <v>0.29400518186205293</v>
      </c>
      <c r="BY13" s="94">
        <v>0.14915818412575702</v>
      </c>
      <c r="BZ13" s="94">
        <f t="shared" si="28"/>
        <v>0.44316336598780992</v>
      </c>
      <c r="CA13" s="94"/>
      <c r="CB13" s="40">
        <f t="shared" si="29"/>
        <v>2.5209593858770862</v>
      </c>
      <c r="CC13" s="94">
        <v>7.9538399802440748E-2</v>
      </c>
      <c r="CD13" s="94">
        <v>-3.8996824091237468E-2</v>
      </c>
      <c r="CE13" s="94">
        <v>2.2485863083774052E-2</v>
      </c>
      <c r="CF13" s="94">
        <f t="shared" si="30"/>
        <v>-1.6510961007463416E-2</v>
      </c>
      <c r="CH13" s="40">
        <f t="shared" si="31"/>
        <v>2.2948013168675008</v>
      </c>
      <c r="CI13" s="94">
        <v>0.22333516849225249</v>
      </c>
      <c r="CJ13" s="94">
        <v>4.7374479843118752E-2</v>
      </c>
      <c r="CK13" s="94">
        <v>5.6880714680897067E-2</v>
      </c>
      <c r="CL13" s="94">
        <f t="shared" si="32"/>
        <v>0.10425519452401583</v>
      </c>
      <c r="CM13" s="107"/>
      <c r="CN13" s="40">
        <f t="shared" si="33"/>
        <v>2.2442696745849977</v>
      </c>
      <c r="CO13" s="94">
        <v>0.28084755573905562</v>
      </c>
      <c r="CP13" s="94">
        <v>0.28562752611017167</v>
      </c>
      <c r="CQ13" s="94">
        <v>6.9791606361085889E-2</v>
      </c>
      <c r="CR13" s="94">
        <f t="shared" si="34"/>
        <v>0.35541913247125756</v>
      </c>
      <c r="CS13" s="91" t="str">
        <f t="shared" si="35"/>
        <v>Electricity and gas</v>
      </c>
      <c r="CT13" s="40">
        <f t="shared" si="36"/>
        <v>2.0801766936642485</v>
      </c>
      <c r="CU13" s="11">
        <v>0.10260824981201205</v>
      </c>
      <c r="CV13" s="94">
        <v>2.0700234395443017E-2</v>
      </c>
      <c r="CW13" s="94">
        <v>2.3457296741363907E-2</v>
      </c>
      <c r="CX13" s="94">
        <f t="shared" si="37"/>
        <v>4.4157531136806927E-2</v>
      </c>
      <c r="CY13" s="94"/>
      <c r="CZ13" s="40">
        <f t="shared" si="38"/>
        <v>2.2236780417191238</v>
      </c>
      <c r="DA13" s="94">
        <v>5.1273672384021723E-2</v>
      </c>
      <c r="DB13" s="94">
        <v>-4.8073414081348711E-3</v>
      </c>
      <c r="DC13" s="94">
        <v>1.2612880219640452E-2</v>
      </c>
      <c r="DD13" s="94">
        <f t="shared" si="39"/>
        <v>7.8055388115055805E-3</v>
      </c>
      <c r="DF13" s="40">
        <f t="shared" si="40"/>
        <v>1.8745697006633089</v>
      </c>
      <c r="DG13" s="94">
        <v>1.6332611581534422E-2</v>
      </c>
      <c r="DH13" s="94">
        <v>4.3326510042762225E-3</v>
      </c>
      <c r="DI13" s="94">
        <v>3.3332739802009429E-3</v>
      </c>
      <c r="DJ13" s="94">
        <f t="shared" si="41"/>
        <v>7.6659249844771658E-3</v>
      </c>
      <c r="DK13" s="107"/>
      <c r="DL13" s="40">
        <f t="shared" si="42"/>
        <v>1.9631026785993377</v>
      </c>
      <c r="DM13" s="94">
        <v>3.5001965846455901E-2</v>
      </c>
      <c r="DN13" s="94">
        <v>2.1174924799301664E-2</v>
      </c>
      <c r="DO13" s="94">
        <v>7.5111425415225128E-3</v>
      </c>
      <c r="DP13" s="94">
        <f t="shared" si="43"/>
        <v>2.8686067340824177E-2</v>
      </c>
    </row>
    <row r="14" spans="1:120" x14ac:dyDescent="0.2">
      <c r="A14" s="91" t="str">
        <f>name!B10</f>
        <v>Water and sewerage</v>
      </c>
      <c r="B14" s="40">
        <f t="shared" si="1"/>
        <v>2.6630267727114409</v>
      </c>
      <c r="C14" s="11">
        <v>34.689999999999941</v>
      </c>
      <c r="D14" s="94">
        <v>3.4039999999999937</v>
      </c>
      <c r="E14" s="94">
        <v>10.427491197200341</v>
      </c>
      <c r="F14" s="94">
        <f t="shared" si="2"/>
        <v>13.831491197200336</v>
      </c>
      <c r="G14" s="94"/>
      <c r="H14" s="40">
        <f t="shared" si="3"/>
        <v>2.3746340922261355</v>
      </c>
      <c r="I14" s="94">
        <v>2.9582746497764263</v>
      </c>
      <c r="J14" s="94">
        <v>-1.2426718264022578</v>
      </c>
      <c r="K14" s="94">
        <v>0.78250491573356684</v>
      </c>
      <c r="L14" s="94">
        <f t="shared" si="4"/>
        <v>-0.46016691066869098</v>
      </c>
      <c r="N14" s="40">
        <f t="shared" si="5"/>
        <v>2.45146859998846</v>
      </c>
      <c r="O14" s="94">
        <v>15.931406757331569</v>
      </c>
      <c r="P14" s="94">
        <v>2.6141692288467828</v>
      </c>
      <c r="Q14" s="94">
        <v>4.3657875010183442</v>
      </c>
      <c r="R14" s="94">
        <f t="shared" si="6"/>
        <v>6.9799567298651271</v>
      </c>
      <c r="S14" s="107"/>
      <c r="T14" s="40">
        <f t="shared" si="7"/>
        <v>2.9246696914869474</v>
      </c>
      <c r="U14" s="94">
        <v>15.800318592891939</v>
      </c>
      <c r="V14" s="94">
        <v>2.0325025975554691</v>
      </c>
      <c r="W14" s="94">
        <v>5.2791987804484268</v>
      </c>
      <c r="X14" s="94">
        <f t="shared" si="8"/>
        <v>7.311701378003896</v>
      </c>
      <c r="Y14" s="91" t="str">
        <f t="shared" si="0"/>
        <v>Water and sewerage</v>
      </c>
      <c r="Z14" s="40">
        <f t="shared" si="9"/>
        <v>2.8935452968317898</v>
      </c>
      <c r="AA14" s="11">
        <v>20.179018387941738</v>
      </c>
      <c r="AB14" s="94">
        <v>3.7043393079638052</v>
      </c>
      <c r="AC14" s="94">
        <v>6.6609099076503337</v>
      </c>
      <c r="AD14" s="94">
        <f t="shared" si="10"/>
        <v>10.365249215614138</v>
      </c>
      <c r="AE14" s="94"/>
      <c r="AF14" s="40">
        <f t="shared" si="11"/>
        <v>2.7725711511966233</v>
      </c>
      <c r="AG14" s="94">
        <v>0.72465647374450293</v>
      </c>
      <c r="AH14" s="94">
        <v>-0.21196589918901296</v>
      </c>
      <c r="AI14" s="94">
        <v>0.227929964406863</v>
      </c>
      <c r="AJ14" s="94">
        <f t="shared" si="12"/>
        <v>1.5964065217850043E-2</v>
      </c>
      <c r="AL14" s="40">
        <f t="shared" si="13"/>
        <v>2.6836776039042443</v>
      </c>
      <c r="AM14" s="94">
        <v>7.1689586080821419</v>
      </c>
      <c r="AN14" s="94">
        <v>1.9626686993660245</v>
      </c>
      <c r="AO14" s="94">
        <v>2.1736943685039085</v>
      </c>
      <c r="AP14" s="94">
        <f t="shared" si="14"/>
        <v>4.136363067869933</v>
      </c>
      <c r="AQ14" s="107"/>
      <c r="AR14" s="40">
        <f t="shared" si="15"/>
        <v>3.0212745785094253</v>
      </c>
      <c r="AS14" s="94">
        <v>12.285403306115091</v>
      </c>
      <c r="AT14" s="94">
        <v>1.9536365077867941</v>
      </c>
      <c r="AU14" s="94">
        <v>4.2592855747395628</v>
      </c>
      <c r="AV14" s="94">
        <f t="shared" si="16"/>
        <v>6.2129220825263571</v>
      </c>
      <c r="AW14" s="91" t="str">
        <f t="shared" si="17"/>
        <v>Water and sewerage</v>
      </c>
      <c r="AX14" s="40">
        <f t="shared" si="18"/>
        <v>2.6934634376716282</v>
      </c>
      <c r="AY14" s="11">
        <v>3.8772019161776843</v>
      </c>
      <c r="AZ14" s="94">
        <v>-0.76962711358062519</v>
      </c>
      <c r="BA14" s="94">
        <v>1.1804208080754564</v>
      </c>
      <c r="BB14" s="94">
        <f t="shared" si="19"/>
        <v>0.41079369449483116</v>
      </c>
      <c r="BC14" s="94"/>
      <c r="BD14" s="40">
        <f t="shared" si="20"/>
        <v>2.5916879181504093</v>
      </c>
      <c r="BE14" s="94">
        <v>0.39518397605304539</v>
      </c>
      <c r="BF14" s="94">
        <v>-0.11728323585066727</v>
      </c>
      <c r="BG14" s="94">
        <v>0.11522826186981429</v>
      </c>
      <c r="BH14" s="94">
        <f t="shared" si="21"/>
        <v>-2.0549739808529838E-3</v>
      </c>
      <c r="BJ14" s="40">
        <f t="shared" si="22"/>
        <v>2.6108631762737033</v>
      </c>
      <c r="BK14" s="94">
        <v>1.6388021332720251</v>
      </c>
      <c r="BL14" s="94">
        <v>-0.45140915346675231</v>
      </c>
      <c r="BM14" s="94">
        <v>0.48180359544498619</v>
      </c>
      <c r="BN14" s="94">
        <f t="shared" si="23"/>
        <v>3.0394441978233877E-2</v>
      </c>
      <c r="BO14" s="107"/>
      <c r="BP14" s="40">
        <f t="shared" si="24"/>
        <v>2.7879692353027563</v>
      </c>
      <c r="BQ14" s="94">
        <v>1.8432158068526141</v>
      </c>
      <c r="BR14" s="94">
        <v>-0.20093472426320558</v>
      </c>
      <c r="BS14" s="94">
        <v>0.58338895076065578</v>
      </c>
      <c r="BT14" s="94">
        <f t="shared" si="25"/>
        <v>0.3824542264974502</v>
      </c>
      <c r="BU14" s="91" t="str">
        <f t="shared" si="26"/>
        <v>Water and sewerage</v>
      </c>
      <c r="BV14" s="40">
        <f t="shared" si="27"/>
        <v>2.1639959971873068</v>
      </c>
      <c r="BW14" s="11">
        <v>9.217599475239167</v>
      </c>
      <c r="BX14" s="94">
        <v>0.61442646269312895</v>
      </c>
      <c r="BY14" s="94">
        <v>2.2005716372862962</v>
      </c>
      <c r="BZ14" s="94">
        <f t="shared" si="28"/>
        <v>2.8149980999794253</v>
      </c>
      <c r="CA14" s="94"/>
      <c r="CB14" s="40">
        <f t="shared" si="29"/>
        <v>2.1322524388695197</v>
      </c>
      <c r="CC14" s="94">
        <v>1.3746236467462931</v>
      </c>
      <c r="CD14" s="94">
        <v>-0.6797332330802186</v>
      </c>
      <c r="CE14" s="94">
        <v>0.32288857798608317</v>
      </c>
      <c r="CF14" s="94">
        <f t="shared" si="30"/>
        <v>-0.35684465509413543</v>
      </c>
      <c r="CH14" s="40">
        <f t="shared" si="31"/>
        <v>2.1183476609150542</v>
      </c>
      <c r="CI14" s="94">
        <v>6.2987020393754678</v>
      </c>
      <c r="CJ14" s="94">
        <v>1.0586789669999686</v>
      </c>
      <c r="CK14" s="94">
        <v>1.4689337630531381</v>
      </c>
      <c r="CL14" s="94">
        <f t="shared" si="32"/>
        <v>2.5276127300531064</v>
      </c>
      <c r="CM14" s="107"/>
      <c r="CN14" s="40">
        <f t="shared" si="33"/>
        <v>2.3760355283215739</v>
      </c>
      <c r="CO14" s="94">
        <v>1.5442737891174063</v>
      </c>
      <c r="CP14" s="94">
        <v>0.23548072877337922</v>
      </c>
      <c r="CQ14" s="94">
        <v>0.40874929624707479</v>
      </c>
      <c r="CR14" s="94">
        <f t="shared" si="34"/>
        <v>0.64423002502045401</v>
      </c>
      <c r="CS14" s="91" t="str">
        <f t="shared" si="35"/>
        <v>Water and sewerage</v>
      </c>
      <c r="CT14" s="40">
        <f t="shared" si="36"/>
        <v>2.4372851811505392</v>
      </c>
      <c r="CU14" s="11">
        <v>1.4161802206413483</v>
      </c>
      <c r="CV14" s="94">
        <v>-0.14513865707631529</v>
      </c>
      <c r="CW14" s="94">
        <v>0.38558884418825223</v>
      </c>
      <c r="CX14" s="94">
        <f t="shared" si="37"/>
        <v>0.24045018711193694</v>
      </c>
      <c r="CY14" s="94"/>
      <c r="CZ14" s="40">
        <f t="shared" si="38"/>
        <v>2.2654301118374853</v>
      </c>
      <c r="DA14" s="94">
        <v>0.46381055323258502</v>
      </c>
      <c r="DB14" s="94">
        <v>-0.23368945828235915</v>
      </c>
      <c r="DC14" s="94">
        <v>0.11645811147080638</v>
      </c>
      <c r="DD14" s="94">
        <f t="shared" si="39"/>
        <v>-0.11723134681155277</v>
      </c>
      <c r="DF14" s="40">
        <f t="shared" si="40"/>
        <v>2.5995569001085794</v>
      </c>
      <c r="DG14" s="94">
        <v>0.82494397660193552</v>
      </c>
      <c r="DH14" s="94">
        <v>4.4230715947542278E-2</v>
      </c>
      <c r="DI14" s="94">
        <v>0.24135577401631172</v>
      </c>
      <c r="DJ14" s="94">
        <f t="shared" si="41"/>
        <v>0.285586489963854</v>
      </c>
      <c r="DK14" s="107"/>
      <c r="DL14" s="40">
        <f t="shared" si="42"/>
        <v>1.9914236116268524</v>
      </c>
      <c r="DM14" s="94">
        <v>0.12742569080682786</v>
      </c>
      <c r="DN14" s="94">
        <v>4.4320085258501563E-2</v>
      </c>
      <c r="DO14" s="94">
        <v>2.7774958701134087E-2</v>
      </c>
      <c r="DP14" s="94">
        <f t="shared" si="43"/>
        <v>7.2095043959635646E-2</v>
      </c>
    </row>
    <row r="15" spans="1:120" x14ac:dyDescent="0.2">
      <c r="A15" s="91" t="str">
        <f>name!B11</f>
        <v>Construction</v>
      </c>
      <c r="B15" s="40">
        <f t="shared" si="1"/>
        <v>2.6332713124259444</v>
      </c>
      <c r="C15" s="11">
        <v>24.70699999999993</v>
      </c>
      <c r="D15" s="94">
        <v>2.4850000000000203</v>
      </c>
      <c r="E15" s="94">
        <v>7.3336805968811847</v>
      </c>
      <c r="F15" s="94">
        <f t="shared" si="2"/>
        <v>9.8186805968812045</v>
      </c>
      <c r="G15" s="94"/>
      <c r="H15" s="40">
        <f t="shared" si="3"/>
        <v>2.4423074235861542</v>
      </c>
      <c r="I15" s="94">
        <v>2.0674298031287628</v>
      </c>
      <c r="J15" s="94">
        <v>-0.8828890757342569</v>
      </c>
      <c r="K15" s="94">
        <v>0.56419694936710085</v>
      </c>
      <c r="L15" s="94">
        <f t="shared" si="4"/>
        <v>-0.31869212636715605</v>
      </c>
      <c r="N15" s="40">
        <f t="shared" si="5"/>
        <v>2.3615173214244889</v>
      </c>
      <c r="O15" s="94">
        <v>11.395959885205716</v>
      </c>
      <c r="P15" s="94">
        <v>1.9703829749125323</v>
      </c>
      <c r="Q15" s="94">
        <v>2.9959377256495925</v>
      </c>
      <c r="R15" s="94">
        <f t="shared" si="6"/>
        <v>4.9663207005621253</v>
      </c>
      <c r="S15" s="107"/>
      <c r="T15" s="40">
        <f t="shared" si="7"/>
        <v>2.9362141326216173</v>
      </c>
      <c r="U15" s="94">
        <v>11.243610311665455</v>
      </c>
      <c r="V15" s="94">
        <v>1.3975061008217451</v>
      </c>
      <c r="W15" s="94">
        <v>3.7735459218644927</v>
      </c>
      <c r="X15" s="94">
        <f t="shared" si="8"/>
        <v>5.1710520226862382</v>
      </c>
      <c r="Y15" s="91" t="str">
        <f t="shared" si="0"/>
        <v>Construction</v>
      </c>
      <c r="Z15" s="40">
        <f t="shared" si="9"/>
        <v>2.9275517647755267</v>
      </c>
      <c r="AA15" s="11">
        <v>13.046434238680172</v>
      </c>
      <c r="AB15" s="94">
        <v>2.1329718598151204</v>
      </c>
      <c r="AC15" s="94">
        <v>4.3639460437985305</v>
      </c>
      <c r="AD15" s="94">
        <f t="shared" si="10"/>
        <v>6.4969179036136513</v>
      </c>
      <c r="AE15" s="94"/>
      <c r="AF15" s="40">
        <f t="shared" si="11"/>
        <v>2.9029598767563725</v>
      </c>
      <c r="AG15" s="94">
        <v>0.51780999831305174</v>
      </c>
      <c r="AH15" s="94">
        <v>-0.14508224440278034</v>
      </c>
      <c r="AI15" s="94">
        <v>0.17155479671456894</v>
      </c>
      <c r="AJ15" s="94">
        <f t="shared" si="12"/>
        <v>2.6472552311788605E-2</v>
      </c>
      <c r="AL15" s="40">
        <f t="shared" si="13"/>
        <v>2.7138731733564292</v>
      </c>
      <c r="AM15" s="94">
        <v>3.3696565084990735</v>
      </c>
      <c r="AN15" s="94">
        <v>0.87665708871403969</v>
      </c>
      <c r="AO15" s="94">
        <v>1.0346414621905302</v>
      </c>
      <c r="AP15" s="94">
        <f t="shared" si="14"/>
        <v>1.9112985509045699</v>
      </c>
      <c r="AQ15" s="107"/>
      <c r="AR15" s="40">
        <f t="shared" si="15"/>
        <v>3.0065508595138457</v>
      </c>
      <c r="AS15" s="94">
        <v>9.1589677318680476</v>
      </c>
      <c r="AT15" s="94">
        <v>1.4013970155038609</v>
      </c>
      <c r="AU15" s="94">
        <v>3.1577497848934315</v>
      </c>
      <c r="AV15" s="94">
        <f t="shared" si="16"/>
        <v>4.5591468003972926</v>
      </c>
      <c r="AW15" s="91" t="str">
        <f t="shared" si="17"/>
        <v>Construction</v>
      </c>
      <c r="AX15" s="40">
        <f t="shared" si="18"/>
        <v>2.6925526136312605</v>
      </c>
      <c r="AY15" s="11">
        <v>3.651919924567808</v>
      </c>
      <c r="AZ15" s="94">
        <v>-0.23040618198892773</v>
      </c>
      <c r="BA15" s="94">
        <v>1.1114108203418209</v>
      </c>
      <c r="BB15" s="94">
        <f t="shared" si="19"/>
        <v>0.88100463835289322</v>
      </c>
      <c r="BC15" s="94"/>
      <c r="BD15" s="40">
        <f t="shared" si="20"/>
        <v>2.6003566607783579</v>
      </c>
      <c r="BE15" s="94">
        <v>0.34954045938527362</v>
      </c>
      <c r="BF15" s="94">
        <v>-0.11400742632184735</v>
      </c>
      <c r="BG15" s="94">
        <v>0.10230108293418085</v>
      </c>
      <c r="BH15" s="94">
        <f t="shared" si="21"/>
        <v>-1.1706343387666504E-2</v>
      </c>
      <c r="BJ15" s="40">
        <f t="shared" si="22"/>
        <v>2.6391873139546718</v>
      </c>
      <c r="BK15" s="94">
        <v>2.0072722798125366</v>
      </c>
      <c r="BL15" s="94">
        <v>2.1946743765527334E-2</v>
      </c>
      <c r="BM15" s="94">
        <v>0.59731151369132662</v>
      </c>
      <c r="BN15" s="94">
        <f t="shared" si="23"/>
        <v>0.61925825745685392</v>
      </c>
      <c r="BO15" s="107"/>
      <c r="BP15" s="40">
        <f t="shared" si="24"/>
        <v>2.799351314050047</v>
      </c>
      <c r="BQ15" s="94">
        <v>1.2951071853699978</v>
      </c>
      <c r="BR15" s="94">
        <v>-0.13834549943260771</v>
      </c>
      <c r="BS15" s="94">
        <v>0.41179822371631336</v>
      </c>
      <c r="BT15" s="94">
        <f t="shared" si="25"/>
        <v>0.27345272428370565</v>
      </c>
      <c r="BU15" s="91" t="str">
        <f t="shared" si="26"/>
        <v>Construction</v>
      </c>
      <c r="BV15" s="40">
        <f t="shared" si="27"/>
        <v>2.0481137979190267</v>
      </c>
      <c r="BW15" s="11">
        <v>6.6723347132595512</v>
      </c>
      <c r="BX15" s="94">
        <v>0.63046525507421236</v>
      </c>
      <c r="BY15" s="94">
        <v>1.4996518315416651</v>
      </c>
      <c r="BZ15" s="94">
        <f t="shared" si="28"/>
        <v>2.1301170866158774</v>
      </c>
      <c r="CA15" s="94"/>
      <c r="CB15" s="40">
        <f t="shared" si="29"/>
        <v>1.885726525584519</v>
      </c>
      <c r="CC15" s="94">
        <v>0.79401322796632245</v>
      </c>
      <c r="CD15" s="94">
        <v>-0.42251424724113457</v>
      </c>
      <c r="CE15" s="94">
        <v>0.16309534060812603</v>
      </c>
      <c r="CF15" s="94">
        <f t="shared" si="30"/>
        <v>-0.25941890663300854</v>
      </c>
      <c r="CH15" s="40">
        <f t="shared" si="31"/>
        <v>2.0349710354922612</v>
      </c>
      <c r="CI15" s="94">
        <v>5.1117136268203991</v>
      </c>
      <c r="CJ15" s="94">
        <v>0.94026718064231962</v>
      </c>
      <c r="CK15" s="94">
        <v>1.1408334558665532</v>
      </c>
      <c r="CL15" s="94">
        <f t="shared" si="32"/>
        <v>2.0811006365088729</v>
      </c>
      <c r="CM15" s="107"/>
      <c r="CN15" s="40">
        <f t="shared" si="33"/>
        <v>2.2998780793422213</v>
      </c>
      <c r="CO15" s="94">
        <v>0.7666078584728292</v>
      </c>
      <c r="CP15" s="94">
        <v>0.11271232167302715</v>
      </c>
      <c r="CQ15" s="94">
        <v>0.19572303506698607</v>
      </c>
      <c r="CR15" s="94">
        <f t="shared" si="34"/>
        <v>0.30843535674001321</v>
      </c>
      <c r="CS15" s="91" t="str">
        <f t="shared" si="35"/>
        <v>Construction</v>
      </c>
      <c r="CT15" s="40">
        <f t="shared" si="36"/>
        <v>2.406088217429958</v>
      </c>
      <c r="CU15" s="11">
        <v>1.3363111234924001</v>
      </c>
      <c r="CV15" s="94">
        <v>-4.8030932900384203E-2</v>
      </c>
      <c r="CW15" s="94">
        <v>0.3586719011991692</v>
      </c>
      <c r="CX15" s="94">
        <f t="shared" si="37"/>
        <v>0.31064096829878501</v>
      </c>
      <c r="CY15" s="94"/>
      <c r="CZ15" s="40">
        <f t="shared" si="38"/>
        <v>2.7633959791856677</v>
      </c>
      <c r="DA15" s="94">
        <v>0.40606611746411458</v>
      </c>
      <c r="DB15" s="94">
        <v>-0.20128515776849468</v>
      </c>
      <c r="DC15" s="94">
        <v>0.12724572911022497</v>
      </c>
      <c r="DD15" s="94">
        <f t="shared" si="39"/>
        <v>-7.4039428658269707E-2</v>
      </c>
      <c r="DF15" s="40">
        <f t="shared" si="40"/>
        <v>2.2233076528841211</v>
      </c>
      <c r="DG15" s="94">
        <v>0.90731747007370689</v>
      </c>
      <c r="DH15" s="94">
        <v>0.1315119617906455</v>
      </c>
      <c r="DI15" s="94">
        <v>0.22315129390118218</v>
      </c>
      <c r="DJ15" s="94">
        <f t="shared" si="41"/>
        <v>0.35466325569182766</v>
      </c>
      <c r="DK15" s="107"/>
      <c r="DL15" s="40">
        <f t="shared" si="42"/>
        <v>3.1295401767871711</v>
      </c>
      <c r="DM15" s="94">
        <v>2.2927535954578668E-2</v>
      </c>
      <c r="DN15" s="94">
        <v>2.174226307746498E-2</v>
      </c>
      <c r="DO15" s="94">
        <v>8.2748781877620605E-3</v>
      </c>
      <c r="DP15" s="94">
        <f t="shared" si="43"/>
        <v>3.0017141265227039E-2</v>
      </c>
    </row>
    <row r="16" spans="1:120" x14ac:dyDescent="0.2">
      <c r="A16" s="91" t="str">
        <f>name!B12</f>
        <v>Wholesale and retail trade</v>
      </c>
      <c r="B16" s="40">
        <f t="shared" si="1"/>
        <v>2.48357468355489</v>
      </c>
      <c r="C16" s="11">
        <v>49.360999999999891</v>
      </c>
      <c r="D16" s="94">
        <v>-3.0089999999999963</v>
      </c>
      <c r="E16" s="94">
        <v>13.724072101712224</v>
      </c>
      <c r="F16" s="94">
        <f t="shared" si="2"/>
        <v>10.715072101712227</v>
      </c>
      <c r="G16" s="94"/>
      <c r="H16" s="40">
        <f t="shared" si="3"/>
        <v>2.319061330483807</v>
      </c>
      <c r="I16" s="94">
        <v>11.754763181562106</v>
      </c>
      <c r="J16" s="94">
        <v>-3.3383043230730345</v>
      </c>
      <c r="K16" s="94">
        <v>3.0288080072024135</v>
      </c>
      <c r="L16" s="94">
        <f t="shared" si="4"/>
        <v>-0.30949631587062099</v>
      </c>
      <c r="N16" s="40">
        <f t="shared" si="5"/>
        <v>2.3679923975928441</v>
      </c>
      <c r="O16" s="94">
        <v>27.464527750604109</v>
      </c>
      <c r="P16" s="94">
        <v>1.036637643813106</v>
      </c>
      <c r="Q16" s="94">
        <v>7.242226228936425</v>
      </c>
      <c r="R16" s="94">
        <f t="shared" si="6"/>
        <v>8.2788638727495307</v>
      </c>
      <c r="S16" s="107"/>
      <c r="T16" s="40">
        <f t="shared" si="7"/>
        <v>2.9736241479119574</v>
      </c>
      <c r="U16" s="94">
        <v>10.141709067833677</v>
      </c>
      <c r="V16" s="94">
        <v>-0.70733332074006794</v>
      </c>
      <c r="W16" s="94">
        <v>3.4530378655733838</v>
      </c>
      <c r="X16" s="94">
        <f t="shared" si="8"/>
        <v>2.7457045448333157</v>
      </c>
      <c r="Y16" s="91" t="str">
        <f t="shared" si="0"/>
        <v>Wholesale and retail trade</v>
      </c>
      <c r="Z16" s="40">
        <f t="shared" si="9"/>
        <v>2.9998517165961136</v>
      </c>
      <c r="AA16" s="11">
        <v>14.421904529312432</v>
      </c>
      <c r="AB16" s="94">
        <v>-7.9946079548302407E-2</v>
      </c>
      <c r="AC16" s="94">
        <v>4.9596501612339017</v>
      </c>
      <c r="AD16" s="94">
        <f t="shared" si="10"/>
        <v>4.879704081685599</v>
      </c>
      <c r="AE16" s="94"/>
      <c r="AF16" s="40">
        <f t="shared" si="11"/>
        <v>2.9265331251565607</v>
      </c>
      <c r="AG16" s="94">
        <v>1.7446046239912303</v>
      </c>
      <c r="AH16" s="94">
        <v>-0.27919872461291689</v>
      </c>
      <c r="AI16" s="94">
        <v>0.58332831832535181</v>
      </c>
      <c r="AJ16" s="94">
        <f t="shared" si="12"/>
        <v>0.30412959371243492</v>
      </c>
      <c r="AL16" s="40">
        <f t="shared" si="13"/>
        <v>2.8733806306549425</v>
      </c>
      <c r="AM16" s="94">
        <v>5.4383562760409712</v>
      </c>
      <c r="AN16" s="94">
        <v>0.60778084248681408</v>
      </c>
      <c r="AO16" s="94">
        <v>1.780988355750744</v>
      </c>
      <c r="AP16" s="94">
        <f t="shared" si="14"/>
        <v>2.3887691982375578</v>
      </c>
      <c r="AQ16" s="107"/>
      <c r="AR16" s="40">
        <f t="shared" si="15"/>
        <v>3.111409774959073</v>
      </c>
      <c r="AS16" s="94">
        <v>7.2389436292802296</v>
      </c>
      <c r="AT16" s="94">
        <v>-0.40852819742219959</v>
      </c>
      <c r="AU16" s="94">
        <v>2.5953334871578053</v>
      </c>
      <c r="AV16" s="94">
        <f t="shared" si="16"/>
        <v>2.1868052897356058</v>
      </c>
      <c r="AW16" s="91" t="str">
        <f t="shared" si="17"/>
        <v>Wholesale and retail trade</v>
      </c>
      <c r="AX16" s="40">
        <f t="shared" si="18"/>
        <v>2.6838321004912791</v>
      </c>
      <c r="AY16" s="11">
        <v>4.7602092359720407</v>
      </c>
      <c r="AZ16" s="94">
        <v>-1.3205133909931142</v>
      </c>
      <c r="BA16" s="94">
        <v>1.4434326816980343</v>
      </c>
      <c r="BB16" s="94">
        <f t="shared" si="19"/>
        <v>0.12291929070492014</v>
      </c>
      <c r="BC16" s="94"/>
      <c r="BD16" s="40">
        <f t="shared" si="20"/>
        <v>2.6307138684356079</v>
      </c>
      <c r="BE16" s="94">
        <v>0.55533861181731692</v>
      </c>
      <c r="BF16" s="94">
        <v>-0.19194769411417067</v>
      </c>
      <c r="BG16" s="94">
        <v>0.16465951691361003</v>
      </c>
      <c r="BH16" s="94">
        <f t="shared" si="21"/>
        <v>-2.7288177200560648E-2</v>
      </c>
      <c r="BJ16" s="40">
        <f t="shared" si="22"/>
        <v>2.6257921936491346</v>
      </c>
      <c r="BK16" s="94">
        <v>2.4972687404973635</v>
      </c>
      <c r="BL16" s="94">
        <v>-0.56905832335257489</v>
      </c>
      <c r="BM16" s="94">
        <v>0.73889514198640793</v>
      </c>
      <c r="BN16" s="94">
        <f t="shared" si="23"/>
        <v>0.16983681863383304</v>
      </c>
      <c r="BO16" s="107"/>
      <c r="BP16" s="40">
        <f t="shared" si="24"/>
        <v>2.7852790413730899</v>
      </c>
      <c r="BQ16" s="94">
        <v>1.7076018836573603</v>
      </c>
      <c r="BR16" s="94">
        <v>-0.55950737352636859</v>
      </c>
      <c r="BS16" s="94">
        <v>0.53987802279801622</v>
      </c>
      <c r="BT16" s="94">
        <f t="shared" si="25"/>
        <v>-1.9629350728352368E-2</v>
      </c>
      <c r="BU16" s="91" t="str">
        <f t="shared" si="26"/>
        <v>Wholesale and retail trade</v>
      </c>
      <c r="BV16" s="40">
        <f t="shared" si="27"/>
        <v>2.1993314042800582</v>
      </c>
      <c r="BW16" s="11">
        <v>28.021593521784599</v>
      </c>
      <c r="BX16" s="94">
        <v>-1.4714034279099568</v>
      </c>
      <c r="BY16" s="94">
        <v>6.8100025319772302</v>
      </c>
      <c r="BZ16" s="94">
        <f t="shared" si="28"/>
        <v>5.3385991040672733</v>
      </c>
      <c r="CA16" s="94"/>
      <c r="CB16" s="40">
        <f t="shared" si="29"/>
        <v>2.1988160207137231</v>
      </c>
      <c r="CC16" s="94">
        <v>8.4984348827263929</v>
      </c>
      <c r="CD16" s="94">
        <v>-2.4130544809912187</v>
      </c>
      <c r="CE16" s="94">
        <v>2.0648160354020404</v>
      </c>
      <c r="CF16" s="94">
        <f t="shared" si="30"/>
        <v>-0.34823844558917827</v>
      </c>
      <c r="CH16" s="40">
        <f t="shared" si="31"/>
        <v>2.1891934571730776</v>
      </c>
      <c r="CI16" s="94">
        <v>18.363284813948471</v>
      </c>
      <c r="CJ16" s="94">
        <v>0.79472514229380931</v>
      </c>
      <c r="CK16" s="94">
        <v>4.4401403431475641</v>
      </c>
      <c r="CL16" s="94">
        <f t="shared" si="32"/>
        <v>5.2348654854413734</v>
      </c>
      <c r="CM16" s="107"/>
      <c r="CN16" s="40">
        <f t="shared" si="33"/>
        <v>2.3623659563032362</v>
      </c>
      <c r="CO16" s="94">
        <v>1.1598738251097345</v>
      </c>
      <c r="CP16" s="94">
        <v>0.14692591078745226</v>
      </c>
      <c r="CQ16" s="94">
        <v>0.30504615342762553</v>
      </c>
      <c r="CR16" s="94">
        <f t="shared" si="34"/>
        <v>0.4519720642150778</v>
      </c>
      <c r="CS16" s="91" t="str">
        <f t="shared" si="35"/>
        <v>Wholesale and retail trade</v>
      </c>
      <c r="CT16" s="40">
        <f t="shared" si="36"/>
        <v>2.1485540302156547</v>
      </c>
      <c r="CU16" s="11">
        <v>2.1572927129308224</v>
      </c>
      <c r="CV16" s="94">
        <v>-0.13713710154862277</v>
      </c>
      <c r="CW16" s="94">
        <v>0.51098672680305779</v>
      </c>
      <c r="CX16" s="94">
        <f t="shared" si="37"/>
        <v>0.37384962525443499</v>
      </c>
      <c r="CY16" s="94"/>
      <c r="CZ16" s="40">
        <f t="shared" si="38"/>
        <v>2.0572595476436195</v>
      </c>
      <c r="DA16" s="94">
        <v>0.95638506302716597</v>
      </c>
      <c r="DB16" s="94">
        <v>-0.4541034233547282</v>
      </c>
      <c r="DC16" s="94">
        <v>0.2160041365614109</v>
      </c>
      <c r="DD16" s="94">
        <f t="shared" si="39"/>
        <v>-0.23809928679331729</v>
      </c>
      <c r="DF16" s="40">
        <f t="shared" si="40"/>
        <v>2.1917519950891196</v>
      </c>
      <c r="DG16" s="94">
        <v>1.1656179201173043</v>
      </c>
      <c r="DH16" s="94">
        <v>0.20318998238505742</v>
      </c>
      <c r="DI16" s="94">
        <v>0.28220238805171</v>
      </c>
      <c r="DJ16" s="94">
        <f t="shared" si="41"/>
        <v>0.48539237043676742</v>
      </c>
      <c r="DK16" s="107"/>
      <c r="DL16" s="40">
        <f t="shared" si="42"/>
        <v>3.1389052752660129</v>
      </c>
      <c r="DM16" s="94">
        <v>3.5289729786351975E-2</v>
      </c>
      <c r="DN16" s="94">
        <v>0.11377633942104799</v>
      </c>
      <c r="DO16" s="94">
        <v>1.2780202189936939E-2</v>
      </c>
      <c r="DP16" s="94">
        <f t="shared" si="43"/>
        <v>0.12655654161098492</v>
      </c>
    </row>
    <row r="17" spans="1:120" x14ac:dyDescent="0.2">
      <c r="A17" s="91" t="str">
        <f>name!B13</f>
        <v>Transport and storage</v>
      </c>
      <c r="B17" s="40">
        <f t="shared" si="1"/>
        <v>2.5826643707438812</v>
      </c>
      <c r="C17" s="11">
        <v>92.525231401581493</v>
      </c>
      <c r="D17" s="94">
        <v>4.8062010655220337</v>
      </c>
      <c r="E17" s="94">
        <v>26.873559144521298</v>
      </c>
      <c r="F17" s="94">
        <f t="shared" si="2"/>
        <v>31.679760210043334</v>
      </c>
      <c r="G17" s="94"/>
      <c r="H17" s="40">
        <f t="shared" si="3"/>
        <v>2.4248789617356659</v>
      </c>
      <c r="I17" s="94">
        <v>21.198729637120138</v>
      </c>
      <c r="J17" s="94">
        <v>-6.0725510822499817</v>
      </c>
      <c r="K17" s="94">
        <v>5.7392133920891153</v>
      </c>
      <c r="L17" s="94">
        <f t="shared" si="4"/>
        <v>-0.33333769016086645</v>
      </c>
      <c r="N17" s="40">
        <f t="shared" si="5"/>
        <v>2.5234952437853897</v>
      </c>
      <c r="O17" s="94">
        <v>52.658868908190932</v>
      </c>
      <c r="P17" s="94">
        <v>7.0048539847493405</v>
      </c>
      <c r="Q17" s="94">
        <v>14.903608217095815</v>
      </c>
      <c r="R17" s="94">
        <f t="shared" si="6"/>
        <v>21.908462201845154</v>
      </c>
      <c r="S17" s="107"/>
      <c r="T17" s="40">
        <f t="shared" si="7"/>
        <v>2.9219882284781784</v>
      </c>
      <c r="U17" s="94">
        <v>18.667632856270426</v>
      </c>
      <c r="V17" s="94">
        <v>3.8738981630226754</v>
      </c>
      <c r="W17" s="94">
        <v>6.230737535336365</v>
      </c>
      <c r="X17" s="94">
        <f t="shared" si="8"/>
        <v>10.10463569835904</v>
      </c>
      <c r="Y17" s="91" t="str">
        <f t="shared" si="0"/>
        <v>Transport and storage</v>
      </c>
      <c r="Z17" s="40">
        <f t="shared" si="9"/>
        <v>2.9241425329038728</v>
      </c>
      <c r="AA17" s="11">
        <v>29.870782206299452</v>
      </c>
      <c r="AB17" s="94">
        <v>4.3408339188767497</v>
      </c>
      <c r="AC17" s="94">
        <v>9.9783777687739459</v>
      </c>
      <c r="AD17" s="94">
        <f t="shared" si="10"/>
        <v>14.319211687650697</v>
      </c>
      <c r="AE17" s="94"/>
      <c r="AF17" s="40">
        <f t="shared" si="11"/>
        <v>2.7318686124567781</v>
      </c>
      <c r="AG17" s="94">
        <v>3.8081615228264192</v>
      </c>
      <c r="AH17" s="94">
        <v>-0.6689481531577417</v>
      </c>
      <c r="AI17" s="94">
        <v>1.1780102671881654</v>
      </c>
      <c r="AJ17" s="94">
        <f t="shared" si="12"/>
        <v>0.50906211403042367</v>
      </c>
      <c r="AL17" s="40">
        <f t="shared" si="13"/>
        <v>2.8609218734994002</v>
      </c>
      <c r="AM17" s="94">
        <v>13.572153033741255</v>
      </c>
      <c r="AN17" s="94">
        <v>3.0025944902352135</v>
      </c>
      <c r="AO17" s="94">
        <v>4.4228892241268012</v>
      </c>
      <c r="AP17" s="94">
        <f t="shared" si="14"/>
        <v>7.4254837143620147</v>
      </c>
      <c r="AQ17" s="107"/>
      <c r="AR17" s="40">
        <f t="shared" si="15"/>
        <v>3.0500840000298179</v>
      </c>
      <c r="AS17" s="94">
        <v>12.490467649731778</v>
      </c>
      <c r="AT17" s="94">
        <v>2.0071875817992777</v>
      </c>
      <c r="AU17" s="94">
        <v>4.3774782774589784</v>
      </c>
      <c r="AV17" s="94">
        <f t="shared" si="16"/>
        <v>6.3846658592582557</v>
      </c>
      <c r="AW17" s="91" t="str">
        <f t="shared" si="17"/>
        <v>Transport and storage</v>
      </c>
      <c r="AX17" s="40">
        <f t="shared" si="18"/>
        <v>2.6816272634551552</v>
      </c>
      <c r="AY17" s="11">
        <v>8.998417639409773</v>
      </c>
      <c r="AZ17" s="94">
        <v>0.46368333377022369</v>
      </c>
      <c r="BA17" s="94">
        <v>2.7260618724368122</v>
      </c>
      <c r="BB17" s="94">
        <f t="shared" si="19"/>
        <v>3.1897452062070357</v>
      </c>
      <c r="BC17" s="94"/>
      <c r="BD17" s="40">
        <f t="shared" si="20"/>
        <v>2.6174041078364407</v>
      </c>
      <c r="BE17" s="94">
        <v>1.0668407233699537</v>
      </c>
      <c r="BF17" s="94">
        <v>3.2513509332090844E-2</v>
      </c>
      <c r="BG17" s="94">
        <v>0.31452866341566049</v>
      </c>
      <c r="BH17" s="94">
        <f t="shared" si="21"/>
        <v>0.34704217274775134</v>
      </c>
      <c r="BJ17" s="40">
        <f t="shared" si="22"/>
        <v>2.6363264722116364</v>
      </c>
      <c r="BK17" s="94">
        <v>4.9047319312804847</v>
      </c>
      <c r="BL17" s="94">
        <v>0.14017890795839225</v>
      </c>
      <c r="BM17" s="94">
        <v>1.4577457375951082</v>
      </c>
      <c r="BN17" s="94">
        <f t="shared" si="23"/>
        <v>1.5979246455535003</v>
      </c>
      <c r="BO17" s="107"/>
      <c r="BP17" s="40">
        <f t="shared" si="24"/>
        <v>2.7770599340433355</v>
      </c>
      <c r="BQ17" s="94">
        <v>3.0268449847593342</v>
      </c>
      <c r="BR17" s="94">
        <v>0.29099091647974057</v>
      </c>
      <c r="BS17" s="94">
        <v>0.95378747142604337</v>
      </c>
      <c r="BT17" s="94">
        <f t="shared" si="25"/>
        <v>1.2447783879057839</v>
      </c>
      <c r="BU17" s="91" t="str">
        <f t="shared" si="26"/>
        <v>Transport and storage</v>
      </c>
      <c r="BV17" s="40">
        <f t="shared" si="27"/>
        <v>2.3754907319287089</v>
      </c>
      <c r="BW17" s="11">
        <v>50.110811503507264</v>
      </c>
      <c r="BX17" s="94">
        <v>0.37983071614327241</v>
      </c>
      <c r="BY17" s="94">
        <v>13.260311196398852</v>
      </c>
      <c r="BZ17" s="94">
        <f t="shared" si="28"/>
        <v>13.640141912542125</v>
      </c>
      <c r="CA17" s="94"/>
      <c r="CB17" s="40">
        <f t="shared" si="29"/>
        <v>2.3338534370635156</v>
      </c>
      <c r="CC17" s="94">
        <v>14.74166253806875</v>
      </c>
      <c r="CD17" s="94">
        <v>-4.5191002676533572</v>
      </c>
      <c r="CE17" s="94">
        <v>3.8252523053004484</v>
      </c>
      <c r="CF17" s="94">
        <f t="shared" si="30"/>
        <v>-0.6938479623529088</v>
      </c>
      <c r="CH17" s="40">
        <f t="shared" si="31"/>
        <v>2.3772663395688065</v>
      </c>
      <c r="CI17" s="94">
        <v>32.323025931939064</v>
      </c>
      <c r="CJ17" s="94">
        <v>3.459835793309614</v>
      </c>
      <c r="CK17" s="94">
        <v>8.5604017208804635</v>
      </c>
      <c r="CL17" s="94">
        <f t="shared" si="32"/>
        <v>12.020237514190077</v>
      </c>
      <c r="CM17" s="107"/>
      <c r="CN17" s="40">
        <f t="shared" si="33"/>
        <v>2.5563381424586806</v>
      </c>
      <c r="CO17" s="94">
        <v>3.0461230334994571</v>
      </c>
      <c r="CP17" s="94">
        <v>1.4390951904870155</v>
      </c>
      <c r="CQ17" s="94">
        <v>0.87465717021794065</v>
      </c>
      <c r="CR17" s="94">
        <f t="shared" si="34"/>
        <v>2.3137523607049562</v>
      </c>
      <c r="CS17" s="91" t="str">
        <f t="shared" si="35"/>
        <v>Transport and storage</v>
      </c>
      <c r="CT17" s="40">
        <f t="shared" si="36"/>
        <v>2.3083258626595438</v>
      </c>
      <c r="CU17" s="11">
        <v>3.5452200523650017</v>
      </c>
      <c r="CV17" s="94">
        <v>-0.37814690326821171</v>
      </c>
      <c r="CW17" s="94">
        <v>0.90880830691168701</v>
      </c>
      <c r="CX17" s="94">
        <f t="shared" si="37"/>
        <v>0.53066140364347536</v>
      </c>
      <c r="CY17" s="94"/>
      <c r="CZ17" s="40">
        <f t="shared" si="38"/>
        <v>2.3896892286912941</v>
      </c>
      <c r="DA17" s="94">
        <v>1.5820648528550136</v>
      </c>
      <c r="DB17" s="94">
        <v>-0.91701617077097408</v>
      </c>
      <c r="DC17" s="94">
        <v>0.42142215618484119</v>
      </c>
      <c r="DD17" s="94">
        <f t="shared" si="39"/>
        <v>-0.49559401458613289</v>
      </c>
      <c r="DF17" s="40">
        <f t="shared" si="40"/>
        <v>2.2469738978732945</v>
      </c>
      <c r="DG17" s="94">
        <v>1.8589580112301323</v>
      </c>
      <c r="DH17" s="94">
        <v>0.40224479324612111</v>
      </c>
      <c r="DI17" s="94">
        <v>0.4625715344934439</v>
      </c>
      <c r="DJ17" s="94">
        <f t="shared" si="41"/>
        <v>0.86481632773956507</v>
      </c>
      <c r="DK17" s="107"/>
      <c r="DL17" s="40">
        <f t="shared" si="42"/>
        <v>2.1591674565122787</v>
      </c>
      <c r="DM17" s="94">
        <v>0.10419718827985559</v>
      </c>
      <c r="DN17" s="94">
        <v>0.13662447425664134</v>
      </c>
      <c r="DO17" s="94">
        <v>2.4814616233402073E-2</v>
      </c>
      <c r="DP17" s="94">
        <f t="shared" si="43"/>
        <v>0.1614390904900434</v>
      </c>
    </row>
    <row r="18" spans="1:120" x14ac:dyDescent="0.2">
      <c r="A18" s="91" t="str">
        <f>name!B14</f>
        <v>Accommodation and food</v>
      </c>
      <c r="B18" s="40">
        <f t="shared" si="1"/>
        <v>2.7290326750703198</v>
      </c>
      <c r="C18" s="11">
        <v>12.952999999999982</v>
      </c>
      <c r="D18" s="94">
        <v>0.38799999999999019</v>
      </c>
      <c r="E18" s="94">
        <v>4.0021779615326993</v>
      </c>
      <c r="F18" s="94">
        <f t="shared" si="2"/>
        <v>4.3901779615326895</v>
      </c>
      <c r="G18" s="94"/>
      <c r="H18" s="40">
        <f t="shared" si="3"/>
        <v>2.439043046528111</v>
      </c>
      <c r="I18" s="94">
        <v>0.98180011788807253</v>
      </c>
      <c r="J18" s="94">
        <v>-0.31823538887421476</v>
      </c>
      <c r="K18" s="94">
        <v>0.26753287063716108</v>
      </c>
      <c r="L18" s="94">
        <f t="shared" si="4"/>
        <v>-5.0702518237053684E-2</v>
      </c>
      <c r="N18" s="40">
        <f t="shared" si="5"/>
        <v>2.4753153877203893</v>
      </c>
      <c r="O18" s="94">
        <v>4.3897999117505364</v>
      </c>
      <c r="P18" s="94">
        <v>-3.3729018992914917E-3</v>
      </c>
      <c r="Q18" s="94">
        <v>1.2159970209281907</v>
      </c>
      <c r="R18" s="94">
        <f t="shared" si="6"/>
        <v>1.2126241190288993</v>
      </c>
      <c r="S18" s="107"/>
      <c r="T18" s="40">
        <f t="shared" si="7"/>
        <v>2.9099584906887133</v>
      </c>
      <c r="U18" s="94">
        <v>7.5813999703613737</v>
      </c>
      <c r="V18" s="94">
        <v>0.70960829077349641</v>
      </c>
      <c r="W18" s="94">
        <v>2.5186480699673486</v>
      </c>
      <c r="X18" s="94">
        <f t="shared" si="8"/>
        <v>3.2282563607408452</v>
      </c>
      <c r="Y18" s="91" t="str">
        <f t="shared" si="0"/>
        <v>Accommodation and food</v>
      </c>
      <c r="Z18" s="40">
        <f t="shared" si="9"/>
        <v>2.9001988046052141</v>
      </c>
      <c r="AA18" s="11">
        <v>8.41715005869405</v>
      </c>
      <c r="AB18" s="94">
        <v>1.2401845545007941</v>
      </c>
      <c r="AC18" s="94">
        <v>2.7856660704349108</v>
      </c>
      <c r="AD18" s="94">
        <f t="shared" si="10"/>
        <v>4.0258506249357051</v>
      </c>
      <c r="AE18" s="94"/>
      <c r="AF18" s="40">
        <f t="shared" si="11"/>
        <v>2.6294544068126147</v>
      </c>
      <c r="AG18" s="94">
        <v>0.26152951231038224</v>
      </c>
      <c r="AH18" s="94">
        <v>-4.5405475739936016E-2</v>
      </c>
      <c r="AI18" s="94">
        <v>7.7502654523601097E-2</v>
      </c>
      <c r="AJ18" s="94">
        <f t="shared" si="12"/>
        <v>3.2097178783665081E-2</v>
      </c>
      <c r="AL18" s="40">
        <f t="shared" si="13"/>
        <v>2.7712915947119443</v>
      </c>
      <c r="AM18" s="94">
        <v>1.603753842229815</v>
      </c>
      <c r="AN18" s="94">
        <v>0.37014463186933377</v>
      </c>
      <c r="AO18" s="94">
        <v>0.50417456272407901</v>
      </c>
      <c r="AP18" s="94">
        <f t="shared" si="14"/>
        <v>0.87431919459341279</v>
      </c>
      <c r="AQ18" s="107"/>
      <c r="AR18" s="40">
        <f t="shared" si="15"/>
        <v>2.9421782199993585</v>
      </c>
      <c r="AS18" s="94">
        <v>6.5518667041538512</v>
      </c>
      <c r="AT18" s="94">
        <v>0.91544539837139627</v>
      </c>
      <c r="AU18" s="94">
        <v>2.2039888531872305</v>
      </c>
      <c r="AV18" s="94">
        <f t="shared" si="16"/>
        <v>3.1194342515586269</v>
      </c>
      <c r="AW18" s="91" t="str">
        <f t="shared" si="17"/>
        <v>Accommodation and food</v>
      </c>
      <c r="AX18" s="40">
        <f t="shared" si="18"/>
        <v>2.6824624047876666</v>
      </c>
      <c r="AY18" s="11">
        <v>1.5529698962248977</v>
      </c>
      <c r="AZ18" s="94">
        <v>-0.46999464299830562</v>
      </c>
      <c r="BA18" s="94">
        <v>0.47063529840578655</v>
      </c>
      <c r="BB18" s="94">
        <f t="shared" si="19"/>
        <v>6.4065540748092786E-4</v>
      </c>
      <c r="BC18" s="94"/>
      <c r="BD18" s="40">
        <f t="shared" si="20"/>
        <v>2.5523204536911814</v>
      </c>
      <c r="BE18" s="94">
        <v>0.13614442022126955</v>
      </c>
      <c r="BF18" s="94">
        <v>-6.3296157131409597E-2</v>
      </c>
      <c r="BG18" s="94">
        <v>3.9023576340022549E-2</v>
      </c>
      <c r="BH18" s="94">
        <f t="shared" si="21"/>
        <v>-2.4272580791387048E-2</v>
      </c>
      <c r="BJ18" s="40">
        <f t="shared" si="22"/>
        <v>2.6286177015529599</v>
      </c>
      <c r="BK18" s="94">
        <v>0.68908932411816504</v>
      </c>
      <c r="BL18" s="94">
        <v>-0.20218556619821521</v>
      </c>
      <c r="BM18" s="94">
        <v>0.20413453714844726</v>
      </c>
      <c r="BN18" s="94">
        <f t="shared" si="23"/>
        <v>1.948970950232054E-3</v>
      </c>
      <c r="BO18" s="107"/>
      <c r="BP18" s="40">
        <f t="shared" si="24"/>
        <v>2.7572901368161595</v>
      </c>
      <c r="BQ18" s="94">
        <v>0.72773615188546292</v>
      </c>
      <c r="BR18" s="94">
        <v>-0.20451291966868082</v>
      </c>
      <c r="BS18" s="94">
        <v>0.22747718491731678</v>
      </c>
      <c r="BT18" s="94">
        <f t="shared" si="25"/>
        <v>2.2964265248635957E-2</v>
      </c>
      <c r="BU18" s="91" t="str">
        <f t="shared" si="26"/>
        <v>Accommodation and food</v>
      </c>
      <c r="BV18" s="40">
        <f t="shared" si="27"/>
        <v>2.2597619936791435</v>
      </c>
      <c r="BW18" s="11">
        <v>2.763662773835291</v>
      </c>
      <c r="BX18" s="94">
        <v>-0.23042163432403942</v>
      </c>
      <c r="BY18" s="94">
        <v>0.69201169643440363</v>
      </c>
      <c r="BZ18" s="94">
        <f t="shared" si="28"/>
        <v>0.46159006211036424</v>
      </c>
      <c r="CA18" s="94"/>
      <c r="CB18" s="40">
        <f t="shared" si="29"/>
        <v>2.2744187655870496</v>
      </c>
      <c r="CC18" s="94">
        <v>0.53420672462394658</v>
      </c>
      <c r="CD18" s="94">
        <v>-0.18314245506199275</v>
      </c>
      <c r="CE18" s="94">
        <v>0.13472154653176011</v>
      </c>
      <c r="CF18" s="94">
        <f t="shared" si="30"/>
        <v>-4.8420908530232648E-2</v>
      </c>
      <c r="CH18" s="40">
        <f t="shared" si="31"/>
        <v>2.2063029939758838</v>
      </c>
      <c r="CI18" s="94">
        <v>1.9276589348892854</v>
      </c>
      <c r="CJ18" s="94">
        <v>-4.5954991332827419E-2</v>
      </c>
      <c r="CK18" s="94">
        <v>0.47010811803984248</v>
      </c>
      <c r="CL18" s="94">
        <f t="shared" si="32"/>
        <v>0.42415312670701505</v>
      </c>
      <c r="CM18" s="107"/>
      <c r="CN18" s="40">
        <f t="shared" si="33"/>
        <v>2.5701813988873834</v>
      </c>
      <c r="CO18" s="94">
        <v>0.30179711432205908</v>
      </c>
      <c r="CP18" s="94">
        <v>-1.3241879292192368E-3</v>
      </c>
      <c r="CQ18" s="94">
        <v>8.7182031862801102E-2</v>
      </c>
      <c r="CR18" s="94">
        <f t="shared" si="34"/>
        <v>8.5857843933581868E-2</v>
      </c>
      <c r="CS18" s="91" t="str">
        <f t="shared" si="35"/>
        <v>Accommodation and food</v>
      </c>
      <c r="CT18" s="40">
        <f t="shared" si="36"/>
        <v>2.2214077027330692</v>
      </c>
      <c r="CU18" s="11">
        <v>0.21921727124574525</v>
      </c>
      <c r="CV18" s="94">
        <v>-0.15176827717845895</v>
      </c>
      <c r="CW18" s="94">
        <v>5.386489625759925E-2</v>
      </c>
      <c r="CX18" s="94">
        <f t="shared" si="37"/>
        <v>-9.7903380920859706E-2</v>
      </c>
      <c r="CY18" s="94"/>
      <c r="CZ18" s="40">
        <f t="shared" si="38"/>
        <v>2.8636185424038896</v>
      </c>
      <c r="DA18" s="94">
        <v>4.9919460732474302E-2</v>
      </c>
      <c r="DB18" s="94">
        <v>-2.6391300940876338E-2</v>
      </c>
      <c r="DC18" s="94">
        <v>1.6285093241777283E-2</v>
      </c>
      <c r="DD18" s="94">
        <f t="shared" si="39"/>
        <v>-1.0106207699099055E-2</v>
      </c>
      <c r="DF18" s="40">
        <f t="shared" si="40"/>
        <v>2.0249088908695478</v>
      </c>
      <c r="DG18" s="94">
        <v>0.16929781051327095</v>
      </c>
      <c r="DH18" s="94">
        <v>-0.12537697623758262</v>
      </c>
      <c r="DI18" s="94">
        <v>3.7579803015821964E-2</v>
      </c>
      <c r="DJ18" s="94">
        <f t="shared" si="41"/>
        <v>-8.7797173221760658E-2</v>
      </c>
      <c r="DK18" s="107"/>
      <c r="DL18" s="40">
        <f t="shared" si="42"/>
        <v>0</v>
      </c>
      <c r="DM18" s="94">
        <v>0</v>
      </c>
      <c r="DN18" s="94">
        <v>0</v>
      </c>
      <c r="DO18" s="94">
        <v>0</v>
      </c>
      <c r="DP18" s="94">
        <f t="shared" si="43"/>
        <v>0</v>
      </c>
    </row>
    <row r="19" spans="1:120" x14ac:dyDescent="0.2">
      <c r="A19" s="91" t="str">
        <f>name!B15</f>
        <v>Media</v>
      </c>
      <c r="B19" s="40">
        <f t="shared" si="1"/>
        <v>2.650879874909351</v>
      </c>
      <c r="C19" s="11">
        <v>16.661999999999964</v>
      </c>
      <c r="D19" s="94">
        <v>-1.8919999999999957</v>
      </c>
      <c r="E19" s="94">
        <v>4.9828157385534926</v>
      </c>
      <c r="F19" s="94">
        <f t="shared" si="2"/>
        <v>3.0908157385534967</v>
      </c>
      <c r="G19" s="94"/>
      <c r="H19" s="40">
        <f t="shared" si="3"/>
        <v>2.421853726448564</v>
      </c>
      <c r="I19" s="94">
        <v>1.9434405643167627</v>
      </c>
      <c r="J19" s="94">
        <v>-0.90855133713639524</v>
      </c>
      <c r="K19" s="94">
        <v>0.52542579270375545</v>
      </c>
      <c r="L19" s="94">
        <f t="shared" si="4"/>
        <v>-0.3831255444326398</v>
      </c>
      <c r="N19" s="40">
        <f t="shared" si="5"/>
        <v>2.4061732586688978</v>
      </c>
      <c r="O19" s="94">
        <v>7.733476770699653</v>
      </c>
      <c r="P19" s="94">
        <v>-1.0294803032346584</v>
      </c>
      <c r="Q19" s="94">
        <v>2.0757813219951484</v>
      </c>
      <c r="R19" s="94">
        <f t="shared" si="6"/>
        <v>1.04630101876049</v>
      </c>
      <c r="S19" s="107"/>
      <c r="T19" s="40">
        <f t="shared" si="7"/>
        <v>2.9772916903296753</v>
      </c>
      <c r="U19" s="94">
        <v>6.9850826649835493</v>
      </c>
      <c r="V19" s="94">
        <v>4.6031640371057968E-2</v>
      </c>
      <c r="W19" s="94">
        <v>2.3816086238545888</v>
      </c>
      <c r="X19" s="94">
        <f t="shared" si="8"/>
        <v>2.4276402642256469</v>
      </c>
      <c r="Y19" s="91" t="str">
        <f t="shared" si="0"/>
        <v>Media</v>
      </c>
      <c r="Z19" s="40">
        <f t="shared" si="9"/>
        <v>2.9185657815322896</v>
      </c>
      <c r="AA19" s="11">
        <v>8.3794062941985281</v>
      </c>
      <c r="AB19" s="94">
        <v>-0.17587640052692693</v>
      </c>
      <c r="AC19" s="94">
        <v>2.7930973117040807</v>
      </c>
      <c r="AD19" s="94">
        <f t="shared" si="10"/>
        <v>2.6172209111771538</v>
      </c>
      <c r="AE19" s="94"/>
      <c r="AF19" s="40">
        <f t="shared" si="11"/>
        <v>2.7459576371490213</v>
      </c>
      <c r="AG19" s="94">
        <v>0.31243496317011898</v>
      </c>
      <c r="AH19" s="94">
        <v>-0.10738960201360218</v>
      </c>
      <c r="AI19" s="94">
        <v>9.7209482795084096E-2</v>
      </c>
      <c r="AJ19" s="94">
        <f t="shared" si="12"/>
        <v>-1.018011921851808E-2</v>
      </c>
      <c r="AL19" s="40">
        <f t="shared" si="13"/>
        <v>2.6372520747176109</v>
      </c>
      <c r="AM19" s="94">
        <v>2.000766979672798</v>
      </c>
      <c r="AN19" s="94">
        <v>-0.14537129206384908</v>
      </c>
      <c r="AO19" s="94">
        <v>0.59488625177063192</v>
      </c>
      <c r="AP19" s="94">
        <f t="shared" si="14"/>
        <v>0.44951495970678285</v>
      </c>
      <c r="AQ19" s="107"/>
      <c r="AR19" s="40">
        <f t="shared" si="15"/>
        <v>3.0186007978292295</v>
      </c>
      <c r="AS19" s="94">
        <v>6.0662043513556112</v>
      </c>
      <c r="AT19" s="94">
        <v>7.6884493550524291E-2</v>
      </c>
      <c r="AU19" s="94">
        <v>2.1010015771383648</v>
      </c>
      <c r="AV19" s="94">
        <f t="shared" si="16"/>
        <v>2.177886070688889</v>
      </c>
      <c r="AW19" s="91" t="str">
        <f t="shared" si="17"/>
        <v>Media</v>
      </c>
      <c r="AX19" s="40">
        <f t="shared" si="18"/>
        <v>2.6651859485115947</v>
      </c>
      <c r="AY19" s="11">
        <v>1.664971822536162</v>
      </c>
      <c r="AZ19" s="94">
        <v>-0.7022088254799439</v>
      </c>
      <c r="BA19" s="94">
        <v>0.50093050963156127</v>
      </c>
      <c r="BB19" s="94">
        <f t="shared" si="19"/>
        <v>-0.20127831584838263</v>
      </c>
      <c r="BC19" s="94"/>
      <c r="BD19" s="40">
        <f t="shared" si="20"/>
        <v>2.581820000482149</v>
      </c>
      <c r="BE19" s="94">
        <v>0.26372544688368038</v>
      </c>
      <c r="BF19" s="94">
        <v>-0.10831956062703628</v>
      </c>
      <c r="BG19" s="94">
        <v>7.6569920735424277E-2</v>
      </c>
      <c r="BH19" s="94">
        <f t="shared" si="21"/>
        <v>-3.1749639891612003E-2</v>
      </c>
      <c r="BJ19" s="40">
        <f t="shared" si="22"/>
        <v>2.6382225672916038</v>
      </c>
      <c r="BK19" s="94">
        <v>0.90622693590093328</v>
      </c>
      <c r="BL19" s="94">
        <v>-0.31112932759164502</v>
      </c>
      <c r="BM19" s="94">
        <v>0.26955881347514621</v>
      </c>
      <c r="BN19" s="94">
        <f t="shared" si="23"/>
        <v>-4.1570514116498813E-2</v>
      </c>
      <c r="BO19" s="107"/>
      <c r="BP19" s="40">
        <f t="shared" si="24"/>
        <v>2.7583597057282416</v>
      </c>
      <c r="BQ19" s="94">
        <v>0.4950194397515485</v>
      </c>
      <c r="BR19" s="94">
        <v>-0.28275993726126269</v>
      </c>
      <c r="BS19" s="94">
        <v>0.15480177542099077</v>
      </c>
      <c r="BT19" s="94">
        <f t="shared" si="25"/>
        <v>-0.12795816184027192</v>
      </c>
      <c r="BU19" s="91" t="str">
        <f t="shared" si="26"/>
        <v>Media</v>
      </c>
      <c r="BV19" s="40">
        <f t="shared" si="27"/>
        <v>2.301250253200271</v>
      </c>
      <c r="BW19" s="11">
        <v>5.9165033698801821</v>
      </c>
      <c r="BX19" s="94">
        <v>-1.0278366832146471</v>
      </c>
      <c r="BY19" s="94">
        <v>1.5115416978807021</v>
      </c>
      <c r="BZ19" s="94">
        <f t="shared" si="28"/>
        <v>0.48370501466605509</v>
      </c>
      <c r="CA19" s="94"/>
      <c r="CB19" s="40">
        <f t="shared" si="29"/>
        <v>2.3115008885774335</v>
      </c>
      <c r="CC19" s="94">
        <v>1.2498018824231734</v>
      </c>
      <c r="CD19" s="94">
        <v>-0.61465964280907215</v>
      </c>
      <c r="CE19" s="94">
        <v>0.32087094919664594</v>
      </c>
      <c r="CF19" s="94">
        <f t="shared" si="30"/>
        <v>-0.29378869361242621</v>
      </c>
      <c r="CH19" s="40">
        <f t="shared" si="31"/>
        <v>2.2668844506140928</v>
      </c>
      <c r="CI19" s="94">
        <v>4.2539717403366248</v>
      </c>
      <c r="CJ19" s="94">
        <v>-0.61145217832122922</v>
      </c>
      <c r="CK19" s="94">
        <v>1.0688859433031883</v>
      </c>
      <c r="CL19" s="94">
        <f t="shared" si="32"/>
        <v>0.45743376498195909</v>
      </c>
      <c r="CM19" s="107"/>
      <c r="CN19" s="40">
        <f t="shared" si="33"/>
        <v>2.6193775887513038</v>
      </c>
      <c r="CO19" s="94">
        <v>0.41272974712038374</v>
      </c>
      <c r="CP19" s="94">
        <v>0.19827513791565432</v>
      </c>
      <c r="CQ19" s="94">
        <v>0.12178480538086794</v>
      </c>
      <c r="CR19" s="94">
        <f t="shared" si="34"/>
        <v>0.32005994329652226</v>
      </c>
      <c r="CS19" s="91" t="str">
        <f t="shared" si="35"/>
        <v>Media</v>
      </c>
      <c r="CT19" s="40">
        <f t="shared" si="36"/>
        <v>2.2794409399427673</v>
      </c>
      <c r="CU19" s="11">
        <v>0.70111851338509235</v>
      </c>
      <c r="CV19" s="94">
        <v>1.3921909221522149E-2</v>
      </c>
      <c r="CW19" s="94">
        <v>0.17724621933714907</v>
      </c>
      <c r="CX19" s="94">
        <f t="shared" si="37"/>
        <v>0.19116812855867121</v>
      </c>
      <c r="CY19" s="94"/>
      <c r="CZ19" s="40">
        <f t="shared" si="38"/>
        <v>2.3539960057005649</v>
      </c>
      <c r="DA19" s="94">
        <v>0.11747827183979</v>
      </c>
      <c r="DB19" s="94">
        <v>-7.8182531686684584E-2</v>
      </c>
      <c r="DC19" s="94">
        <v>3.0775439976601052E-2</v>
      </c>
      <c r="DD19" s="94">
        <f t="shared" si="39"/>
        <v>-4.7407091710083532E-2</v>
      </c>
      <c r="DF19" s="40">
        <f t="shared" si="40"/>
        <v>2.2468339355165234</v>
      </c>
      <c r="DG19" s="94">
        <v>0.57251111478929684</v>
      </c>
      <c r="DH19" s="94">
        <v>3.8472494742064697E-2</v>
      </c>
      <c r="DI19" s="94">
        <v>0.14245031344618231</v>
      </c>
      <c r="DJ19" s="94">
        <f t="shared" si="41"/>
        <v>0.18092280818824702</v>
      </c>
      <c r="DK19" s="107"/>
      <c r="DL19" s="40">
        <f t="shared" si="42"/>
        <v>3.132129843378717</v>
      </c>
      <c r="DM19" s="94">
        <v>1.1129126756005558E-2</v>
      </c>
      <c r="DN19" s="94">
        <v>5.3631946166142037E-2</v>
      </c>
      <c r="DO19" s="94">
        <v>4.0204659143656838E-3</v>
      </c>
      <c r="DP19" s="94">
        <f t="shared" si="43"/>
        <v>5.7652412080507719E-2</v>
      </c>
    </row>
    <row r="20" spans="1:120" x14ac:dyDescent="0.2">
      <c r="A20" s="91" t="str">
        <f>name!B16</f>
        <v>Information technology</v>
      </c>
      <c r="B20" s="40">
        <f t="shared" si="1"/>
        <v>2.630000270050048</v>
      </c>
      <c r="C20" s="11">
        <v>34.601999999999876</v>
      </c>
      <c r="D20" s="94">
        <v>-3.8549999999999471</v>
      </c>
      <c r="E20" s="94">
        <v>10.256474686233423</v>
      </c>
      <c r="F20" s="94">
        <f t="shared" si="2"/>
        <v>6.4014746862334757</v>
      </c>
      <c r="G20" s="94"/>
      <c r="H20" s="40">
        <f t="shared" si="3"/>
        <v>2.4896239324975644</v>
      </c>
      <c r="I20" s="94">
        <v>6.3842523172142389</v>
      </c>
      <c r="J20" s="94">
        <v>-1.3027470433857931</v>
      </c>
      <c r="K20" s="94">
        <v>1.7798612708286927</v>
      </c>
      <c r="L20" s="94">
        <f t="shared" si="4"/>
        <v>0.47711422744289966</v>
      </c>
      <c r="N20" s="40">
        <f t="shared" si="5"/>
        <v>2.5461854565335118</v>
      </c>
      <c r="O20" s="94">
        <v>18.08880807286123</v>
      </c>
      <c r="P20" s="94">
        <v>-2.1012037936311048</v>
      </c>
      <c r="Q20" s="94">
        <v>5.1709423641740262</v>
      </c>
      <c r="R20" s="94">
        <f t="shared" si="6"/>
        <v>3.0697385705429214</v>
      </c>
      <c r="S20" s="107"/>
      <c r="T20" s="40">
        <f t="shared" si="7"/>
        <v>2.8646399549337564</v>
      </c>
      <c r="U20" s="94">
        <v>10.128939609924409</v>
      </c>
      <c r="V20" s="94">
        <v>-0.45104916298304948</v>
      </c>
      <c r="W20" s="94">
        <v>3.3056710512307044</v>
      </c>
      <c r="X20" s="94">
        <f t="shared" si="8"/>
        <v>2.8546218882476548</v>
      </c>
      <c r="Y20" s="91" t="str">
        <f t="shared" si="0"/>
        <v>Information technology</v>
      </c>
      <c r="Z20" s="40">
        <f t="shared" si="9"/>
        <v>2.8552821094793401</v>
      </c>
      <c r="AA20" s="11">
        <v>13.953182859548033</v>
      </c>
      <c r="AB20" s="94">
        <v>-1.67980428374619</v>
      </c>
      <c r="AC20" s="94">
        <v>4.5369181113981396</v>
      </c>
      <c r="AD20" s="94">
        <f t="shared" si="10"/>
        <v>2.8571138276519497</v>
      </c>
      <c r="AE20" s="94"/>
      <c r="AF20" s="40">
        <f t="shared" si="11"/>
        <v>2.798663449076022</v>
      </c>
      <c r="AG20" s="94">
        <v>1.2847958755225881</v>
      </c>
      <c r="AH20" s="94">
        <v>-0.12384047360641834</v>
      </c>
      <c r="AI20" s="94">
        <v>0.40840629030865233</v>
      </c>
      <c r="AJ20" s="94">
        <f t="shared" si="12"/>
        <v>0.28456581670223402</v>
      </c>
      <c r="AL20" s="40">
        <f t="shared" si="13"/>
        <v>2.7559320611477256</v>
      </c>
      <c r="AM20" s="94">
        <v>4.8268191334861674</v>
      </c>
      <c r="AN20" s="94">
        <v>-0.57107107367591969</v>
      </c>
      <c r="AO20" s="94">
        <v>1.5079392492593697</v>
      </c>
      <c r="AP20" s="94">
        <f t="shared" si="14"/>
        <v>0.93686817558345004</v>
      </c>
      <c r="AQ20" s="107"/>
      <c r="AR20" s="40">
        <f t="shared" si="15"/>
        <v>2.9252105333952505</v>
      </c>
      <c r="AS20" s="94">
        <v>7.8415678505392767</v>
      </c>
      <c r="AT20" s="94">
        <v>-0.98489273646385189</v>
      </c>
      <c r="AU20" s="94">
        <v>2.6205725718301167</v>
      </c>
      <c r="AV20" s="94">
        <f t="shared" si="16"/>
        <v>1.6356798353662647</v>
      </c>
      <c r="AW20" s="91" t="str">
        <f t="shared" si="17"/>
        <v>Information technology</v>
      </c>
      <c r="AX20" s="40">
        <f t="shared" si="18"/>
        <v>2.6748514920266198</v>
      </c>
      <c r="AY20" s="11">
        <v>4.2099312351777032</v>
      </c>
      <c r="AZ20" s="94">
        <v>-0.56161412539516631</v>
      </c>
      <c r="BA20" s="94">
        <v>1.2717759825285015</v>
      </c>
      <c r="BB20" s="94">
        <f t="shared" si="19"/>
        <v>0.71016185713333524</v>
      </c>
      <c r="BC20" s="94"/>
      <c r="BD20" s="40">
        <f t="shared" si="20"/>
        <v>2.5994582145060452</v>
      </c>
      <c r="BE20" s="94">
        <v>0.53565838194452042</v>
      </c>
      <c r="BF20" s="94">
        <v>-7.8618004194655866E-2</v>
      </c>
      <c r="BG20" s="94">
        <v>0.15671215650903289</v>
      </c>
      <c r="BH20" s="94">
        <f t="shared" si="21"/>
        <v>7.8094152314377024E-2</v>
      </c>
      <c r="BJ20" s="40">
        <f t="shared" si="22"/>
        <v>2.6483527756445246</v>
      </c>
      <c r="BK20" s="94">
        <v>2.2560634885597532</v>
      </c>
      <c r="BL20" s="94">
        <v>-0.30542322205299727</v>
      </c>
      <c r="BM20" s="94">
        <v>0.67396040804007895</v>
      </c>
      <c r="BN20" s="94">
        <f t="shared" si="23"/>
        <v>0.36853718598708168</v>
      </c>
      <c r="BO20" s="107"/>
      <c r="BP20" s="40">
        <f t="shared" si="24"/>
        <v>2.7451216362557762</v>
      </c>
      <c r="BQ20" s="94">
        <v>1.4182093646734297</v>
      </c>
      <c r="BR20" s="94">
        <v>-0.17757289914751315</v>
      </c>
      <c r="BS20" s="94">
        <v>0.44110341797938962</v>
      </c>
      <c r="BT20" s="94">
        <f t="shared" si="25"/>
        <v>0.2635305188318765</v>
      </c>
      <c r="BU20" s="91" t="str">
        <f t="shared" si="26"/>
        <v>Information technology</v>
      </c>
      <c r="BV20" s="40">
        <f t="shared" si="27"/>
        <v>2.4242377604531073</v>
      </c>
      <c r="BW20" s="11">
        <v>15.223628532016798</v>
      </c>
      <c r="BX20" s="94">
        <v>-1.9724996964398605</v>
      </c>
      <c r="BY20" s="94">
        <v>4.1203403348407761</v>
      </c>
      <c r="BZ20" s="94">
        <f t="shared" si="28"/>
        <v>2.1478406384009157</v>
      </c>
      <c r="CA20" s="94"/>
      <c r="CB20" s="40">
        <f t="shared" si="29"/>
        <v>2.4043230891266143</v>
      </c>
      <c r="CC20" s="94">
        <v>4.0549670831540263</v>
      </c>
      <c r="CD20" s="94">
        <v>-0.87521384736118646</v>
      </c>
      <c r="CE20" s="94">
        <v>1.0874848929554206</v>
      </c>
      <c r="CF20" s="94">
        <f t="shared" si="30"/>
        <v>0.21227104559423415</v>
      </c>
      <c r="CH20" s="40">
        <f t="shared" si="31"/>
        <v>2.4287404250380895</v>
      </c>
      <c r="CI20" s="94">
        <v>10.383652468950638</v>
      </c>
      <c r="CJ20" s="94">
        <v>-1.3016002996443403</v>
      </c>
      <c r="CK20" s="94">
        <v>2.8161814283025186</v>
      </c>
      <c r="CL20" s="94">
        <f t="shared" si="32"/>
        <v>1.5145811286581783</v>
      </c>
      <c r="CM20" s="107"/>
      <c r="CN20" s="40">
        <f t="shared" si="33"/>
        <v>2.4673648385086233</v>
      </c>
      <c r="CO20" s="94">
        <v>0.78500897991213381</v>
      </c>
      <c r="CP20" s="94">
        <v>0.20431445056566661</v>
      </c>
      <c r="CQ20" s="94">
        <v>0.21667401358283661</v>
      </c>
      <c r="CR20" s="94">
        <f t="shared" si="34"/>
        <v>0.42098846414850322</v>
      </c>
      <c r="CS20" s="91" t="str">
        <f t="shared" si="35"/>
        <v>Information technology</v>
      </c>
      <c r="CT20" s="40">
        <f t="shared" si="36"/>
        <v>2.4144541847002987</v>
      </c>
      <c r="CU20" s="11">
        <v>1.2152573732573435</v>
      </c>
      <c r="CV20" s="94">
        <v>0.35891810558126896</v>
      </c>
      <c r="CW20" s="94">
        <v>0.32744025746600702</v>
      </c>
      <c r="CX20" s="94">
        <f t="shared" si="37"/>
        <v>0.68635836304727604</v>
      </c>
      <c r="CY20" s="94"/>
      <c r="CZ20" s="40">
        <f t="shared" si="38"/>
        <v>2.2573250871402939</v>
      </c>
      <c r="DA20" s="94">
        <v>0.50883097659310417</v>
      </c>
      <c r="DB20" s="94">
        <v>-0.22507471822353237</v>
      </c>
      <c r="DC20" s="94">
        <v>0.12725793105558686</v>
      </c>
      <c r="DD20" s="94">
        <f t="shared" si="39"/>
        <v>-9.7816787167945507E-2</v>
      </c>
      <c r="DF20" s="40">
        <f t="shared" si="40"/>
        <v>2.4816129596337833</v>
      </c>
      <c r="DG20" s="94">
        <v>0.62227298186467062</v>
      </c>
      <c r="DH20" s="94">
        <v>7.6890801742152348E-2</v>
      </c>
      <c r="DI20" s="94">
        <v>0.1728612785720591</v>
      </c>
      <c r="DJ20" s="94">
        <f t="shared" si="41"/>
        <v>0.24975208031421145</v>
      </c>
      <c r="DK20" s="107"/>
      <c r="DL20" s="40">
        <f t="shared" si="42"/>
        <v>2.8514371248256065</v>
      </c>
      <c r="DM20" s="94">
        <v>8.4153414799568824E-2</v>
      </c>
      <c r="DN20" s="94">
        <v>0.50710202206264898</v>
      </c>
      <c r="DO20" s="94">
        <v>2.7321047838361107E-2</v>
      </c>
      <c r="DP20" s="94">
        <f t="shared" si="43"/>
        <v>0.53442306990101007</v>
      </c>
    </row>
    <row r="21" spans="1:120" x14ac:dyDescent="0.2">
      <c r="A21" s="91" t="str">
        <f>name!B17</f>
        <v>Finance and insurance</v>
      </c>
      <c r="B21" s="40">
        <f t="shared" si="1"/>
        <v>2.4812804219719098</v>
      </c>
      <c r="C21" s="11">
        <v>33.322999999999901</v>
      </c>
      <c r="D21" s="94">
        <v>-3.4569999999999741</v>
      </c>
      <c r="E21" s="94">
        <v>9.2554181233713848</v>
      </c>
      <c r="F21" s="94">
        <f t="shared" si="2"/>
        <v>5.7984181233714107</v>
      </c>
      <c r="G21" s="94"/>
      <c r="H21" s="40">
        <f t="shared" si="3"/>
        <v>2.3436986854765918</v>
      </c>
      <c r="I21" s="94">
        <v>7.7779668974735596</v>
      </c>
      <c r="J21" s="94">
        <v>-2.1913610207501648</v>
      </c>
      <c r="K21" s="94">
        <v>2.0277008362964004</v>
      </c>
      <c r="L21" s="94">
        <f t="shared" si="4"/>
        <v>-0.1636601844537644</v>
      </c>
      <c r="N21" s="40">
        <f t="shared" si="5"/>
        <v>2.3961637037624106</v>
      </c>
      <c r="O21" s="94">
        <v>18.946833896500934</v>
      </c>
      <c r="P21" s="94">
        <v>-1.9125527829377933</v>
      </c>
      <c r="Q21" s="94">
        <v>5.0621349318084921</v>
      </c>
      <c r="R21" s="94">
        <f t="shared" si="6"/>
        <v>3.1495821488706985</v>
      </c>
      <c r="S21" s="107"/>
      <c r="T21" s="40">
        <f t="shared" si="7"/>
        <v>2.878971077935244</v>
      </c>
      <c r="U21" s="94">
        <v>6.5981992060254084</v>
      </c>
      <c r="V21" s="94">
        <v>0.64691380368798412</v>
      </c>
      <c r="W21" s="94">
        <v>2.1655823552664915</v>
      </c>
      <c r="X21" s="94">
        <f t="shared" si="8"/>
        <v>2.8124961589544757</v>
      </c>
      <c r="Y21" s="91" t="str">
        <f t="shared" si="0"/>
        <v>Finance and insurance</v>
      </c>
      <c r="Z21" s="40">
        <f t="shared" si="9"/>
        <v>2.798959749955654</v>
      </c>
      <c r="AA21" s="11">
        <v>12.270868694716109</v>
      </c>
      <c r="AB21" s="94">
        <v>2.9764862885854111</v>
      </c>
      <c r="AC21" s="94">
        <v>3.9010857145843958</v>
      </c>
      <c r="AD21" s="94">
        <f t="shared" si="10"/>
        <v>6.8775720031698064</v>
      </c>
      <c r="AE21" s="94"/>
      <c r="AF21" s="40">
        <f t="shared" si="11"/>
        <v>2.7178804906447418</v>
      </c>
      <c r="AG21" s="94">
        <v>1.4082979674661906</v>
      </c>
      <c r="AH21" s="94">
        <v>5.2896058974020416E-2</v>
      </c>
      <c r="AI21" s="94">
        <v>0.43313132387053488</v>
      </c>
      <c r="AJ21" s="94">
        <f t="shared" si="12"/>
        <v>0.48602738284455527</v>
      </c>
      <c r="AL21" s="40">
        <f t="shared" si="13"/>
        <v>2.6905674486324749</v>
      </c>
      <c r="AM21" s="94">
        <v>5.7129298402976092</v>
      </c>
      <c r="AN21" s="94">
        <v>2.2476050941027323</v>
      </c>
      <c r="AO21" s="94">
        <v>1.737210049999393</v>
      </c>
      <c r="AP21" s="94">
        <f t="shared" si="14"/>
        <v>3.9848151441021251</v>
      </c>
      <c r="AQ21" s="107"/>
      <c r="AR21" s="40">
        <f t="shared" si="15"/>
        <v>2.939861842779945</v>
      </c>
      <c r="AS21" s="94">
        <v>5.1496408869523096</v>
      </c>
      <c r="AT21" s="94">
        <v>0.67598513550865802</v>
      </c>
      <c r="AU21" s="94">
        <v>1.7307443407144678</v>
      </c>
      <c r="AV21" s="94">
        <f t="shared" si="16"/>
        <v>2.4067294762231257</v>
      </c>
      <c r="AW21" s="91" t="str">
        <f t="shared" si="17"/>
        <v>Finance and insurance</v>
      </c>
      <c r="AX21" s="40">
        <f t="shared" si="18"/>
        <v>2.6672196716569507</v>
      </c>
      <c r="AY21" s="11">
        <v>3.1291828896233556</v>
      </c>
      <c r="AZ21" s="94">
        <v>4.7662543576286416E-2</v>
      </c>
      <c r="BA21" s="94">
        <v>0.94226572050611046</v>
      </c>
      <c r="BB21" s="94">
        <f t="shared" si="19"/>
        <v>0.98992826408239687</v>
      </c>
      <c r="BC21" s="94"/>
      <c r="BD21" s="40">
        <f t="shared" si="20"/>
        <v>2.6037899995889902</v>
      </c>
      <c r="BE21" s="94">
        <v>0.61592438154919227</v>
      </c>
      <c r="BF21" s="94">
        <v>-3.7382232284277769E-2</v>
      </c>
      <c r="BG21" s="94">
        <v>0.18053095656887813</v>
      </c>
      <c r="BH21" s="94">
        <f t="shared" si="21"/>
        <v>0.14314872428460035</v>
      </c>
      <c r="BJ21" s="40">
        <f t="shared" si="22"/>
        <v>2.6401755891724665</v>
      </c>
      <c r="BK21" s="94">
        <v>1.812577752323878</v>
      </c>
      <c r="BL21" s="94">
        <v>-1.6849737964863366E-2</v>
      </c>
      <c r="BM21" s="94">
        <v>0.53960200635034938</v>
      </c>
      <c r="BN21" s="94">
        <f t="shared" si="23"/>
        <v>0.52275226838548605</v>
      </c>
      <c r="BO21" s="107"/>
      <c r="BP21" s="40">
        <f t="shared" si="24"/>
        <v>2.7920140765933743</v>
      </c>
      <c r="BQ21" s="94">
        <v>0.70068075575028521</v>
      </c>
      <c r="BR21" s="94">
        <v>0.10189451382542755</v>
      </c>
      <c r="BS21" s="94">
        <v>0.22213275758688292</v>
      </c>
      <c r="BT21" s="94">
        <f t="shared" si="25"/>
        <v>0.32402727141231047</v>
      </c>
      <c r="BU21" s="91" t="str">
        <f t="shared" si="26"/>
        <v>Finance and insurance</v>
      </c>
      <c r="BV21" s="40">
        <f t="shared" si="27"/>
        <v>2.2225807612637372</v>
      </c>
      <c r="BW21" s="11">
        <v>17.010496310706994</v>
      </c>
      <c r="BX21" s="94">
        <v>-6.2268929517639569</v>
      </c>
      <c r="BY21" s="94">
        <v>4.1821600833902677</v>
      </c>
      <c r="BZ21" s="94">
        <f t="shared" si="28"/>
        <v>-2.0447328683736892</v>
      </c>
      <c r="CA21" s="94"/>
      <c r="CB21" s="40">
        <f t="shared" si="29"/>
        <v>2.2178133748506523</v>
      </c>
      <c r="CC21" s="94">
        <v>5.361386794682045</v>
      </c>
      <c r="CD21" s="94">
        <v>-2.3999699747148724</v>
      </c>
      <c r="CE21" s="94">
        <v>1.3150232829970165</v>
      </c>
      <c r="CF21" s="94">
        <f t="shared" si="30"/>
        <v>-1.0849466917178558</v>
      </c>
      <c r="CH21" s="40">
        <f t="shared" si="31"/>
        <v>2.2046166739490669</v>
      </c>
      <c r="CI21" s="94">
        <v>10.966559197882978</v>
      </c>
      <c r="CJ21" s="94">
        <v>-3.7501749723874718</v>
      </c>
      <c r="CK21" s="94">
        <v>2.6722208134635381</v>
      </c>
      <c r="CL21" s="94">
        <f t="shared" si="32"/>
        <v>-1.0779541589239336</v>
      </c>
      <c r="CM21" s="107"/>
      <c r="CN21" s="40">
        <f t="shared" si="33"/>
        <v>2.5438402112385017</v>
      </c>
      <c r="CO21" s="94">
        <v>0.68255031814196876</v>
      </c>
      <c r="CP21" s="94">
        <v>-7.6748004661612662E-2</v>
      </c>
      <c r="CQ21" s="94">
        <v>0.19491598692971274</v>
      </c>
      <c r="CR21" s="94">
        <f t="shared" si="34"/>
        <v>0.11816798226810007</v>
      </c>
      <c r="CS21" s="91" t="str">
        <f t="shared" si="35"/>
        <v>Finance and insurance</v>
      </c>
      <c r="CT21" s="40">
        <f t="shared" si="36"/>
        <v>2.2725870846393104</v>
      </c>
      <c r="CU21" s="11">
        <v>0.91245210495344775</v>
      </c>
      <c r="CV21" s="94">
        <v>-0.25425588039771407</v>
      </c>
      <c r="CW21" s="94">
        <v>0.22990660489061099</v>
      </c>
      <c r="CX21" s="94">
        <f t="shared" si="37"/>
        <v>-2.4349275507103085E-2</v>
      </c>
      <c r="CY21" s="94"/>
      <c r="CZ21" s="40">
        <f t="shared" si="38"/>
        <v>2.2758052007650242</v>
      </c>
      <c r="DA21" s="94">
        <v>0.3923577537761323</v>
      </c>
      <c r="DB21" s="94">
        <v>0.19309512727496547</v>
      </c>
      <c r="DC21" s="94">
        <v>9.9015272859970554E-2</v>
      </c>
      <c r="DD21" s="94">
        <f t="shared" si="39"/>
        <v>0.29211040013493605</v>
      </c>
      <c r="DF21" s="40">
        <f t="shared" si="40"/>
        <v>2.2459052950809522</v>
      </c>
      <c r="DG21" s="94">
        <v>0.4547671059964703</v>
      </c>
      <c r="DH21" s="94">
        <v>-0.3931331666881907</v>
      </c>
      <c r="DI21" s="94">
        <v>0.11310206199521274</v>
      </c>
      <c r="DJ21" s="94">
        <f t="shared" si="41"/>
        <v>-0.28003110469297798</v>
      </c>
      <c r="DK21" s="107"/>
      <c r="DL21" s="40">
        <f t="shared" si="42"/>
        <v>2.4375771949586511</v>
      </c>
      <c r="DM21" s="94">
        <v>6.5327245180845164E-2</v>
      </c>
      <c r="DN21" s="94">
        <v>-5.4217840984488806E-2</v>
      </c>
      <c r="DO21" s="94">
        <v>1.7789270035427705E-2</v>
      </c>
      <c r="DP21" s="94">
        <f t="shared" si="43"/>
        <v>-3.6428570949061101E-2</v>
      </c>
    </row>
    <row r="22" spans="1:120" x14ac:dyDescent="0.2">
      <c r="A22" s="91" t="str">
        <f>name!B18</f>
        <v>Real estate</v>
      </c>
      <c r="B22" s="40">
        <f t="shared" si="1"/>
        <v>2.6116897758494684</v>
      </c>
      <c r="C22" s="11">
        <v>6.1683349428474763</v>
      </c>
      <c r="D22" s="94">
        <v>0.196627540592925</v>
      </c>
      <c r="E22" s="94">
        <v>1.8141175570326864</v>
      </c>
      <c r="F22" s="94">
        <f t="shared" si="2"/>
        <v>2.0107450976256116</v>
      </c>
      <c r="G22" s="94"/>
      <c r="H22" s="40">
        <f t="shared" si="3"/>
        <v>2.514226030268718</v>
      </c>
      <c r="I22" s="94">
        <v>1.4414399971181822</v>
      </c>
      <c r="J22" s="94">
        <v>-0.35250015246161959</v>
      </c>
      <c r="K22" s="94">
        <v>0.40628757914793828</v>
      </c>
      <c r="L22" s="94">
        <f t="shared" si="4"/>
        <v>5.3787426686318696E-2</v>
      </c>
      <c r="N22" s="40">
        <f t="shared" si="5"/>
        <v>2.6214470082087438</v>
      </c>
      <c r="O22" s="94">
        <v>2.3753843717507803</v>
      </c>
      <c r="P22" s="94">
        <v>0.12579529520222252</v>
      </c>
      <c r="Q22" s="94">
        <v>0.701528764239294</v>
      </c>
      <c r="R22" s="94">
        <f t="shared" si="6"/>
        <v>0.82732405944151655</v>
      </c>
      <c r="S22" s="107"/>
      <c r="T22" s="40">
        <f t="shared" si="7"/>
        <v>2.6612106513108635</v>
      </c>
      <c r="U22" s="94">
        <v>2.3515105739785147</v>
      </c>
      <c r="V22" s="94">
        <v>0.42333239785232213</v>
      </c>
      <c r="W22" s="94">
        <v>0.70630121364545417</v>
      </c>
      <c r="X22" s="94">
        <f t="shared" si="8"/>
        <v>1.1296336114977763</v>
      </c>
      <c r="Y22" s="91" t="str">
        <f t="shared" si="0"/>
        <v>Real estate</v>
      </c>
      <c r="Z22" s="40">
        <f t="shared" si="9"/>
        <v>2.7183631629002836</v>
      </c>
      <c r="AA22" s="11">
        <v>3.1732901245624543</v>
      </c>
      <c r="AB22" s="94">
        <v>0.6841817025054634</v>
      </c>
      <c r="AC22" s="94">
        <v>0.97616127527036756</v>
      </c>
      <c r="AD22" s="94">
        <f t="shared" si="10"/>
        <v>1.660342977775831</v>
      </c>
      <c r="AE22" s="94"/>
      <c r="AF22" s="40">
        <f t="shared" si="11"/>
        <v>2.6131607505413434</v>
      </c>
      <c r="AG22" s="94">
        <v>0.19250680994422617</v>
      </c>
      <c r="AH22" s="94">
        <v>0.16401414967811412</v>
      </c>
      <c r="AI22" s="94">
        <v>5.6652287723932618E-2</v>
      </c>
      <c r="AJ22" s="94">
        <f t="shared" si="12"/>
        <v>0.22066643740204672</v>
      </c>
      <c r="AL22" s="40">
        <f t="shared" si="13"/>
        <v>2.8445633977957741</v>
      </c>
      <c r="AM22" s="94">
        <v>0.85860730100895899</v>
      </c>
      <c r="AN22" s="94">
        <v>4.2190547756578954E-2</v>
      </c>
      <c r="AO22" s="94">
        <v>0.27799351979985232</v>
      </c>
      <c r="AP22" s="94">
        <f t="shared" si="14"/>
        <v>0.32018406755643125</v>
      </c>
      <c r="AQ22" s="107"/>
      <c r="AR22" s="40">
        <f t="shared" si="15"/>
        <v>2.6764431790775811</v>
      </c>
      <c r="AS22" s="94">
        <v>2.1221760136092689</v>
      </c>
      <c r="AT22" s="94">
        <v>0.47797700507077023</v>
      </c>
      <c r="AU22" s="94">
        <v>0.64151546774658263</v>
      </c>
      <c r="AV22" s="94">
        <f t="shared" si="16"/>
        <v>1.119492472817353</v>
      </c>
      <c r="AW22" s="91" t="str">
        <f t="shared" si="17"/>
        <v>Real estate</v>
      </c>
      <c r="AX22" s="40">
        <f t="shared" si="18"/>
        <v>2.6817205379647824</v>
      </c>
      <c r="AY22" s="11">
        <v>0.48397528340046003</v>
      </c>
      <c r="AZ22" s="94">
        <v>-0.12994053725972496</v>
      </c>
      <c r="BA22" s="94">
        <v>0.14662556967400292</v>
      </c>
      <c r="BB22" s="94">
        <f t="shared" si="19"/>
        <v>1.6685032414277962E-2</v>
      </c>
      <c r="BC22" s="94"/>
      <c r="BD22" s="40">
        <f t="shared" si="20"/>
        <v>2.6291172026759568</v>
      </c>
      <c r="BE22" s="94">
        <v>9.4966037850212306E-2</v>
      </c>
      <c r="BF22" s="94">
        <v>-2.1192060628218386E-2</v>
      </c>
      <c r="BG22" s="94">
        <v>2.8138553500052236E-2</v>
      </c>
      <c r="BH22" s="94">
        <f t="shared" si="21"/>
        <v>6.9464928718338502E-3</v>
      </c>
      <c r="BJ22" s="40">
        <f t="shared" si="22"/>
        <v>2.6564659717416284</v>
      </c>
      <c r="BK22" s="94">
        <v>0.28934641044130943</v>
      </c>
      <c r="BL22" s="94">
        <v>-6.9725317303981571E-2</v>
      </c>
      <c r="BM22" s="94">
        <v>8.6734415154016753E-2</v>
      </c>
      <c r="BN22" s="94">
        <f t="shared" si="23"/>
        <v>1.7009097850035182E-2</v>
      </c>
      <c r="BO22" s="107"/>
      <c r="BP22" s="40">
        <f t="shared" si="24"/>
        <v>2.8043080569318812</v>
      </c>
      <c r="BQ22" s="94">
        <v>9.9662835108938322E-2</v>
      </c>
      <c r="BR22" s="94">
        <v>-3.9023159327524995E-2</v>
      </c>
      <c r="BS22" s="94">
        <v>3.1752601019933914E-2</v>
      </c>
      <c r="BT22" s="94">
        <f t="shared" si="25"/>
        <v>-7.270558307591081E-3</v>
      </c>
      <c r="BU22" s="91" t="str">
        <f t="shared" si="26"/>
        <v>Real estate</v>
      </c>
      <c r="BV22" s="40">
        <f t="shared" si="27"/>
        <v>2.4416221739186561</v>
      </c>
      <c r="BW22" s="11">
        <v>2.2997640416194169</v>
      </c>
      <c r="BX22" s="94">
        <v>-0.8033658212946152</v>
      </c>
      <c r="BY22" s="94">
        <v>0.6274046319250105</v>
      </c>
      <c r="BZ22" s="94">
        <f t="shared" si="28"/>
        <v>-0.1759611893696047</v>
      </c>
      <c r="CA22" s="94"/>
      <c r="CB22" s="40">
        <f t="shared" si="29"/>
        <v>2.4552545911513901</v>
      </c>
      <c r="CC22" s="94">
        <v>1.0388676866360598</v>
      </c>
      <c r="CD22" s="94">
        <v>-0.38022277882383149</v>
      </c>
      <c r="CE22" s="94">
        <v>0.285176888828165</v>
      </c>
      <c r="CF22" s="94">
        <f t="shared" si="30"/>
        <v>-9.5045889995666488E-2</v>
      </c>
      <c r="CH22" s="40">
        <f t="shared" si="31"/>
        <v>2.4368885305120269</v>
      </c>
      <c r="CI22" s="94">
        <v>1.1528693059881228</v>
      </c>
      <c r="CJ22" s="94">
        <v>-0.40179371550567344</v>
      </c>
      <c r="CK22" s="94">
        <v>0.31383937301156528</v>
      </c>
      <c r="CL22" s="94">
        <f t="shared" si="32"/>
        <v>-8.7954342494108162E-2</v>
      </c>
      <c r="CM22" s="107"/>
      <c r="CN22" s="40">
        <f t="shared" si="33"/>
        <v>2.3606641104796822</v>
      </c>
      <c r="CO22" s="94">
        <v>0.10802704899523392</v>
      </c>
      <c r="CP22" s="94">
        <v>-2.134932696511032E-2</v>
      </c>
      <c r="CQ22" s="94">
        <v>2.8388370085280102E-2</v>
      </c>
      <c r="CR22" s="94">
        <f t="shared" si="34"/>
        <v>7.0390431201697821E-3</v>
      </c>
      <c r="CS22" s="91" t="str">
        <f t="shared" si="35"/>
        <v>Real estate</v>
      </c>
      <c r="CT22" s="40">
        <f t="shared" si="36"/>
        <v>2.6783181831917302</v>
      </c>
      <c r="CU22" s="11">
        <v>0.21130549326514642</v>
      </c>
      <c r="CV22" s="94">
        <v>0.44575219664180188</v>
      </c>
      <c r="CW22" s="94">
        <v>6.3926080163305615E-2</v>
      </c>
      <c r="CX22" s="94">
        <f t="shared" si="37"/>
        <v>0.50967827680510747</v>
      </c>
      <c r="CY22" s="94"/>
      <c r="CZ22" s="40">
        <f t="shared" si="38"/>
        <v>2.7805168236047173</v>
      </c>
      <c r="DA22" s="94">
        <v>0.11509946268768383</v>
      </c>
      <c r="DB22" s="94">
        <v>-0.11509946268768383</v>
      </c>
      <c r="DC22" s="94">
        <v>3.6319849095788476E-2</v>
      </c>
      <c r="DD22" s="94">
        <f t="shared" si="39"/>
        <v>-7.8779613591895351E-2</v>
      </c>
      <c r="DF22" s="40">
        <f t="shared" si="40"/>
        <v>2.7210008218849335</v>
      </c>
      <c r="DG22" s="94">
        <v>7.4561354312388889E-2</v>
      </c>
      <c r="DH22" s="94">
        <v>0.55512378025529863</v>
      </c>
      <c r="DI22" s="94">
        <v>2.2961456273859673E-2</v>
      </c>
      <c r="DJ22" s="94">
        <f t="shared" si="41"/>
        <v>0.57808523652915833</v>
      </c>
      <c r="DK22" s="107"/>
      <c r="DL22" s="40">
        <f t="shared" si="42"/>
        <v>1.9631026785993377</v>
      </c>
      <c r="DM22" s="94">
        <v>2.1644676265073697E-2</v>
      </c>
      <c r="DN22" s="94">
        <v>5.7278790741871642E-3</v>
      </c>
      <c r="DO22" s="94">
        <v>4.64477479365746E-3</v>
      </c>
      <c r="DP22" s="94">
        <f t="shared" si="43"/>
        <v>1.0372653867844625E-2</v>
      </c>
    </row>
    <row r="23" spans="1:120" x14ac:dyDescent="0.2">
      <c r="A23" s="91" t="str">
        <f>name!B19</f>
        <v>Professional services</v>
      </c>
      <c r="B23" s="40">
        <f t="shared" si="1"/>
        <v>2.6743157766083714</v>
      </c>
      <c r="C23" s="11">
        <v>38.965266386568921</v>
      </c>
      <c r="D23" s="94">
        <v>11.458986137276469</v>
      </c>
      <c r="E23" s="94">
        <v>11.768350327197798</v>
      </c>
      <c r="F23" s="94">
        <f t="shared" si="2"/>
        <v>23.227336464474266</v>
      </c>
      <c r="G23" s="94"/>
      <c r="H23" s="40">
        <f t="shared" si="3"/>
        <v>2.5161455631662166</v>
      </c>
      <c r="I23" s="94">
        <v>10.746753519096059</v>
      </c>
      <c r="J23" s="94">
        <v>0.60470899426028668</v>
      </c>
      <c r="K23" s="94">
        <v>3.0316842468873038</v>
      </c>
      <c r="L23" s="94">
        <f t="shared" si="4"/>
        <v>3.6363932411475903</v>
      </c>
      <c r="N23" s="40">
        <f t="shared" si="5"/>
        <v>2.6382849635641303</v>
      </c>
      <c r="O23" s="94">
        <v>19.377813500619759</v>
      </c>
      <c r="P23" s="94">
        <v>6.3961252707032488</v>
      </c>
      <c r="Q23" s="94">
        <v>5.7641179254827515</v>
      </c>
      <c r="R23" s="94">
        <f t="shared" si="6"/>
        <v>12.160243196186</v>
      </c>
      <c r="S23" s="107"/>
      <c r="T23" s="40">
        <f t="shared" si="7"/>
        <v>2.9409728215002984</v>
      </c>
      <c r="U23" s="94">
        <v>8.8406993668531033</v>
      </c>
      <c r="V23" s="94">
        <v>4.4581518723129312</v>
      </c>
      <c r="W23" s="94">
        <v>2.972548154827741</v>
      </c>
      <c r="X23" s="94">
        <f t="shared" si="8"/>
        <v>7.4307000271406718</v>
      </c>
      <c r="Y23" s="91" t="str">
        <f t="shared" si="0"/>
        <v>Professional services</v>
      </c>
      <c r="Z23" s="40">
        <f t="shared" si="9"/>
        <v>3.0111146972381153</v>
      </c>
      <c r="AA23" s="11">
        <v>12.983727410431358</v>
      </c>
      <c r="AB23" s="94">
        <v>7.3161535468635082</v>
      </c>
      <c r="AC23" s="94">
        <v>4.4841548751658866</v>
      </c>
      <c r="AD23" s="94">
        <f t="shared" si="10"/>
        <v>11.800308422029396</v>
      </c>
      <c r="AE23" s="94"/>
      <c r="AF23" s="40">
        <f t="shared" si="11"/>
        <v>2.8731628500449968</v>
      </c>
      <c r="AG23" s="94">
        <v>1.9378479390650463</v>
      </c>
      <c r="AH23" s="94">
        <v>1.549926671508655</v>
      </c>
      <c r="AI23" s="94">
        <v>0.63456461426776711</v>
      </c>
      <c r="AJ23" s="94">
        <f t="shared" si="12"/>
        <v>2.184491285776422</v>
      </c>
      <c r="AL23" s="40">
        <f t="shared" si="13"/>
        <v>3.0369546647093459</v>
      </c>
      <c r="AM23" s="94">
        <v>4.9791010176174728</v>
      </c>
      <c r="AN23" s="94">
        <v>2.6541784276946645</v>
      </c>
      <c r="AO23" s="94">
        <v>1.7364411510950009</v>
      </c>
      <c r="AP23" s="94">
        <f t="shared" si="14"/>
        <v>4.3906195787896651</v>
      </c>
      <c r="AQ23" s="107"/>
      <c r="AR23" s="40">
        <f t="shared" si="15"/>
        <v>3.0336611731275553</v>
      </c>
      <c r="AS23" s="94">
        <v>6.0667784537488378</v>
      </c>
      <c r="AT23" s="94">
        <v>3.1120484476601886</v>
      </c>
      <c r="AU23" s="94">
        <v>2.113149109803119</v>
      </c>
      <c r="AV23" s="94">
        <f t="shared" si="16"/>
        <v>5.2251975574633072</v>
      </c>
      <c r="AW23" s="91" t="str">
        <f t="shared" si="17"/>
        <v>Professional services</v>
      </c>
      <c r="AX23" s="40">
        <f t="shared" si="18"/>
        <v>2.6662390167296435</v>
      </c>
      <c r="AY23" s="11">
        <v>4.377709221482184</v>
      </c>
      <c r="AZ23" s="94">
        <v>0.80308463988107726</v>
      </c>
      <c r="BA23" s="94">
        <v>1.3176803910698349</v>
      </c>
      <c r="BB23" s="94">
        <f t="shared" si="19"/>
        <v>2.1207650309509121</v>
      </c>
      <c r="BC23" s="94"/>
      <c r="BD23" s="40">
        <f t="shared" si="20"/>
        <v>2.5700639379084178</v>
      </c>
      <c r="BE23" s="94">
        <v>0.73699369082515398</v>
      </c>
      <c r="BF23" s="94">
        <v>8.1502387714943961E-2</v>
      </c>
      <c r="BG23" s="94">
        <v>0.21288912804948243</v>
      </c>
      <c r="BH23" s="94">
        <f t="shared" si="21"/>
        <v>0.2943915157644264</v>
      </c>
      <c r="BJ23" s="40">
        <f t="shared" si="22"/>
        <v>2.6279165568233287</v>
      </c>
      <c r="BK23" s="94">
        <v>2.307013712695364</v>
      </c>
      <c r="BL23" s="94">
        <v>0.55219489458428639</v>
      </c>
      <c r="BM23" s="94">
        <v>0.6832211463125315</v>
      </c>
      <c r="BN23" s="94">
        <f t="shared" si="23"/>
        <v>1.2354160408968178</v>
      </c>
      <c r="BO23" s="107"/>
      <c r="BP23" s="40">
        <f t="shared" si="24"/>
        <v>2.784722232207959</v>
      </c>
      <c r="BQ23" s="94">
        <v>1.3337018179616666</v>
      </c>
      <c r="BR23" s="94">
        <v>0.16938735758184675</v>
      </c>
      <c r="BS23" s="94">
        <v>0.42157011670782107</v>
      </c>
      <c r="BT23" s="94">
        <f t="shared" si="25"/>
        <v>0.59095747428966783</v>
      </c>
      <c r="BU23" s="91" t="str">
        <f t="shared" si="26"/>
        <v>Professional services</v>
      </c>
      <c r="BV23" s="40">
        <f t="shared" si="27"/>
        <v>2.4703617034511627</v>
      </c>
      <c r="BW23" s="11">
        <v>20.365934087380882</v>
      </c>
      <c r="BX23" s="94">
        <v>2.1048678580900813</v>
      </c>
      <c r="BY23" s="94">
        <v>5.6288985612392128</v>
      </c>
      <c r="BZ23" s="94">
        <f t="shared" si="28"/>
        <v>7.7337664193292941</v>
      </c>
      <c r="CA23" s="94"/>
      <c r="CB23" s="40">
        <f t="shared" si="29"/>
        <v>2.4286762007679874</v>
      </c>
      <c r="CC23" s="94">
        <v>7.4477312798356223</v>
      </c>
      <c r="CD23" s="94">
        <v>-0.68225133953011141</v>
      </c>
      <c r="CE23" s="94">
        <v>2.0198621022347334</v>
      </c>
      <c r="CF23" s="94">
        <f t="shared" si="30"/>
        <v>1.3376107627046219</v>
      </c>
      <c r="CH23" s="40">
        <f t="shared" si="31"/>
        <v>2.4720591117074919</v>
      </c>
      <c r="CI23" s="94">
        <v>11.586627461599615</v>
      </c>
      <c r="CJ23" s="94">
        <v>1.943280535192967</v>
      </c>
      <c r="CK23" s="94">
        <v>3.2048540580010663</v>
      </c>
      <c r="CL23" s="94">
        <f t="shared" si="32"/>
        <v>5.1481345931940332</v>
      </c>
      <c r="CM23" s="107"/>
      <c r="CN23" s="40">
        <f t="shared" si="33"/>
        <v>2.6862600536722958</v>
      </c>
      <c r="CO23" s="94">
        <v>1.3315753459456456</v>
      </c>
      <c r="CP23" s="94">
        <v>0.84383866242722605</v>
      </c>
      <c r="CQ23" s="94">
        <v>0.40418240100341252</v>
      </c>
      <c r="CR23" s="94">
        <f t="shared" si="34"/>
        <v>1.2480210634306386</v>
      </c>
      <c r="CS23" s="91" t="str">
        <f t="shared" si="35"/>
        <v>Professional services</v>
      </c>
      <c r="CT23" s="40">
        <f t="shared" si="36"/>
        <v>2.4409911721383182</v>
      </c>
      <c r="CU23" s="11">
        <v>1.2378956672744925</v>
      </c>
      <c r="CV23" s="94">
        <v>1.2348800924418006</v>
      </c>
      <c r="CW23" s="94">
        <v>0.33761649972286273</v>
      </c>
      <c r="CX23" s="94">
        <f t="shared" si="37"/>
        <v>1.5724965921646634</v>
      </c>
      <c r="CY23" s="94"/>
      <c r="CZ23" s="40">
        <f t="shared" si="38"/>
        <v>2.365082760893733</v>
      </c>
      <c r="DA23" s="94">
        <v>0.62418060937023667</v>
      </c>
      <c r="DB23" s="94">
        <v>-0.34446872543320101</v>
      </c>
      <c r="DC23" s="94">
        <v>0.16436840233532063</v>
      </c>
      <c r="DD23" s="94">
        <f t="shared" si="39"/>
        <v>-0.18010032309788038</v>
      </c>
      <c r="DF23" s="40">
        <f t="shared" si="40"/>
        <v>2.4704563056764162</v>
      </c>
      <c r="DG23" s="94">
        <v>0.50507130870730466</v>
      </c>
      <c r="DH23" s="94">
        <v>1.2464714132313313</v>
      </c>
      <c r="DI23" s="94">
        <v>0.13960157007415316</v>
      </c>
      <c r="DJ23" s="94">
        <f t="shared" si="41"/>
        <v>1.3860729833054843</v>
      </c>
      <c r="DK23" s="107"/>
      <c r="DL23" s="40">
        <f t="shared" si="42"/>
        <v>2.7346741769566751</v>
      </c>
      <c r="DM23" s="94">
        <v>0.10864374919695106</v>
      </c>
      <c r="DN23" s="94">
        <v>0.33287740464367022</v>
      </c>
      <c r="DO23" s="94">
        <v>3.3646527313388873E-2</v>
      </c>
      <c r="DP23" s="94">
        <f t="shared" si="43"/>
        <v>0.36652393195705907</v>
      </c>
    </row>
    <row r="24" spans="1:120" x14ac:dyDescent="0.2">
      <c r="A24" s="91" t="str">
        <f>name!B20</f>
        <v>Support services</v>
      </c>
      <c r="B24" s="40">
        <f t="shared" si="1"/>
        <v>2.784566936730104</v>
      </c>
      <c r="C24" s="11">
        <v>18.720999999999954</v>
      </c>
      <c r="D24" s="94">
        <v>-3.057999999999971</v>
      </c>
      <c r="E24" s="94">
        <v>5.9171529721011353</v>
      </c>
      <c r="F24" s="94">
        <f t="shared" si="2"/>
        <v>2.8591529721011644</v>
      </c>
      <c r="G24" s="94"/>
      <c r="H24" s="40">
        <f t="shared" si="3"/>
        <v>2.6966927781337358</v>
      </c>
      <c r="I24" s="94">
        <v>1.8191700717908714</v>
      </c>
      <c r="J24" s="94">
        <v>6.4644504245958259E-2</v>
      </c>
      <c r="K24" s="94">
        <v>0.55459579978511464</v>
      </c>
      <c r="L24" s="94">
        <f t="shared" si="4"/>
        <v>0.61924030403107289</v>
      </c>
      <c r="N24" s="40">
        <f t="shared" si="5"/>
        <v>2.6438542588397285</v>
      </c>
      <c r="O24" s="94">
        <v>7.3253420053436527</v>
      </c>
      <c r="P24" s="94">
        <v>-2.4007825753231029</v>
      </c>
      <c r="Q24" s="94">
        <v>2.1841522273672624</v>
      </c>
      <c r="R24" s="94">
        <f t="shared" si="6"/>
        <v>-0.21663034795584046</v>
      </c>
      <c r="S24" s="107"/>
      <c r="T24" s="40">
        <f t="shared" si="7"/>
        <v>2.9075064601009837</v>
      </c>
      <c r="U24" s="94">
        <v>9.5764879228654252</v>
      </c>
      <c r="V24" s="94">
        <v>-0.72186192892282663</v>
      </c>
      <c r="W24" s="94">
        <v>3.1784049449487575</v>
      </c>
      <c r="X24" s="94">
        <f t="shared" si="8"/>
        <v>2.4565430160259307</v>
      </c>
      <c r="Y24" s="91" t="str">
        <f t="shared" si="0"/>
        <v>Support services</v>
      </c>
      <c r="Z24" s="40">
        <f t="shared" si="9"/>
        <v>2.8851376822058405</v>
      </c>
      <c r="AA24" s="11">
        <v>10.861879630593116</v>
      </c>
      <c r="AB24" s="94">
        <v>-1.2989925832272919</v>
      </c>
      <c r="AC24" s="94">
        <v>3.5736065944117534</v>
      </c>
      <c r="AD24" s="94">
        <f t="shared" si="10"/>
        <v>2.2746140111844615</v>
      </c>
      <c r="AE24" s="94"/>
      <c r="AF24" s="40">
        <f t="shared" si="11"/>
        <v>2.8363041726111371</v>
      </c>
      <c r="AG24" s="94">
        <v>0.7258796023165236</v>
      </c>
      <c r="AH24" s="94">
        <v>0.20317213116103808</v>
      </c>
      <c r="AI24" s="94">
        <v>0.23424852857398526</v>
      </c>
      <c r="AJ24" s="94">
        <f t="shared" si="12"/>
        <v>0.43742065973502331</v>
      </c>
      <c r="AL24" s="40">
        <f t="shared" si="13"/>
        <v>2.7318188913306285</v>
      </c>
      <c r="AM24" s="94">
        <v>2.8702469151779071</v>
      </c>
      <c r="AN24" s="94">
        <v>-1.1155443530893807</v>
      </c>
      <c r="AO24" s="94">
        <v>0.88785915434127438</v>
      </c>
      <c r="AP24" s="94">
        <f t="shared" si="14"/>
        <v>-0.22768519874810633</v>
      </c>
      <c r="AQ24" s="107"/>
      <c r="AR24" s="40">
        <f t="shared" si="15"/>
        <v>2.949983891234198</v>
      </c>
      <c r="AS24" s="94">
        <v>7.2657531130986843</v>
      </c>
      <c r="AT24" s="94">
        <v>-0.38662036129894933</v>
      </c>
      <c r="AU24" s="94">
        <v>2.4514989114964938</v>
      </c>
      <c r="AV24" s="94">
        <f t="shared" si="16"/>
        <v>2.0648785501975446</v>
      </c>
      <c r="AW24" s="91" t="str">
        <f t="shared" si="17"/>
        <v>Support services</v>
      </c>
      <c r="AX24" s="40">
        <f t="shared" si="18"/>
        <v>2.6712682976482327</v>
      </c>
      <c r="AY24" s="11">
        <v>4.6040936604188767</v>
      </c>
      <c r="AZ24" s="94">
        <v>-0.6550004254648718</v>
      </c>
      <c r="BA24" s="94">
        <v>1.3887564948003865</v>
      </c>
      <c r="BB24" s="94">
        <f t="shared" si="19"/>
        <v>0.73375606933551474</v>
      </c>
      <c r="BC24" s="94"/>
      <c r="BD24" s="40">
        <f t="shared" si="20"/>
        <v>2.5535596624300272</v>
      </c>
      <c r="BE24" s="94">
        <v>0.37306162643140794</v>
      </c>
      <c r="BF24" s="94">
        <v>1.7209773799081063E-3</v>
      </c>
      <c r="BG24" s="94">
        <v>0.10699003130978606</v>
      </c>
      <c r="BH24" s="94">
        <f t="shared" si="21"/>
        <v>0.10871100868969416</v>
      </c>
      <c r="BJ24" s="40">
        <f t="shared" si="22"/>
        <v>2.6033003151062717</v>
      </c>
      <c r="BK24" s="94">
        <v>2.3193614224732308</v>
      </c>
      <c r="BL24" s="94">
        <v>-0.3840544144532913</v>
      </c>
      <c r="BM24" s="94">
        <v>0.67967495424035318</v>
      </c>
      <c r="BN24" s="94">
        <f t="shared" si="23"/>
        <v>0.29562053978706188</v>
      </c>
      <c r="BO24" s="107"/>
      <c r="BP24" s="40">
        <f t="shared" si="24"/>
        <v>2.7758580766296781</v>
      </c>
      <c r="BQ24" s="94">
        <v>1.9116706115142377</v>
      </c>
      <c r="BR24" s="94">
        <v>-0.27266698839148851</v>
      </c>
      <c r="BS24" s="94">
        <v>0.60209150925024713</v>
      </c>
      <c r="BT24" s="94">
        <f t="shared" si="25"/>
        <v>0.32942452085875862</v>
      </c>
      <c r="BU24" s="91" t="str">
        <f t="shared" si="26"/>
        <v>Support services</v>
      </c>
      <c r="BV24" s="40">
        <f t="shared" si="27"/>
        <v>2.5698479897015236</v>
      </c>
      <c r="BW24" s="11">
        <v>2.8786585131525628</v>
      </c>
      <c r="BX24" s="94">
        <v>-1.0291019906527104</v>
      </c>
      <c r="BY24" s="94">
        <v>0.83145560121971473</v>
      </c>
      <c r="BZ24" s="94">
        <f t="shared" si="28"/>
        <v>-0.19764638943299562</v>
      </c>
      <c r="CA24" s="94"/>
      <c r="CB24" s="40">
        <f t="shared" si="29"/>
        <v>2.5646022644531197</v>
      </c>
      <c r="CC24" s="94">
        <v>0.59910933522220677</v>
      </c>
      <c r="CD24" s="94">
        <v>-0.12449271037143683</v>
      </c>
      <c r="CE24" s="94">
        <v>0.17264857384459545</v>
      </c>
      <c r="CF24" s="94">
        <f t="shared" si="30"/>
        <v>4.8155863473158617E-2</v>
      </c>
      <c r="CH24" s="40">
        <f t="shared" si="31"/>
        <v>2.551043008047893</v>
      </c>
      <c r="CI24" s="94">
        <v>1.9475203609870202</v>
      </c>
      <c r="CJ24" s="94">
        <v>-0.84938831927492153</v>
      </c>
      <c r="CK24" s="94">
        <v>0.55791281892363431</v>
      </c>
      <c r="CL24" s="94">
        <f t="shared" si="32"/>
        <v>-0.29147550035128722</v>
      </c>
      <c r="CM24" s="107"/>
      <c r="CN24" s="40">
        <f t="shared" si="33"/>
        <v>2.6888973859664045</v>
      </c>
      <c r="CO24" s="94">
        <v>0.33202881694333602</v>
      </c>
      <c r="CP24" s="94">
        <v>-5.5220961006352098E-2</v>
      </c>
      <c r="CQ24" s="94">
        <v>0.10089420845148493</v>
      </c>
      <c r="CR24" s="94">
        <f t="shared" si="34"/>
        <v>4.5673247445132834E-2</v>
      </c>
      <c r="CS24" s="91" t="str">
        <f t="shared" si="35"/>
        <v>Support services</v>
      </c>
      <c r="CT24" s="40">
        <f t="shared" si="36"/>
        <v>2.8750024457964374</v>
      </c>
      <c r="CU24" s="11">
        <v>0.37636819583539599</v>
      </c>
      <c r="CV24" s="94">
        <v>-7.4905000655096768E-2</v>
      </c>
      <c r="CW24" s="94">
        <v>0.12333428166928057</v>
      </c>
      <c r="CX24" s="94">
        <f t="shared" si="37"/>
        <v>4.8429281014183798E-2</v>
      </c>
      <c r="CY24" s="94"/>
      <c r="CZ24" s="40">
        <f t="shared" si="38"/>
        <v>2.9399620026260287</v>
      </c>
      <c r="DA24" s="94">
        <v>0.12111950782073322</v>
      </c>
      <c r="DB24" s="94">
        <v>-1.5755893923551086E-2</v>
      </c>
      <c r="DC24" s="94">
        <v>4.0708666056747972E-2</v>
      </c>
      <c r="DD24" s="94">
        <f t="shared" si="39"/>
        <v>2.4952772133196886E-2</v>
      </c>
      <c r="DF24" s="40">
        <f t="shared" si="40"/>
        <v>2.7520154670829022</v>
      </c>
      <c r="DG24" s="94">
        <v>0.18821330670549469</v>
      </c>
      <c r="DH24" s="94">
        <v>-5.1795488505508955E-2</v>
      </c>
      <c r="DI24" s="94">
        <v>5.8705299862000827E-2</v>
      </c>
      <c r="DJ24" s="94">
        <f t="shared" si="41"/>
        <v>6.9098113564918726E-3</v>
      </c>
      <c r="DK24" s="107"/>
      <c r="DL24" s="40">
        <f t="shared" si="42"/>
        <v>3.0985559180604971</v>
      </c>
      <c r="DM24" s="94">
        <v>6.7035381309168043E-2</v>
      </c>
      <c r="DN24" s="94">
        <v>-7.3536182260367233E-3</v>
      </c>
      <c r="DO24" s="94">
        <v>2.3920315750531766E-2</v>
      </c>
      <c r="DP24" s="94">
        <f t="shared" si="43"/>
        <v>1.6566697524495043E-2</v>
      </c>
    </row>
    <row r="25" spans="1:120" x14ac:dyDescent="0.2">
      <c r="A25" s="91" t="str">
        <f>name!B21</f>
        <v>Public admin. and defence</v>
      </c>
      <c r="B25" s="40">
        <f t="shared" si="1"/>
        <v>2.7845669367305037</v>
      </c>
      <c r="C25" s="11">
        <v>1.4539999999999971</v>
      </c>
      <c r="D25" s="94">
        <v>0.21500000000000094</v>
      </c>
      <c r="E25" s="94">
        <v>0.45956628499740532</v>
      </c>
      <c r="F25" s="94">
        <f t="shared" si="2"/>
        <v>0.67456628499740623</v>
      </c>
      <c r="G25" s="94"/>
      <c r="H25" s="40">
        <f t="shared" si="3"/>
        <v>2.6966927781336025</v>
      </c>
      <c r="I25" s="94">
        <v>0.14128910231210851</v>
      </c>
      <c r="J25" s="94">
        <v>5.9444251924195786E-2</v>
      </c>
      <c r="K25" s="94">
        <v>4.3073676239935618E-2</v>
      </c>
      <c r="L25" s="94">
        <f t="shared" si="4"/>
        <v>0.10251792816413141</v>
      </c>
      <c r="N25" s="40">
        <f t="shared" si="5"/>
        <v>2.6438542588399061</v>
      </c>
      <c r="O25" s="94">
        <v>0.56893580875873839</v>
      </c>
      <c r="P25" s="94">
        <v>-4.4190249880834614E-2</v>
      </c>
      <c r="Q25" s="94">
        <v>0.1696360952189005</v>
      </c>
      <c r="R25" s="94">
        <f t="shared" si="6"/>
        <v>0.12544584533806588</v>
      </c>
      <c r="S25" s="107"/>
      <c r="T25" s="40">
        <f t="shared" si="7"/>
        <v>2.9075064601016942</v>
      </c>
      <c r="U25" s="94">
        <v>0.74377508892915023</v>
      </c>
      <c r="V25" s="94">
        <v>0.1997459979566398</v>
      </c>
      <c r="W25" s="94">
        <v>0.24685651353856922</v>
      </c>
      <c r="X25" s="94">
        <f t="shared" si="8"/>
        <v>0.44660251149520902</v>
      </c>
      <c r="Y25" s="91" t="str">
        <f t="shared" si="0"/>
        <v>Public admin. and defence</v>
      </c>
      <c r="Z25" s="40">
        <f t="shared" si="9"/>
        <v>2.8851376822067953</v>
      </c>
      <c r="AA25" s="11">
        <v>0.84360733843630331</v>
      </c>
      <c r="AB25" s="94">
        <v>0.17538381792273638</v>
      </c>
      <c r="AC25" s="94">
        <v>0.27755055757017433</v>
      </c>
      <c r="AD25" s="94">
        <f t="shared" si="10"/>
        <v>0.45293437549291071</v>
      </c>
      <c r="AE25" s="94"/>
      <c r="AF25" s="40">
        <f t="shared" si="11"/>
        <v>2.8363041726107818</v>
      </c>
      <c r="AG25" s="94">
        <v>5.6376739584906382E-2</v>
      </c>
      <c r="AH25" s="94">
        <v>4.262009008845738E-2</v>
      </c>
      <c r="AI25" s="94">
        <v>1.819333158200891E-2</v>
      </c>
      <c r="AJ25" s="94">
        <f t="shared" si="12"/>
        <v>6.0813421670466286E-2</v>
      </c>
      <c r="AL25" s="40">
        <f t="shared" si="13"/>
        <v>2.7318188913314945</v>
      </c>
      <c r="AM25" s="94">
        <v>0.2229228681509284</v>
      </c>
      <c r="AN25" s="94">
        <v>-3.594728389981916E-2</v>
      </c>
      <c r="AO25" s="94">
        <v>6.895717164724055E-2</v>
      </c>
      <c r="AP25" s="94">
        <f t="shared" si="14"/>
        <v>3.300988774742139E-2</v>
      </c>
      <c r="AQ25" s="107"/>
      <c r="AR25" s="40">
        <f t="shared" si="15"/>
        <v>2.9499838912350862</v>
      </c>
      <c r="AS25" s="94">
        <v>0.56430773070046847</v>
      </c>
      <c r="AT25" s="94">
        <v>0.16871101173409817</v>
      </c>
      <c r="AU25" s="94">
        <v>0.1904000543409248</v>
      </c>
      <c r="AV25" s="94">
        <f t="shared" si="16"/>
        <v>0.35911106607502297</v>
      </c>
      <c r="AW25" s="91" t="str">
        <f t="shared" si="17"/>
        <v>Public admin. and defence</v>
      </c>
      <c r="AX25" s="40">
        <f t="shared" si="18"/>
        <v>2.6712682976481661</v>
      </c>
      <c r="AY25" s="11">
        <v>0.35758518146798612</v>
      </c>
      <c r="AZ25" s="94">
        <v>6.3217768742032318E-2</v>
      </c>
      <c r="BA25" s="94">
        <v>0.10786026085378261</v>
      </c>
      <c r="BB25" s="94">
        <f t="shared" si="19"/>
        <v>0.17107802959581492</v>
      </c>
      <c r="BC25" s="94"/>
      <c r="BD25" s="40">
        <f t="shared" si="20"/>
        <v>2.5535596624299828</v>
      </c>
      <c r="BE25" s="94">
        <v>2.8974499483491539E-2</v>
      </c>
      <c r="BF25" s="94">
        <v>1.0961155611916022E-2</v>
      </c>
      <c r="BG25" s="94">
        <v>8.3095724333202906E-3</v>
      </c>
      <c r="BH25" s="94">
        <f t="shared" si="21"/>
        <v>1.9270728045236312E-2</v>
      </c>
      <c r="BJ25" s="40">
        <f t="shared" si="22"/>
        <v>2.6033003151064049</v>
      </c>
      <c r="BK25" s="94">
        <v>0.18013735955834875</v>
      </c>
      <c r="BL25" s="94">
        <v>2.6082866221255052E-2</v>
      </c>
      <c r="BM25" s="94">
        <v>5.2788172825711882E-2</v>
      </c>
      <c r="BN25" s="94">
        <f t="shared" si="23"/>
        <v>7.8871039046966934E-2</v>
      </c>
      <c r="BO25" s="107"/>
      <c r="BP25" s="40">
        <f t="shared" si="24"/>
        <v>2.7758580766297891</v>
      </c>
      <c r="BQ25" s="94">
        <v>0.1484733224261458</v>
      </c>
      <c r="BR25" s="94">
        <v>2.6173746908861251E-2</v>
      </c>
      <c r="BS25" s="94">
        <v>4.6762515594750455E-2</v>
      </c>
      <c r="BT25" s="94">
        <f t="shared" si="25"/>
        <v>7.293626250361171E-2</v>
      </c>
      <c r="BU25" s="91" t="str">
        <f t="shared" si="26"/>
        <v>Public admin. and defence</v>
      </c>
      <c r="BV25" s="40">
        <f t="shared" si="27"/>
        <v>2.5698479897014792</v>
      </c>
      <c r="BW25" s="11">
        <v>0.22357616997639901</v>
      </c>
      <c r="BX25" s="94">
        <v>-2.6493246139725597E-2</v>
      </c>
      <c r="BY25" s="94">
        <v>6.4576488658442441E-2</v>
      </c>
      <c r="BZ25" s="94">
        <f t="shared" si="28"/>
        <v>3.8083242518716844E-2</v>
      </c>
      <c r="CA25" s="94"/>
      <c r="CB25" s="40">
        <f t="shared" si="29"/>
        <v>2.5646022644530531</v>
      </c>
      <c r="CC25" s="94">
        <v>4.6530899706966611E-2</v>
      </c>
      <c r="CD25" s="94">
        <v>4.0427545658888358E-3</v>
      </c>
      <c r="CE25" s="94">
        <v>1.3409060753716812E-2</v>
      </c>
      <c r="CF25" s="94">
        <f t="shared" si="30"/>
        <v>1.7451815319605646E-2</v>
      </c>
      <c r="CH25" s="40">
        <f t="shared" si="31"/>
        <v>2.5510430080478264</v>
      </c>
      <c r="CI25" s="94">
        <v>0.1512576574370198</v>
      </c>
      <c r="CJ25" s="94">
        <v>-3.4244162090111052E-2</v>
      </c>
      <c r="CK25" s="94">
        <v>4.3331298473152743E-2</v>
      </c>
      <c r="CL25" s="94">
        <f t="shared" si="32"/>
        <v>9.0871363830416912E-3</v>
      </c>
      <c r="CM25" s="107"/>
      <c r="CN25" s="40">
        <f t="shared" si="33"/>
        <v>2.6888973859667598</v>
      </c>
      <c r="CO25" s="94">
        <v>2.5787612832412595E-2</v>
      </c>
      <c r="CP25" s="94">
        <v>3.7081613844966248E-3</v>
      </c>
      <c r="CQ25" s="94">
        <v>7.836129431572891E-3</v>
      </c>
      <c r="CR25" s="94">
        <f t="shared" si="34"/>
        <v>1.1544290816069516E-2</v>
      </c>
      <c r="CS25" s="91" t="str">
        <f t="shared" si="35"/>
        <v>Public admin. and defence</v>
      </c>
      <c r="CT25" s="40">
        <f t="shared" si="36"/>
        <v>2.8750024457971257</v>
      </c>
      <c r="CU25" s="11">
        <v>2.9231310119308785E-2</v>
      </c>
      <c r="CV25" s="94">
        <v>2.8916594749578122E-3</v>
      </c>
      <c r="CW25" s="94">
        <v>9.578977915005971E-3</v>
      </c>
      <c r="CX25" s="94">
        <f t="shared" si="37"/>
        <v>1.2470637389963783E-2</v>
      </c>
      <c r="CY25" s="94"/>
      <c r="CZ25" s="40">
        <f t="shared" si="38"/>
        <v>2.9399620026260287</v>
      </c>
      <c r="DA25" s="94">
        <v>9.4069635367439817E-3</v>
      </c>
      <c r="DB25" s="94">
        <v>1.8202516579335466E-3</v>
      </c>
      <c r="DC25" s="94">
        <v>3.1617114708896062E-3</v>
      </c>
      <c r="DD25" s="94">
        <f t="shared" si="39"/>
        <v>4.9819631288231525E-3</v>
      </c>
      <c r="DF25" s="40">
        <f t="shared" si="40"/>
        <v>2.7520154670842789</v>
      </c>
      <c r="DG25" s="94">
        <v>1.4617923612441512E-2</v>
      </c>
      <c r="DH25" s="94">
        <v>-8.1670112159448079E-5</v>
      </c>
      <c r="DI25" s="94">
        <v>4.5594522727953144E-3</v>
      </c>
      <c r="DJ25" s="94">
        <f t="shared" si="41"/>
        <v>4.4777821606358662E-3</v>
      </c>
      <c r="DK25" s="107"/>
      <c r="DL25" s="40">
        <f t="shared" si="42"/>
        <v>3.0985559180585875</v>
      </c>
      <c r="DM25" s="94">
        <v>5.2064229701232886E-3</v>
      </c>
      <c r="DN25" s="94">
        <v>1.1530779291837137E-3</v>
      </c>
      <c r="DO25" s="94">
        <v>1.8578141713210513E-3</v>
      </c>
      <c r="DP25" s="94">
        <f t="shared" si="43"/>
        <v>3.0108921005047649E-3</v>
      </c>
    </row>
    <row r="26" spans="1:120" x14ac:dyDescent="0.2">
      <c r="A26" s="91" t="str">
        <f>name!B22</f>
        <v>Education</v>
      </c>
      <c r="B26" s="40">
        <f t="shared" si="1"/>
        <v>2.7941946420653396</v>
      </c>
      <c r="C26" s="11">
        <v>27.519999999999932</v>
      </c>
      <c r="D26" s="94">
        <v>5.4400000000000306</v>
      </c>
      <c r="E26" s="94">
        <v>8.7321954612186001</v>
      </c>
      <c r="F26" s="94">
        <f t="shared" si="2"/>
        <v>14.172195461218632</v>
      </c>
      <c r="G26" s="94"/>
      <c r="H26" s="40">
        <f t="shared" si="3"/>
        <v>2.7029013910380817</v>
      </c>
      <c r="I26" s="94">
        <v>4.1940595367848887</v>
      </c>
      <c r="J26" s="94">
        <v>0.48827775119455635</v>
      </c>
      <c r="K26" s="94">
        <v>1.2819187642232284</v>
      </c>
      <c r="L26" s="94">
        <f t="shared" si="4"/>
        <v>1.7701965154177848</v>
      </c>
      <c r="N26" s="40">
        <f t="shared" si="5"/>
        <v>2.6641720196424856</v>
      </c>
      <c r="O26" s="94">
        <v>13.503625138933433</v>
      </c>
      <c r="P26" s="94">
        <v>0.84821921937760381</v>
      </c>
      <c r="Q26" s="94">
        <v>4.0610233469695309</v>
      </c>
      <c r="R26" s="94">
        <f t="shared" si="6"/>
        <v>4.9092425663471344</v>
      </c>
      <c r="S26" s="107"/>
      <c r="T26" s="40">
        <f t="shared" si="7"/>
        <v>3.008734431358584</v>
      </c>
      <c r="U26" s="94">
        <v>9.822315324281611</v>
      </c>
      <c r="V26" s="94">
        <v>4.1035030294278707</v>
      </c>
      <c r="W26" s="94">
        <v>3.3892533500258399</v>
      </c>
      <c r="X26" s="94">
        <f t="shared" si="8"/>
        <v>7.4927563794537111</v>
      </c>
      <c r="Y26" s="91" t="str">
        <f t="shared" si="0"/>
        <v>Education</v>
      </c>
      <c r="Z26" s="40">
        <f t="shared" si="9"/>
        <v>2.9117760664267189</v>
      </c>
      <c r="AA26" s="11">
        <v>12.395569669075353</v>
      </c>
      <c r="AB26" s="94">
        <v>5.0801062397678249</v>
      </c>
      <c r="AC26" s="94">
        <v>4.1209000120001473</v>
      </c>
      <c r="AD26" s="94">
        <f t="shared" si="10"/>
        <v>9.2010062517679714</v>
      </c>
      <c r="AE26" s="94"/>
      <c r="AF26" s="40">
        <f t="shared" si="11"/>
        <v>2.5937636321570645</v>
      </c>
      <c r="AG26" s="94">
        <v>0.81258397047140074</v>
      </c>
      <c r="AH26" s="94">
        <v>0.63966731573933144</v>
      </c>
      <c r="AI26" s="94">
        <v>0.23714666545277929</v>
      </c>
      <c r="AJ26" s="94">
        <f t="shared" si="12"/>
        <v>0.87681398119211074</v>
      </c>
      <c r="AL26" s="40">
        <f t="shared" si="13"/>
        <v>2.6939990649745837</v>
      </c>
      <c r="AM26" s="94">
        <v>4.0463139611233547</v>
      </c>
      <c r="AN26" s="94">
        <v>0.77655527040304539</v>
      </c>
      <c r="AO26" s="94">
        <v>1.2321825690004835</v>
      </c>
      <c r="AP26" s="94">
        <f t="shared" si="14"/>
        <v>2.0087378394035289</v>
      </c>
      <c r="AQ26" s="107"/>
      <c r="AR26" s="40">
        <f t="shared" si="15"/>
        <v>3.0604341026309489</v>
      </c>
      <c r="AS26" s="94">
        <v>7.5366717374805985</v>
      </c>
      <c r="AT26" s="94">
        <v>3.6638836536254487</v>
      </c>
      <c r="AU26" s="94">
        <v>2.6515707775468846</v>
      </c>
      <c r="AV26" s="94">
        <f t="shared" si="16"/>
        <v>6.3154544311723333</v>
      </c>
      <c r="AW26" s="91" t="str">
        <f t="shared" si="17"/>
        <v>Education</v>
      </c>
      <c r="AX26" s="40">
        <f t="shared" si="18"/>
        <v>2.6688337014858732</v>
      </c>
      <c r="AY26" s="11">
        <v>4.0745695684818486</v>
      </c>
      <c r="AZ26" s="94">
        <v>-0.65076923691411093</v>
      </c>
      <c r="BA26" s="94">
        <v>1.227775929825986</v>
      </c>
      <c r="BB26" s="94">
        <f t="shared" si="19"/>
        <v>0.57700669291187512</v>
      </c>
      <c r="BC26" s="94"/>
      <c r="BD26" s="40">
        <f t="shared" si="20"/>
        <v>2.5882032430875057</v>
      </c>
      <c r="BE26" s="94">
        <v>0.26691123725535981</v>
      </c>
      <c r="BF26" s="94">
        <v>-0.19380533282346687</v>
      </c>
      <c r="BG26" s="94">
        <v>7.7709251306618335E-2</v>
      </c>
      <c r="BH26" s="94">
        <f t="shared" si="21"/>
        <v>-0.11609608151684854</v>
      </c>
      <c r="BJ26" s="40">
        <f t="shared" si="22"/>
        <v>2.6104632834062169</v>
      </c>
      <c r="BK26" s="94">
        <v>2.4396136341847261</v>
      </c>
      <c r="BL26" s="94">
        <v>-0.51114595901616455</v>
      </c>
      <c r="BM26" s="94">
        <v>0.7171170827738349</v>
      </c>
      <c r="BN26" s="94">
        <f t="shared" si="23"/>
        <v>0.20597112375767035</v>
      </c>
      <c r="BO26" s="107"/>
      <c r="BP26" s="40">
        <f t="shared" si="24"/>
        <v>2.7877134101330858</v>
      </c>
      <c r="BQ26" s="94">
        <v>1.3680446970417623</v>
      </c>
      <c r="BR26" s="94">
        <v>5.4182054925520501E-2</v>
      </c>
      <c r="BS26" s="94">
        <v>0.43294959574553271</v>
      </c>
      <c r="BT26" s="94">
        <f t="shared" si="25"/>
        <v>0.48713165067105324</v>
      </c>
      <c r="BU26" s="91" t="str">
        <f t="shared" si="26"/>
        <v>Education</v>
      </c>
      <c r="BV26" s="40">
        <f t="shared" si="27"/>
        <v>2.5719174756100083</v>
      </c>
      <c r="BW26" s="11">
        <v>6.5723358416890418</v>
      </c>
      <c r="BX26" s="94">
        <v>-0.15751225654061013</v>
      </c>
      <c r="BY26" s="94">
        <v>1.9000258963583028</v>
      </c>
      <c r="BZ26" s="94">
        <f t="shared" si="28"/>
        <v>1.7425136398176926</v>
      </c>
      <c r="CA26" s="94"/>
      <c r="CB26" s="40">
        <f t="shared" si="29"/>
        <v>2.5863835000538682</v>
      </c>
      <c r="CC26" s="94">
        <v>1.6317851440554909</v>
      </c>
      <c r="CD26" s="94">
        <v>-0.43279551678413736</v>
      </c>
      <c r="CE26" s="94">
        <v>0.47470859686707906</v>
      </c>
      <c r="CF26" s="94">
        <f t="shared" si="30"/>
        <v>4.1913080082941701E-2</v>
      </c>
      <c r="CH26" s="40">
        <f t="shared" si="31"/>
        <v>2.542118825536166</v>
      </c>
      <c r="CI26" s="94">
        <v>4.3810752206434573</v>
      </c>
      <c r="CJ26" s="94">
        <v>2.5793305536142896E-2</v>
      </c>
      <c r="CK26" s="94">
        <v>1.250158852183944</v>
      </c>
      <c r="CL26" s="94">
        <f t="shared" si="32"/>
        <v>1.275952157720087</v>
      </c>
      <c r="CM26" s="107"/>
      <c r="CN26" s="40">
        <f t="shared" si="33"/>
        <v>2.7611586651374198</v>
      </c>
      <c r="CO26" s="94">
        <v>0.55947547699009315</v>
      </c>
      <c r="CP26" s="94">
        <v>0.24948995470738433</v>
      </c>
      <c r="CQ26" s="94">
        <v>0.17515844730727984</v>
      </c>
      <c r="CR26" s="94">
        <f t="shared" si="34"/>
        <v>0.42464840201466414</v>
      </c>
      <c r="CS26" s="91" t="str">
        <f t="shared" si="35"/>
        <v>Education</v>
      </c>
      <c r="CT26" s="40">
        <f t="shared" si="36"/>
        <v>2.9030497321535176</v>
      </c>
      <c r="CU26" s="11">
        <v>4.4775249207536891</v>
      </c>
      <c r="CV26" s="94">
        <v>1.168175253686927</v>
      </c>
      <c r="CW26" s="94">
        <v>1.4834936230341631</v>
      </c>
      <c r="CX26" s="94">
        <f t="shared" si="37"/>
        <v>2.6516688767210903</v>
      </c>
      <c r="CY26" s="94"/>
      <c r="CZ26" s="40">
        <f t="shared" si="38"/>
        <v>2.9086772572280095</v>
      </c>
      <c r="DA26" s="94">
        <v>1.4827791850026377</v>
      </c>
      <c r="DB26" s="94">
        <v>0.47521128506282911</v>
      </c>
      <c r="DC26" s="94">
        <v>0.4923542505967517</v>
      </c>
      <c r="DD26" s="94">
        <f t="shared" si="39"/>
        <v>0.96756553565958081</v>
      </c>
      <c r="DF26" s="40">
        <f t="shared" si="40"/>
        <v>2.8678141931647749</v>
      </c>
      <c r="DG26" s="94">
        <v>2.6366223229818955</v>
      </c>
      <c r="DH26" s="94">
        <v>0.55701660245458018</v>
      </c>
      <c r="DI26" s="94">
        <v>0.86156484301126879</v>
      </c>
      <c r="DJ26" s="94">
        <f t="shared" si="41"/>
        <v>1.418581445465849</v>
      </c>
      <c r="DK26" s="107"/>
      <c r="DL26" s="40">
        <f t="shared" si="42"/>
        <v>3.1363650139041965</v>
      </c>
      <c r="DM26" s="94">
        <v>0.35812341276915594</v>
      </c>
      <c r="DN26" s="94">
        <v>0.13594736616951764</v>
      </c>
      <c r="DO26" s="94">
        <v>0.12957452942614286</v>
      </c>
      <c r="DP26" s="94">
        <f t="shared" si="43"/>
        <v>0.26552189559566053</v>
      </c>
    </row>
    <row r="27" spans="1:120" x14ac:dyDescent="0.2">
      <c r="A27" s="91" t="str">
        <f>name!B23</f>
        <v>Health and social work</v>
      </c>
      <c r="B27" s="40">
        <f t="shared" si="1"/>
        <v>2.5950961839178666</v>
      </c>
      <c r="C27" s="11">
        <v>275.60199999999969</v>
      </c>
      <c r="D27" s="94">
        <v>-1.6730000000003524</v>
      </c>
      <c r="E27" s="94">
        <v>80.47866678861341</v>
      </c>
      <c r="F27" s="94">
        <f t="shared" si="2"/>
        <v>78.805666788613053</v>
      </c>
      <c r="G27" s="94"/>
      <c r="H27" s="40">
        <f t="shared" si="3"/>
        <v>2.4695756737683316</v>
      </c>
      <c r="I27" s="94">
        <v>81.511675089783012</v>
      </c>
      <c r="J27" s="94">
        <v>-19.797720579312639</v>
      </c>
      <c r="K27" s="94">
        <v>22.520863469623457</v>
      </c>
      <c r="L27" s="94">
        <f t="shared" si="4"/>
        <v>2.7231428903108181</v>
      </c>
      <c r="N27" s="40">
        <f t="shared" si="5"/>
        <v>2.5552337751491017</v>
      </c>
      <c r="O27" s="94">
        <v>150.28991841904894</v>
      </c>
      <c r="P27" s="94">
        <v>8.7057795230669974</v>
      </c>
      <c r="Q27" s="94">
        <v>43.133091870505552</v>
      </c>
      <c r="R27" s="94">
        <f t="shared" si="6"/>
        <v>51.838871393572546</v>
      </c>
      <c r="S27" s="107"/>
      <c r="T27" s="40">
        <f t="shared" si="7"/>
        <v>2.9581093378684198</v>
      </c>
      <c r="U27" s="94">
        <v>43.800406491167763</v>
      </c>
      <c r="V27" s="94">
        <v>9.418941056245286</v>
      </c>
      <c r="W27" s="94">
        <v>14.824711448484381</v>
      </c>
      <c r="X27" s="94">
        <f t="shared" si="8"/>
        <v>24.243652504729667</v>
      </c>
      <c r="Y27" s="91" t="str">
        <f t="shared" si="0"/>
        <v>Health and social work</v>
      </c>
      <c r="Z27" s="40">
        <f t="shared" si="9"/>
        <v>3.1186773432537507</v>
      </c>
      <c r="AA27" s="11">
        <v>64.293915126009693</v>
      </c>
      <c r="AB27" s="94">
        <v>17.722549991381833</v>
      </c>
      <c r="AC27" s="94">
        <v>23.112480454512202</v>
      </c>
      <c r="AD27" s="94">
        <f t="shared" si="10"/>
        <v>40.835030445894034</v>
      </c>
      <c r="AE27" s="94"/>
      <c r="AF27" s="40">
        <f t="shared" si="11"/>
        <v>3.0783063740929206</v>
      </c>
      <c r="AG27" s="94">
        <v>9.9195473983854772</v>
      </c>
      <c r="AH27" s="94">
        <v>1.4973424642898829</v>
      </c>
      <c r="AI27" s="94">
        <v>3.5131923201060649</v>
      </c>
      <c r="AJ27" s="94">
        <f t="shared" si="12"/>
        <v>5.010534784395948</v>
      </c>
      <c r="AL27" s="40">
        <f t="shared" si="13"/>
        <v>3.1315372831501653</v>
      </c>
      <c r="AM27" s="94">
        <v>25.525698517196087</v>
      </c>
      <c r="AN27" s="94">
        <v>10.147584573449684</v>
      </c>
      <c r="AO27" s="94">
        <v>9.2193201705336563</v>
      </c>
      <c r="AP27" s="94">
        <f t="shared" si="14"/>
        <v>19.366904743983341</v>
      </c>
      <c r="AQ27" s="107"/>
      <c r="AR27" s="40">
        <f t="shared" si="15"/>
        <v>3.121149070624285</v>
      </c>
      <c r="AS27" s="94">
        <v>28.848669210428131</v>
      </c>
      <c r="AT27" s="94">
        <v>6.0776229536422628</v>
      </c>
      <c r="AU27" s="94">
        <v>10.379967963872479</v>
      </c>
      <c r="AV27" s="94">
        <f t="shared" si="16"/>
        <v>16.457590917514743</v>
      </c>
      <c r="AW27" s="91" t="str">
        <f t="shared" si="17"/>
        <v>Health and social work</v>
      </c>
      <c r="AX27" s="40">
        <f t="shared" si="18"/>
        <v>2.6759668403012915</v>
      </c>
      <c r="AY27" s="11">
        <v>16.521747365931887</v>
      </c>
      <c r="AZ27" s="94">
        <v>-0.90533997621618789</v>
      </c>
      <c r="BA27" s="94">
        <v>4.9933832774217386</v>
      </c>
      <c r="BB27" s="94">
        <f t="shared" si="19"/>
        <v>4.088043301205551</v>
      </c>
      <c r="BC27" s="94"/>
      <c r="BD27" s="40">
        <f t="shared" si="20"/>
        <v>2.5787165892088737</v>
      </c>
      <c r="BE27" s="94">
        <v>2.1756544236878499</v>
      </c>
      <c r="BF27" s="94">
        <v>-0.17162265131127769</v>
      </c>
      <c r="BG27" s="94">
        <v>0.63082928217437373</v>
      </c>
      <c r="BH27" s="94">
        <f t="shared" si="21"/>
        <v>0.45920663086309604</v>
      </c>
      <c r="BJ27" s="40">
        <f t="shared" si="22"/>
        <v>2.6312555462310261</v>
      </c>
      <c r="BK27" s="94">
        <v>8.5774116106248197</v>
      </c>
      <c r="BL27" s="94">
        <v>-1.3110321038488253</v>
      </c>
      <c r="BM27" s="94">
        <v>2.5438144946044696</v>
      </c>
      <c r="BN27" s="94">
        <f t="shared" si="23"/>
        <v>1.2327823907556443</v>
      </c>
      <c r="BO27" s="107"/>
      <c r="BP27" s="40">
        <f t="shared" si="24"/>
        <v>2.7783786676990552</v>
      </c>
      <c r="BQ27" s="94">
        <v>5.7686813316192156</v>
      </c>
      <c r="BR27" s="94">
        <v>0.57731477894391503</v>
      </c>
      <c r="BS27" s="94">
        <v>1.8187395006428966</v>
      </c>
      <c r="BT27" s="94">
        <f t="shared" si="25"/>
        <v>2.3960542795868118</v>
      </c>
      <c r="BU27" s="91" t="str">
        <f t="shared" si="26"/>
        <v>Health and social work</v>
      </c>
      <c r="BV27" s="40">
        <f t="shared" si="27"/>
        <v>2.4185311777933372</v>
      </c>
      <c r="BW27" s="11">
        <v>185.64731569674743</v>
      </c>
      <c r="BX27" s="94">
        <v>-20.042065793695048</v>
      </c>
      <c r="BY27" s="94">
        <v>50.114846449207548</v>
      </c>
      <c r="BZ27" s="94">
        <f t="shared" si="28"/>
        <v>30.072780655512499</v>
      </c>
      <c r="CA27" s="94"/>
      <c r="CB27" s="40">
        <f t="shared" si="29"/>
        <v>2.3870453919311752</v>
      </c>
      <c r="CC27" s="94">
        <v>65.07948365464064</v>
      </c>
      <c r="CD27" s="94">
        <v>-20.422001047817911</v>
      </c>
      <c r="CE27" s="94">
        <v>17.314254108560334</v>
      </c>
      <c r="CF27" s="94">
        <f t="shared" si="30"/>
        <v>-3.1077469392575772</v>
      </c>
      <c r="CH27" s="40">
        <f t="shared" si="31"/>
        <v>2.4258065702267961</v>
      </c>
      <c r="CI27" s="94">
        <v>111.69445579336453</v>
      </c>
      <c r="CJ27" s="94">
        <v>-1.7999732059359685</v>
      </c>
      <c r="CK27" s="94">
        <v>30.252323208272195</v>
      </c>
      <c r="CL27" s="94">
        <f t="shared" si="32"/>
        <v>28.452350002336225</v>
      </c>
      <c r="CM27" s="107"/>
      <c r="CN27" s="40">
        <f t="shared" si="33"/>
        <v>2.5566857264312626</v>
      </c>
      <c r="CO27" s="94">
        <v>8.8733762487422378</v>
      </c>
      <c r="CP27" s="94">
        <v>2.1799084600588299</v>
      </c>
      <c r="CQ27" s="94">
        <v>2.5482691323750268</v>
      </c>
      <c r="CR27" s="94">
        <f t="shared" si="34"/>
        <v>4.7281775924338572</v>
      </c>
      <c r="CS27" s="91" t="str">
        <f t="shared" si="35"/>
        <v>Health and social work</v>
      </c>
      <c r="CT27" s="40">
        <f t="shared" si="36"/>
        <v>2.2325047123997521</v>
      </c>
      <c r="CU27" s="11">
        <v>9.139021811310748</v>
      </c>
      <c r="CV27" s="94">
        <v>1.5518557785290545</v>
      </c>
      <c r="CW27" s="94">
        <v>2.2579566074718973</v>
      </c>
      <c r="CX27" s="94">
        <f t="shared" si="37"/>
        <v>3.8098123860009521</v>
      </c>
      <c r="CY27" s="94"/>
      <c r="CZ27" s="40">
        <f t="shared" si="38"/>
        <v>2.2155897378276945</v>
      </c>
      <c r="DA27" s="94">
        <v>4.3369896130690391</v>
      </c>
      <c r="DB27" s="94">
        <v>-0.70143934447333278</v>
      </c>
      <c r="DC27" s="94">
        <v>1.0625877587826875</v>
      </c>
      <c r="DD27" s="94">
        <f t="shared" si="39"/>
        <v>0.36114841430935474</v>
      </c>
      <c r="DF27" s="40">
        <f t="shared" si="40"/>
        <v>2.2465820104417666</v>
      </c>
      <c r="DG27" s="94">
        <v>4.4923524978635268</v>
      </c>
      <c r="DH27" s="94">
        <v>1.6692002594021076</v>
      </c>
      <c r="DI27" s="94">
        <v>1.1176339970952323</v>
      </c>
      <c r="DJ27" s="94">
        <f t="shared" si="41"/>
        <v>2.7868342564973396</v>
      </c>
      <c r="DK27" s="107"/>
      <c r="DL27" s="40">
        <f t="shared" si="42"/>
        <v>2.2648343335861076</v>
      </c>
      <c r="DM27" s="94">
        <v>0.30967970037818215</v>
      </c>
      <c r="DN27" s="94">
        <v>0.58409486360027985</v>
      </c>
      <c r="DO27" s="94">
        <v>7.7734851593977319E-2</v>
      </c>
      <c r="DP27" s="94">
        <f t="shared" si="43"/>
        <v>0.66182971519425715</v>
      </c>
    </row>
    <row r="28" spans="1:120" x14ac:dyDescent="0.2">
      <c r="A28" s="91" t="str">
        <f>name!B24</f>
        <v>Arts and entertainment</v>
      </c>
      <c r="B28" s="40">
        <f t="shared" si="1"/>
        <v>2.6894345447805668</v>
      </c>
      <c r="C28" s="11">
        <v>583.99199872311158</v>
      </c>
      <c r="D28" s="94">
        <v>22.974992839555728</v>
      </c>
      <c r="E28" s="94">
        <v>177.49855672479771</v>
      </c>
      <c r="F28" s="94">
        <f t="shared" si="2"/>
        <v>200.47354956435345</v>
      </c>
      <c r="G28" s="94"/>
      <c r="H28" s="40">
        <f t="shared" si="3"/>
        <v>2.5241340757117703</v>
      </c>
      <c r="I28" s="94">
        <v>112.61142831364945</v>
      </c>
      <c r="J28" s="94">
        <v>-19.950461975362895</v>
      </c>
      <c r="K28" s="94">
        <v>31.880492992433172</v>
      </c>
      <c r="L28" s="94">
        <f t="shared" si="4"/>
        <v>11.930031017070277</v>
      </c>
      <c r="N28" s="40">
        <f t="shared" si="5"/>
        <v>2.5965813402446081</v>
      </c>
      <c r="O28" s="94">
        <v>322.09728549501801</v>
      </c>
      <c r="P28" s="94">
        <v>22.98072850143604</v>
      </c>
      <c r="Q28" s="94">
        <v>94.116022316887069</v>
      </c>
      <c r="R28" s="94">
        <f t="shared" si="6"/>
        <v>117.0967508183231</v>
      </c>
      <c r="S28" s="107"/>
      <c r="T28" s="40">
        <f t="shared" si="7"/>
        <v>3.0082665428908584</v>
      </c>
      <c r="U28" s="94">
        <v>149.28328491444404</v>
      </c>
      <c r="V28" s="94">
        <v>19.94472631348258</v>
      </c>
      <c r="W28" s="94">
        <v>51.5020414154775</v>
      </c>
      <c r="X28" s="94">
        <f t="shared" si="8"/>
        <v>71.446767728960083</v>
      </c>
      <c r="Y28" s="91" t="str">
        <f t="shared" si="0"/>
        <v>Arts and entertainment</v>
      </c>
      <c r="Z28" s="40">
        <f t="shared" si="9"/>
        <v>3.2588943559272998</v>
      </c>
      <c r="AA28" s="11">
        <v>161.66137310285907</v>
      </c>
      <c r="AB28" s="94">
        <v>1.3326548882882316</v>
      </c>
      <c r="AC28" s="94">
        <v>61.121073231490051</v>
      </c>
      <c r="AD28" s="94">
        <f t="shared" si="10"/>
        <v>62.453728119778283</v>
      </c>
      <c r="AE28" s="94"/>
      <c r="AF28" s="40">
        <f t="shared" si="11"/>
        <v>3.2768095159466437</v>
      </c>
      <c r="AG28" s="94">
        <v>13.303128548274954</v>
      </c>
      <c r="AH28" s="94">
        <v>-1.9338514027227476</v>
      </c>
      <c r="AI28" s="94">
        <v>5.0614902397360089</v>
      </c>
      <c r="AJ28" s="94">
        <f t="shared" si="12"/>
        <v>3.1276388370132615</v>
      </c>
      <c r="AL28" s="40">
        <f t="shared" si="13"/>
        <v>3.2222682296140004</v>
      </c>
      <c r="AM28" s="94">
        <v>61.167755464113846</v>
      </c>
      <c r="AN28" s="94">
        <v>-4.1267654969595462</v>
      </c>
      <c r="AO28" s="94">
        <v>22.827842408062001</v>
      </c>
      <c r="AP28" s="94">
        <f t="shared" si="14"/>
        <v>18.701076911102454</v>
      </c>
      <c r="AQ28" s="107"/>
      <c r="AR28" s="40">
        <f t="shared" si="15"/>
        <v>3.2817897264484586</v>
      </c>
      <c r="AS28" s="94">
        <v>87.190489090470265</v>
      </c>
      <c r="AT28" s="94">
        <v>7.3932717879705248</v>
      </c>
      <c r="AU28" s="94">
        <v>33.231740583692044</v>
      </c>
      <c r="AV28" s="94">
        <f t="shared" si="16"/>
        <v>40.625012371662571</v>
      </c>
      <c r="AW28" s="91" t="str">
        <f t="shared" si="17"/>
        <v>Arts and entertainment</v>
      </c>
      <c r="AX28" s="40">
        <f t="shared" si="18"/>
        <v>2.4581982255185597</v>
      </c>
      <c r="AY28" s="11">
        <v>274.12096692663408</v>
      </c>
      <c r="AZ28" s="94">
        <v>19.909375624336565</v>
      </c>
      <c r="BA28" s="94">
        <v>75.348629505054475</v>
      </c>
      <c r="BB28" s="94">
        <f t="shared" si="19"/>
        <v>95.258005129391037</v>
      </c>
      <c r="BC28" s="94"/>
      <c r="BD28" s="40">
        <f t="shared" si="20"/>
        <v>2.3965751535212299</v>
      </c>
      <c r="BE28" s="94">
        <v>52.434042602494252</v>
      </c>
      <c r="BF28" s="94">
        <v>-10.478560037555006</v>
      </c>
      <c r="BG28" s="94">
        <v>14.01177557326081</v>
      </c>
      <c r="BH28" s="94">
        <f t="shared" si="21"/>
        <v>3.5332155357058035</v>
      </c>
      <c r="BJ28" s="40">
        <f t="shared" si="22"/>
        <v>2.4303568044377055</v>
      </c>
      <c r="BK28" s="94">
        <v>169.82026195600062</v>
      </c>
      <c r="BL28" s="94">
        <v>22.045877770222617</v>
      </c>
      <c r="BM28" s="94">
        <v>46.091529986569107</v>
      </c>
      <c r="BN28" s="94">
        <f t="shared" si="23"/>
        <v>68.137407756791731</v>
      </c>
      <c r="BO28" s="107"/>
      <c r="BP28" s="40">
        <f t="shared" si="24"/>
        <v>2.6103523894776215</v>
      </c>
      <c r="BQ28" s="94">
        <v>51.866662368139195</v>
      </c>
      <c r="BR28" s="94">
        <v>8.3420578916689543</v>
      </c>
      <c r="BS28" s="94">
        <v>15.245323945224559</v>
      </c>
      <c r="BT28" s="94">
        <f t="shared" si="25"/>
        <v>23.587381836893513</v>
      </c>
      <c r="BU28" s="91" t="str">
        <f t="shared" si="26"/>
        <v>Arts and entertainment</v>
      </c>
      <c r="BV28" s="40">
        <f t="shared" si="27"/>
        <v>2.5546872517099084</v>
      </c>
      <c r="BW28" s="11">
        <v>107.2598983032326</v>
      </c>
      <c r="BX28" s="94">
        <v>-4.6347125764802879</v>
      </c>
      <c r="BY28" s="94">
        <v>30.776152696349076</v>
      </c>
      <c r="BZ28" s="94">
        <f t="shared" si="28"/>
        <v>26.14144011986879</v>
      </c>
      <c r="CA28" s="94"/>
      <c r="CB28" s="40">
        <f t="shared" si="29"/>
        <v>2.4937117735407188</v>
      </c>
      <c r="CC28" s="94">
        <v>30.58519142119675</v>
      </c>
      <c r="CD28" s="94">
        <v>-4.9664708583329622</v>
      </c>
      <c r="CE28" s="94">
        <v>8.5424270700257328</v>
      </c>
      <c r="CF28" s="94">
        <f t="shared" si="30"/>
        <v>3.5759562116927706</v>
      </c>
      <c r="CH28" s="40">
        <f t="shared" si="31"/>
        <v>2.5657893609980054</v>
      </c>
      <c r="CI28" s="94">
        <v>68.527793794387208</v>
      </c>
      <c r="CJ28" s="94">
        <v>-2.6111534978573356</v>
      </c>
      <c r="CK28" s="94">
        <v>19.75824225652681</v>
      </c>
      <c r="CL28" s="94">
        <f t="shared" si="32"/>
        <v>17.147088758669476</v>
      </c>
      <c r="CM28" s="107"/>
      <c r="CN28" s="40">
        <f t="shared" si="33"/>
        <v>2.6887677275016175</v>
      </c>
      <c r="CO28" s="94">
        <v>8.1469130876486417</v>
      </c>
      <c r="CP28" s="94">
        <v>2.9429117797100104</v>
      </c>
      <c r="CQ28" s="94">
        <v>2.4754833697965344</v>
      </c>
      <c r="CR28" s="94">
        <f t="shared" si="34"/>
        <v>5.4183951495065443</v>
      </c>
      <c r="CS28" s="91" t="str">
        <f t="shared" si="35"/>
        <v>Arts and entertainment</v>
      </c>
      <c r="CT28" s="40">
        <f t="shared" si="36"/>
        <v>2.2595665716523383</v>
      </c>
      <c r="CU28" s="11">
        <v>40.949760390385762</v>
      </c>
      <c r="CV28" s="94">
        <v>6.3676749034112179</v>
      </c>
      <c r="CW28" s="94">
        <v>10.252701291904129</v>
      </c>
      <c r="CX28" s="94">
        <f t="shared" si="37"/>
        <v>16.620376195315348</v>
      </c>
      <c r="CY28" s="94"/>
      <c r="CZ28" s="40">
        <f t="shared" si="38"/>
        <v>2.3528014807572273</v>
      </c>
      <c r="DA28" s="94">
        <v>16.289065741683487</v>
      </c>
      <c r="DB28" s="94">
        <v>-2.5715796767521768</v>
      </c>
      <c r="DC28" s="94">
        <v>4.264800109410622</v>
      </c>
      <c r="DD28" s="94">
        <f t="shared" si="39"/>
        <v>1.6932204326584452</v>
      </c>
      <c r="DF28" s="40">
        <f t="shared" si="40"/>
        <v>2.1812946342883111</v>
      </c>
      <c r="DG28" s="94">
        <v>22.581474280516332</v>
      </c>
      <c r="DH28" s="94">
        <v>7.6727697260303049</v>
      </c>
      <c r="DI28" s="94">
        <v>5.438407665729156</v>
      </c>
      <c r="DJ28" s="94">
        <f t="shared" si="41"/>
        <v>13.111177391759462</v>
      </c>
      <c r="DK28" s="107"/>
      <c r="DL28" s="40">
        <f t="shared" si="42"/>
        <v>2.372728806531299</v>
      </c>
      <c r="DM28" s="94">
        <v>2.0792203681859425</v>
      </c>
      <c r="DN28" s="94">
        <v>1.2664848541330906</v>
      </c>
      <c r="DO28" s="94">
        <v>0.54949351676435321</v>
      </c>
      <c r="DP28" s="94">
        <f t="shared" si="43"/>
        <v>1.8159783708974437</v>
      </c>
    </row>
    <row r="29" spans="1:120" x14ac:dyDescent="0.2">
      <c r="A29" s="91" t="str">
        <f>name!B25</f>
        <v>Other services</v>
      </c>
      <c r="B29" s="40">
        <f t="shared" si="1"/>
        <v>2.7838069142694266</v>
      </c>
      <c r="C29" s="11">
        <v>108.16125170522943</v>
      </c>
      <c r="D29" s="94">
        <v>8.1774730396989117</v>
      </c>
      <c r="E29" s="94">
        <v>34.176039083117807</v>
      </c>
      <c r="F29" s="94">
        <f t="shared" si="2"/>
        <v>42.353512122816717</v>
      </c>
      <c r="G29" s="94"/>
      <c r="H29" s="40">
        <f t="shared" si="3"/>
        <v>2.6834266880037649</v>
      </c>
      <c r="I29" s="94">
        <v>32.326959698464499</v>
      </c>
      <c r="J29" s="94">
        <v>-6.1167969801013387</v>
      </c>
      <c r="K29" s="94">
        <v>9.8008028887364027</v>
      </c>
      <c r="L29" s="94">
        <f t="shared" si="4"/>
        <v>3.6840059086350641</v>
      </c>
      <c r="N29" s="40">
        <f t="shared" si="5"/>
        <v>2.7760834170330817</v>
      </c>
      <c r="O29" s="94">
        <v>57.398886868822629</v>
      </c>
      <c r="P29" s="94">
        <v>7.6406602287910461</v>
      </c>
      <c r="Q29" s="94">
        <v>18.079760081959783</v>
      </c>
      <c r="R29" s="94">
        <f t="shared" si="6"/>
        <v>25.720420310750828</v>
      </c>
      <c r="S29" s="107"/>
      <c r="T29" s="40">
        <f t="shared" si="7"/>
        <v>2.981376043016648</v>
      </c>
      <c r="U29" s="94">
        <v>18.435405137942325</v>
      </c>
      <c r="V29" s="94">
        <v>6.6536097910092034</v>
      </c>
      <c r="W29" s="94">
        <v>6.2954761124216301</v>
      </c>
      <c r="X29" s="94">
        <f t="shared" si="8"/>
        <v>12.949085903430834</v>
      </c>
      <c r="Y29" s="91" t="str">
        <f t="shared" si="0"/>
        <v>Other services</v>
      </c>
      <c r="Z29" s="40">
        <f t="shared" si="9"/>
        <v>3.3946693153821483</v>
      </c>
      <c r="AA29" s="11">
        <v>18.73707769261355</v>
      </c>
      <c r="AB29" s="94">
        <v>3.9696712217231607</v>
      </c>
      <c r="AC29" s="94">
        <v>7.4256694078981278</v>
      </c>
      <c r="AD29" s="94">
        <f t="shared" si="10"/>
        <v>11.395340629621288</v>
      </c>
      <c r="AE29" s="94"/>
      <c r="AF29" s="40">
        <f t="shared" si="11"/>
        <v>3.6016336348735356</v>
      </c>
      <c r="AG29" s="94">
        <v>2.3415431027696858</v>
      </c>
      <c r="AH29" s="94">
        <v>0.24514900613498003</v>
      </c>
      <c r="AI29" s="94">
        <v>0.99401256180311637</v>
      </c>
      <c r="AJ29" s="94">
        <f t="shared" si="12"/>
        <v>1.2391615679380963</v>
      </c>
      <c r="AL29" s="40">
        <f t="shared" si="13"/>
        <v>3.5014338519299582</v>
      </c>
      <c r="AM29" s="94">
        <v>8.1965364975682427</v>
      </c>
      <c r="AN29" s="94">
        <v>1.8824630168780692</v>
      </c>
      <c r="AO29" s="94">
        <v>3.3670895885720658</v>
      </c>
      <c r="AP29" s="94">
        <f t="shared" si="14"/>
        <v>5.2495526054501349</v>
      </c>
      <c r="AQ29" s="107"/>
      <c r="AR29" s="40">
        <f t="shared" si="15"/>
        <v>3.2265730612790922</v>
      </c>
      <c r="AS29" s="94">
        <v>8.1989980922756232</v>
      </c>
      <c r="AT29" s="94">
        <v>1.8420591987101114</v>
      </c>
      <c r="AU29" s="94">
        <v>3.0645672575229463</v>
      </c>
      <c r="AV29" s="94">
        <f t="shared" si="16"/>
        <v>4.9066264562330577</v>
      </c>
      <c r="AW29" s="91" t="str">
        <f t="shared" si="17"/>
        <v>Other services</v>
      </c>
      <c r="AX29" s="40">
        <f t="shared" si="18"/>
        <v>2.6483238273837584</v>
      </c>
      <c r="AY29" s="11">
        <v>19.032176889267678</v>
      </c>
      <c r="AZ29" s="94">
        <v>1.0956652491419592</v>
      </c>
      <c r="BA29" s="94">
        <v>5.685467852803928</v>
      </c>
      <c r="BB29" s="94">
        <f t="shared" si="19"/>
        <v>6.7811331019458869</v>
      </c>
      <c r="BC29" s="94"/>
      <c r="BD29" s="40">
        <f t="shared" si="20"/>
        <v>2.5698311582555533</v>
      </c>
      <c r="BE29" s="94">
        <v>3.4123327833961343</v>
      </c>
      <c r="BF29" s="94">
        <v>-0.44962292514756064</v>
      </c>
      <c r="BG29" s="94">
        <v>0.9855918713750732</v>
      </c>
      <c r="BH29" s="94">
        <f t="shared" si="21"/>
        <v>0.53596894622751257</v>
      </c>
      <c r="BJ29" s="40">
        <f t="shared" si="22"/>
        <v>2.6113519594407553</v>
      </c>
      <c r="BK29" s="94">
        <v>10.441678809376455</v>
      </c>
      <c r="BL29" s="94">
        <v>0.67813132541245391</v>
      </c>
      <c r="BM29" s="94">
        <v>3.0704702368243959</v>
      </c>
      <c r="BN29" s="94">
        <f t="shared" si="23"/>
        <v>3.7486015622368498</v>
      </c>
      <c r="BO29" s="107"/>
      <c r="BP29" s="40">
        <f t="shared" si="24"/>
        <v>2.7736136732418482</v>
      </c>
      <c r="BQ29" s="94">
        <v>5.1781652964950879</v>
      </c>
      <c r="BR29" s="94">
        <v>0.86715684887706568</v>
      </c>
      <c r="BS29" s="94">
        <v>1.6294057446044583</v>
      </c>
      <c r="BT29" s="94">
        <f t="shared" si="25"/>
        <v>2.4965625934815239</v>
      </c>
      <c r="BU29" s="91" t="str">
        <f t="shared" si="26"/>
        <v>Other services</v>
      </c>
      <c r="BV29" s="40">
        <f t="shared" si="27"/>
        <v>2.6772484709001398</v>
      </c>
      <c r="BW29" s="11">
        <v>66.201397878138252</v>
      </c>
      <c r="BX29" s="94">
        <v>1.2456325163985658</v>
      </c>
      <c r="BY29" s="94">
        <v>20.01887239295467</v>
      </c>
      <c r="BZ29" s="94">
        <f t="shared" si="28"/>
        <v>21.264504909353235</v>
      </c>
      <c r="CA29" s="94"/>
      <c r="CB29" s="40">
        <f t="shared" si="29"/>
        <v>2.6461497895164943</v>
      </c>
      <c r="CC29" s="94">
        <v>24.360601420401576</v>
      </c>
      <c r="CD29" s="94">
        <v>-5.6900213912272246</v>
      </c>
      <c r="CE29" s="94">
        <v>7.2705240080694988</v>
      </c>
      <c r="CF29" s="94">
        <f t="shared" si="30"/>
        <v>1.5805026168422742</v>
      </c>
      <c r="CH29" s="40">
        <f t="shared" si="31"/>
        <v>2.6783758996457463</v>
      </c>
      <c r="CI29" s="94">
        <v>37.050128855405674</v>
      </c>
      <c r="CJ29" s="94">
        <v>3.896536363658667</v>
      </c>
      <c r="CK29" s="94">
        <v>11.209016818125267</v>
      </c>
      <c r="CL29" s="94">
        <f t="shared" si="32"/>
        <v>15.105553181783934</v>
      </c>
      <c r="CM29" s="107"/>
      <c r="CN29" s="40">
        <f t="shared" si="33"/>
        <v>2.8254837692558654</v>
      </c>
      <c r="CO29" s="94">
        <v>4.7906676023310046</v>
      </c>
      <c r="CP29" s="94">
        <v>3.0391175439671234</v>
      </c>
      <c r="CQ29" s="94">
        <v>1.5393315667599037</v>
      </c>
      <c r="CR29" s="94">
        <f t="shared" si="34"/>
        <v>4.5784491107270266</v>
      </c>
      <c r="CS29" s="91" t="str">
        <f t="shared" si="35"/>
        <v>Other services</v>
      </c>
      <c r="CT29" s="40">
        <f t="shared" si="36"/>
        <v>2.2533546481934286</v>
      </c>
      <c r="CU29" s="11">
        <v>4.1905992452099587</v>
      </c>
      <c r="CV29" s="94">
        <v>1.8665040524352257</v>
      </c>
      <c r="CW29" s="94">
        <v>1.046029429461087</v>
      </c>
      <c r="CX29" s="94">
        <f t="shared" si="37"/>
        <v>2.9125334818963129</v>
      </c>
      <c r="CY29" s="94"/>
      <c r="CZ29" s="40">
        <f t="shared" si="38"/>
        <v>2.2474701591650437</v>
      </c>
      <c r="DA29" s="94">
        <v>2.2124823918971015</v>
      </c>
      <c r="DB29" s="94">
        <v>-0.22230166986153393</v>
      </c>
      <c r="DC29" s="94">
        <v>0.55067444748871397</v>
      </c>
      <c r="DD29" s="94">
        <f t="shared" si="39"/>
        <v>0.32837277762718003</v>
      </c>
      <c r="DF29" s="40">
        <f t="shared" si="40"/>
        <v>2.2830190168655617</v>
      </c>
      <c r="DG29" s="94">
        <v>1.7105427064722503</v>
      </c>
      <c r="DH29" s="94">
        <v>1.1835295228418568</v>
      </c>
      <c r="DI29" s="94">
        <v>0.43318343843805091</v>
      </c>
      <c r="DJ29" s="94">
        <f t="shared" si="41"/>
        <v>1.6167129612799076</v>
      </c>
      <c r="DK29" s="107"/>
      <c r="DL29" s="40">
        <f t="shared" si="42"/>
        <v>2.1112277164391235</v>
      </c>
      <c r="DM29" s="94">
        <v>0.26757414684060715</v>
      </c>
      <c r="DN29" s="94">
        <v>0.90527619945490279</v>
      </c>
      <c r="DO29" s="94">
        <v>6.2171543534321853E-2</v>
      </c>
      <c r="DP29" s="94">
        <f t="shared" si="43"/>
        <v>0.96744774298922465</v>
      </c>
    </row>
    <row r="30" spans="1:120" x14ac:dyDescent="0.2">
      <c r="A30" s="91">
        <f>name!B26</f>
        <v>0</v>
      </c>
      <c r="B30" s="40">
        <f t="shared" si="1"/>
        <v>2.81853341281606</v>
      </c>
      <c r="C30" s="11">
        <v>3.6239999999999957</v>
      </c>
      <c r="D30" s="94">
        <v>0.24699999999999425</v>
      </c>
      <c r="E30" s="94">
        <v>1.161223619177874</v>
      </c>
      <c r="F30" s="94">
        <f t="shared" si="2"/>
        <v>1.4082236191778683</v>
      </c>
      <c r="G30" s="94"/>
      <c r="H30" s="40">
        <f t="shared" si="3"/>
        <v>2.6181998345442992</v>
      </c>
      <c r="I30" s="94">
        <v>0.8854137576985297</v>
      </c>
      <c r="J30" s="94">
        <v>-0.37920842251297887</v>
      </c>
      <c r="K30" s="94">
        <v>0.26112881202833382</v>
      </c>
      <c r="L30" s="94">
        <f t="shared" si="4"/>
        <v>-0.11807961048464505</v>
      </c>
      <c r="N30" s="40">
        <f t="shared" si="5"/>
        <v>2.6529788153066836</v>
      </c>
      <c r="O30" s="94">
        <v>1.3832584282800451</v>
      </c>
      <c r="P30" s="94">
        <v>0.23337200314420425</v>
      </c>
      <c r="Q30" s="94">
        <v>0.41403459662136033</v>
      </c>
      <c r="R30" s="94">
        <f t="shared" si="6"/>
        <v>0.64740659976556458</v>
      </c>
      <c r="S30" s="107"/>
      <c r="T30" s="40">
        <f t="shared" si="7"/>
        <v>3.1122102767148885</v>
      </c>
      <c r="U30" s="94">
        <v>1.3553278140214204</v>
      </c>
      <c r="V30" s="94">
        <v>0.39283641936876895</v>
      </c>
      <c r="W30" s="94">
        <v>0.48606021052817994</v>
      </c>
      <c r="X30" s="94">
        <f t="shared" si="8"/>
        <v>0.87889662989694894</v>
      </c>
      <c r="Y30" s="91">
        <f t="shared" si="0"/>
        <v>0</v>
      </c>
      <c r="Z30" s="40">
        <f t="shared" si="9"/>
        <v>2.9443653428279148</v>
      </c>
      <c r="AA30" s="11">
        <v>1.8811280324430137</v>
      </c>
      <c r="AB30" s="94">
        <v>0.12648602226143923</v>
      </c>
      <c r="AC30" s="94">
        <v>0.63332866226922047</v>
      </c>
      <c r="AD30" s="94">
        <f t="shared" si="10"/>
        <v>0.7598146845306597</v>
      </c>
      <c r="AE30" s="94"/>
      <c r="AF30" s="40">
        <f t="shared" si="11"/>
        <v>2.5616056481945648</v>
      </c>
      <c r="AG30" s="94">
        <v>0.39195326978431944</v>
      </c>
      <c r="AH30" s="94">
        <v>-0.20952388317933862</v>
      </c>
      <c r="AI30" s="94">
        <v>0.11280379340146277</v>
      </c>
      <c r="AJ30" s="94">
        <f t="shared" si="12"/>
        <v>-9.6720089777875856E-2</v>
      </c>
      <c r="AL30" s="40">
        <f t="shared" si="13"/>
        <v>2.6346340495356335</v>
      </c>
      <c r="AM30" s="94">
        <v>0.4129117991411031</v>
      </c>
      <c r="AN30" s="94">
        <v>-1.2440580648808345E-2</v>
      </c>
      <c r="AO30" s="94">
        <v>0.1226340711227917</v>
      </c>
      <c r="AP30" s="94">
        <f t="shared" si="14"/>
        <v>0.11019349047398336</v>
      </c>
      <c r="AQ30" s="107"/>
      <c r="AR30" s="40">
        <f t="shared" si="15"/>
        <v>3.1958990333170068</v>
      </c>
      <c r="AS30" s="94">
        <v>1.0762629635175913</v>
      </c>
      <c r="AT30" s="94">
        <v>0.34845048608958623</v>
      </c>
      <c r="AU30" s="94">
        <v>0.39789079774496594</v>
      </c>
      <c r="AV30" s="94">
        <f t="shared" si="16"/>
        <v>0.74634128383455223</v>
      </c>
      <c r="AW30" s="91">
        <f t="shared" si="17"/>
        <v>0</v>
      </c>
      <c r="AX30" s="40">
        <f t="shared" si="18"/>
        <v>2.6556901882889949</v>
      </c>
      <c r="AY30" s="11">
        <v>0.79016052016002847</v>
      </c>
      <c r="AZ30" s="94">
        <v>-5.5512159780558507E-3</v>
      </c>
      <c r="BA30" s="94">
        <v>0.23678073042517134</v>
      </c>
      <c r="BB30" s="94">
        <f t="shared" si="19"/>
        <v>0.23122951444711548</v>
      </c>
      <c r="BC30" s="94"/>
      <c r="BD30" s="40">
        <f t="shared" si="20"/>
        <v>2.6320188411371737</v>
      </c>
      <c r="BE30" s="94">
        <v>0.10890628043772764</v>
      </c>
      <c r="BF30" s="94">
        <v>-3.6714040606319942E-2</v>
      </c>
      <c r="BG30" s="94">
        <v>3.2308984136424024E-2</v>
      </c>
      <c r="BH30" s="94">
        <f t="shared" si="21"/>
        <v>-4.4050564698959183E-3</v>
      </c>
      <c r="BJ30" s="40">
        <f t="shared" si="22"/>
        <v>2.632798184440821</v>
      </c>
      <c r="BK30" s="94">
        <v>0.54343409949213617</v>
      </c>
      <c r="BL30" s="94">
        <v>6.5977065103502874E-2</v>
      </c>
      <c r="BM30" s="94">
        <v>0.16127289650651028</v>
      </c>
      <c r="BN30" s="94">
        <f t="shared" si="23"/>
        <v>0.22724996161001315</v>
      </c>
      <c r="BO30" s="107"/>
      <c r="BP30" s="40">
        <f t="shared" si="24"/>
        <v>2.7640342004974006</v>
      </c>
      <c r="BQ30" s="94">
        <v>0.13782014023016467</v>
      </c>
      <c r="BR30" s="94">
        <v>-3.4814240475238789E-2</v>
      </c>
      <c r="BS30" s="94">
        <v>4.319884978223705E-2</v>
      </c>
      <c r="BT30" s="94">
        <f t="shared" si="25"/>
        <v>8.3846093069982613E-3</v>
      </c>
      <c r="BU30" s="91">
        <f t="shared" si="26"/>
        <v>0</v>
      </c>
      <c r="BV30" s="40">
        <f t="shared" si="27"/>
        <v>2.7443857826882523</v>
      </c>
      <c r="BW30" s="11">
        <v>0.71149816309577474</v>
      </c>
      <c r="BX30" s="94">
        <v>0.24504437900903087</v>
      </c>
      <c r="BY30" s="94">
        <v>0.22122934558787391</v>
      </c>
      <c r="BZ30" s="94">
        <f t="shared" si="28"/>
        <v>0.46627372459690475</v>
      </c>
      <c r="CA30" s="94"/>
      <c r="CB30" s="40">
        <f t="shared" si="29"/>
        <v>2.6198589066564582</v>
      </c>
      <c r="CC30" s="94">
        <v>0.18443335988879814</v>
      </c>
      <c r="CD30" s="94">
        <v>-4.0323210155314967E-2</v>
      </c>
      <c r="CE30" s="94">
        <v>5.4432240278174497E-2</v>
      </c>
      <c r="CF30" s="94">
        <f t="shared" si="30"/>
        <v>1.410903012285953E-2</v>
      </c>
      <c r="CH30" s="40">
        <f t="shared" si="31"/>
        <v>2.782142672137855</v>
      </c>
      <c r="CI30" s="94">
        <v>0.38582009293331226</v>
      </c>
      <c r="CJ30" s="94">
        <v>0.20616741540992439</v>
      </c>
      <c r="CK30" s="94">
        <v>0.12182654230872253</v>
      </c>
      <c r="CL30" s="94">
        <f t="shared" si="32"/>
        <v>0.32799395771864692</v>
      </c>
      <c r="CM30" s="107"/>
      <c r="CN30" s="40">
        <f t="shared" si="33"/>
        <v>2.802650191366185</v>
      </c>
      <c r="CO30" s="94">
        <v>0.14124471027366434</v>
      </c>
      <c r="CP30" s="94">
        <v>7.9200173754421455E-2</v>
      </c>
      <c r="CQ30" s="94">
        <v>4.4970563000976925E-2</v>
      </c>
      <c r="CR30" s="94">
        <f t="shared" si="34"/>
        <v>0.12417073675539839</v>
      </c>
      <c r="CS30" s="91">
        <f t="shared" si="35"/>
        <v>0</v>
      </c>
      <c r="CT30" s="40">
        <f t="shared" si="36"/>
        <v>2.5769124618272299</v>
      </c>
      <c r="CU30" s="11">
        <v>0.24121328430117833</v>
      </c>
      <c r="CV30" s="94">
        <v>-0.11897918529242003</v>
      </c>
      <c r="CW30" s="94">
        <v>6.9884880895608265E-2</v>
      </c>
      <c r="CX30" s="94">
        <f t="shared" si="37"/>
        <v>-4.9094304396811769E-2</v>
      </c>
      <c r="CY30" s="94"/>
      <c r="CZ30" s="40">
        <f t="shared" si="38"/>
        <v>2.7192664271063816</v>
      </c>
      <c r="DA30" s="94">
        <v>0.20012084758768453</v>
      </c>
      <c r="DB30" s="94">
        <v>-9.2647288572005396E-2</v>
      </c>
      <c r="DC30" s="94">
        <v>6.1583794212272509E-2</v>
      </c>
      <c r="DD30" s="94">
        <f t="shared" si="39"/>
        <v>-3.1063494359732886E-2</v>
      </c>
      <c r="DF30" s="40">
        <f t="shared" si="40"/>
        <v>1.8569836908540527</v>
      </c>
      <c r="DG30" s="94">
        <v>4.1092436713493816E-2</v>
      </c>
      <c r="DH30" s="94">
        <v>-2.6331896720414642E-2</v>
      </c>
      <c r="DI30" s="94">
        <v>8.3010866833357552E-3</v>
      </c>
      <c r="DJ30" s="94">
        <f t="shared" si="41"/>
        <v>-1.8030810037078886E-2</v>
      </c>
      <c r="DK30" s="107"/>
      <c r="DL30" s="40">
        <f t="shared" si="42"/>
        <v>0</v>
      </c>
      <c r="DM30" s="94">
        <v>0</v>
      </c>
      <c r="DN30" s="94">
        <v>0</v>
      </c>
      <c r="DO30" s="94">
        <v>0</v>
      </c>
      <c r="DP30" s="94">
        <f t="shared" si="43"/>
        <v>0</v>
      </c>
    </row>
    <row r="31" spans="1:120" x14ac:dyDescent="0.2">
      <c r="A31" s="91">
        <f>name!B27</f>
        <v>0</v>
      </c>
      <c r="B31" s="40">
        <f t="shared" si="1"/>
        <v>2.6734729787020628</v>
      </c>
      <c r="C31" s="11">
        <v>5.3973840679838156</v>
      </c>
      <c r="D31" s="94">
        <v>1.1408021816129781</v>
      </c>
      <c r="E31" s="94">
        <v>1.6295494976716494</v>
      </c>
      <c r="F31" s="94">
        <f t="shared" si="2"/>
        <v>2.7703516792846274</v>
      </c>
      <c r="G31" s="94"/>
      <c r="H31" s="40">
        <f t="shared" si="3"/>
        <v>2.4242144760953321</v>
      </c>
      <c r="I31" s="94">
        <v>0.66792410715744144</v>
      </c>
      <c r="J31" s="94">
        <v>8.7081733597755159E-2</v>
      </c>
      <c r="K31" s="94">
        <v>0.18077459401533136</v>
      </c>
      <c r="L31" s="94">
        <f t="shared" si="4"/>
        <v>0.26785632761308653</v>
      </c>
      <c r="N31" s="40">
        <f t="shared" si="5"/>
        <v>2.609263332573919</v>
      </c>
      <c r="O31" s="94">
        <v>2.0775695012091084</v>
      </c>
      <c r="P31" s="94">
        <v>0.2544737074116219</v>
      </c>
      <c r="Q31" s="94">
        <v>0.6103809444492555</v>
      </c>
      <c r="R31" s="94">
        <f t="shared" si="6"/>
        <v>0.8648546518608774</v>
      </c>
      <c r="S31" s="107"/>
      <c r="T31" s="40">
        <f t="shared" si="7"/>
        <v>2.7851854419137734</v>
      </c>
      <c r="U31" s="94">
        <v>2.6518904596172663</v>
      </c>
      <c r="V31" s="94">
        <v>0.79924674060360146</v>
      </c>
      <c r="W31" s="94">
        <v>0.83839395920706195</v>
      </c>
      <c r="X31" s="94">
        <f t="shared" si="8"/>
        <v>1.6376406998106634</v>
      </c>
      <c r="Y31" s="91">
        <f t="shared" si="0"/>
        <v>0</v>
      </c>
      <c r="Z31" s="40">
        <f t="shared" si="9"/>
        <v>2.8165513572584899</v>
      </c>
      <c r="AA31" s="11">
        <v>2.214362158393115</v>
      </c>
      <c r="AB31" s="94">
        <v>0.76697330164247091</v>
      </c>
      <c r="AC31" s="94">
        <v>0.7089754858112105</v>
      </c>
      <c r="AD31" s="94">
        <f t="shared" si="10"/>
        <v>1.4759487874536814</v>
      </c>
      <c r="AE31" s="94"/>
      <c r="AF31" s="40">
        <f t="shared" si="11"/>
        <v>2.4947991741868014</v>
      </c>
      <c r="AG31" s="94">
        <v>9.3295900311954727E-2</v>
      </c>
      <c r="AH31" s="94">
        <v>7.3611029159494539E-3</v>
      </c>
      <c r="AI31" s="94">
        <v>2.6070156753053058E-2</v>
      </c>
      <c r="AJ31" s="94">
        <f t="shared" si="12"/>
        <v>3.3431259669002511E-2</v>
      </c>
      <c r="AL31" s="40">
        <f t="shared" si="13"/>
        <v>2.7753358006801676</v>
      </c>
      <c r="AM31" s="94">
        <v>0.4972447918516455</v>
      </c>
      <c r="AN31" s="94">
        <v>9.6394295735497987E-2</v>
      </c>
      <c r="AO31" s="94">
        <v>0.15657684325353696</v>
      </c>
      <c r="AP31" s="94">
        <f t="shared" si="14"/>
        <v>0.25297113898903495</v>
      </c>
      <c r="AQ31" s="107"/>
      <c r="AR31" s="40">
        <f t="shared" si="15"/>
        <v>2.8473360407721415</v>
      </c>
      <c r="AS31" s="94">
        <v>1.6238214662295147</v>
      </c>
      <c r="AT31" s="94">
        <v>0.66321790299102346</v>
      </c>
      <c r="AU31" s="94">
        <v>0.52632848580462055</v>
      </c>
      <c r="AV31" s="94">
        <f t="shared" si="16"/>
        <v>1.1895463887956441</v>
      </c>
      <c r="AW31" s="91">
        <f t="shared" si="17"/>
        <v>0</v>
      </c>
      <c r="AX31" s="40">
        <f t="shared" si="18"/>
        <v>2.6299606183572521</v>
      </c>
      <c r="AY31" s="11">
        <v>2.2783095768098032</v>
      </c>
      <c r="AZ31" s="94">
        <v>0.28087299486229567</v>
      </c>
      <c r="BA31" s="94">
        <v>0.67530864231188981</v>
      </c>
      <c r="BB31" s="94">
        <f t="shared" si="19"/>
        <v>0.95618163717418547</v>
      </c>
      <c r="BC31" s="94"/>
      <c r="BD31" s="40">
        <f t="shared" si="20"/>
        <v>2.5631080985660804</v>
      </c>
      <c r="BE31" s="94">
        <v>0.22101247964060855</v>
      </c>
      <c r="BF31" s="94">
        <v>-1.6947941898083588E-2</v>
      </c>
      <c r="BG31" s="94">
        <v>6.3648887364331108E-2</v>
      </c>
      <c r="BH31" s="94">
        <f t="shared" si="21"/>
        <v>4.670094546624752E-2</v>
      </c>
      <c r="BJ31" s="40">
        <f t="shared" si="22"/>
        <v>2.5856877347969265</v>
      </c>
      <c r="BK31" s="94">
        <v>1.1148096584511451</v>
      </c>
      <c r="BL31" s="94">
        <v>0.19268434666122614</v>
      </c>
      <c r="BM31" s="94">
        <v>0.32421576182958223</v>
      </c>
      <c r="BN31" s="94">
        <f t="shared" si="23"/>
        <v>0.51690010849080836</v>
      </c>
      <c r="BO31" s="107"/>
      <c r="BP31" s="40">
        <f t="shared" si="24"/>
        <v>2.6976564051442775</v>
      </c>
      <c r="BQ31" s="94">
        <v>0.94248743871804974</v>
      </c>
      <c r="BR31" s="94">
        <v>0.10513659009915316</v>
      </c>
      <c r="BS31" s="94">
        <v>0.28744399311797653</v>
      </c>
      <c r="BT31" s="94">
        <f t="shared" si="25"/>
        <v>0.39258058321712969</v>
      </c>
      <c r="BU31" s="91">
        <f t="shared" si="26"/>
        <v>0</v>
      </c>
      <c r="BV31" s="40">
        <f t="shared" si="27"/>
        <v>2.6073314286228833</v>
      </c>
      <c r="BW31" s="11">
        <v>0.44551231145339021</v>
      </c>
      <c r="BX31" s="94">
        <v>-8.3373030656131442E-3</v>
      </c>
      <c r="BY31" s="94">
        <v>0.13078107806231981</v>
      </c>
      <c r="BZ31" s="94">
        <f t="shared" si="28"/>
        <v>0.12244377499670667</v>
      </c>
      <c r="CA31" s="94"/>
      <c r="CB31" s="40">
        <f t="shared" si="29"/>
        <v>2.4365291604826034</v>
      </c>
      <c r="CC31" s="94">
        <v>8.6276945213152031E-2</v>
      </c>
      <c r="CD31" s="94">
        <v>-4.2074055456051036E-2</v>
      </c>
      <c r="CE31" s="94">
        <v>2.3482855274529982E-2</v>
      </c>
      <c r="CF31" s="94">
        <f t="shared" si="30"/>
        <v>-1.8591200181521054E-2</v>
      </c>
      <c r="CH31" s="40">
        <f t="shared" si="31"/>
        <v>2.6262299218310803</v>
      </c>
      <c r="CI31" s="94">
        <v>0.29498731949520918</v>
      </c>
      <c r="CJ31" s="94">
        <v>2.0855293533474064E-2</v>
      </c>
      <c r="CK31" s="94">
        <v>8.7297539162572352E-2</v>
      </c>
      <c r="CL31" s="94">
        <f t="shared" si="32"/>
        <v>0.10815283269604642</v>
      </c>
      <c r="CM31" s="107"/>
      <c r="CN31" s="40">
        <f t="shared" si="33"/>
        <v>2.7472823291570414</v>
      </c>
      <c r="CO31" s="94">
        <v>6.4248046745029E-2</v>
      </c>
      <c r="CP31" s="94">
        <v>1.2881458856963826E-2</v>
      </c>
      <c r="CQ31" s="94">
        <v>2.000068362521747E-2</v>
      </c>
      <c r="CR31" s="94">
        <f t="shared" si="34"/>
        <v>3.2882142482181298E-2</v>
      </c>
      <c r="CS31" s="91">
        <f t="shared" si="35"/>
        <v>0</v>
      </c>
      <c r="CT31" s="40">
        <f t="shared" si="36"/>
        <v>2.2508925088840614</v>
      </c>
      <c r="CU31" s="11">
        <v>0.45920002132750753</v>
      </c>
      <c r="CV31" s="94">
        <v>0.10129318817382489</v>
      </c>
      <c r="CW31" s="94">
        <v>0.11448429148622874</v>
      </c>
      <c r="CX31" s="94">
        <f t="shared" si="37"/>
        <v>0.21577747966005362</v>
      </c>
      <c r="CY31" s="94"/>
      <c r="CZ31" s="40">
        <f t="shared" si="38"/>
        <v>2.2790784934704211</v>
      </c>
      <c r="DA31" s="94">
        <v>0.26733878199172612</v>
      </c>
      <c r="DB31" s="94">
        <v>0.13874262803594034</v>
      </c>
      <c r="DC31" s="94">
        <v>6.7572694623417223E-2</v>
      </c>
      <c r="DD31" s="94">
        <f t="shared" si="39"/>
        <v>0.20631532265935756</v>
      </c>
      <c r="DF31" s="40">
        <f t="shared" si="40"/>
        <v>2.2401417134240154</v>
      </c>
      <c r="DG31" s="94">
        <v>0.17052773141110822</v>
      </c>
      <c r="DH31" s="94">
        <v>-5.5460228518576328E-2</v>
      </c>
      <c r="DI31" s="94">
        <v>4.2290800203563968E-2</v>
      </c>
      <c r="DJ31" s="94">
        <f t="shared" si="41"/>
        <v>-1.316942831501236E-2</v>
      </c>
      <c r="DK31" s="107"/>
      <c r="DL31" s="40">
        <f t="shared" si="42"/>
        <v>1.9799306613629053</v>
      </c>
      <c r="DM31" s="94">
        <v>2.1333507924673225E-2</v>
      </c>
      <c r="DN31" s="94">
        <v>1.8010788656460896E-2</v>
      </c>
      <c r="DO31" s="94">
        <v>4.6207966592475454E-3</v>
      </c>
      <c r="DP31" s="94">
        <f t="shared" si="43"/>
        <v>2.2631585315708441E-2</v>
      </c>
    </row>
    <row r="32" spans="1:120" x14ac:dyDescent="0.2">
      <c r="A32" s="91">
        <f>name!B28</f>
        <v>0</v>
      </c>
      <c r="B32" s="40">
        <f t="shared" si="1"/>
        <v>2.7212419765566098</v>
      </c>
      <c r="C32" s="11">
        <v>123.7608458367669</v>
      </c>
      <c r="D32" s="94">
        <v>13.119074771958418</v>
      </c>
      <c r="E32" s="94">
        <v>38.116429497024313</v>
      </c>
      <c r="F32" s="94">
        <f t="shared" si="2"/>
        <v>51.23550426898273</v>
      </c>
      <c r="G32" s="94"/>
      <c r="H32" s="40">
        <f t="shared" si="3"/>
        <v>2.5243885852895165</v>
      </c>
      <c r="I32" s="94">
        <v>26.847077802333636</v>
      </c>
      <c r="J32" s="94">
        <v>-7.8031435741815161</v>
      </c>
      <c r="K32" s="94">
        <v>7.6013099907891046</v>
      </c>
      <c r="L32" s="94">
        <f t="shared" si="4"/>
        <v>-0.20183358339241142</v>
      </c>
      <c r="N32" s="40">
        <f t="shared" si="5"/>
        <v>2.6624455318525975</v>
      </c>
      <c r="O32" s="94">
        <v>63.941359181744446</v>
      </c>
      <c r="P32" s="94">
        <v>7.8349731558739144</v>
      </c>
      <c r="Q32" s="94">
        <v>19.215469387990549</v>
      </c>
      <c r="R32" s="94">
        <f t="shared" si="6"/>
        <v>27.050442543864463</v>
      </c>
      <c r="S32" s="107"/>
      <c r="T32" s="40">
        <f t="shared" si="7"/>
        <v>2.9906749697417023</v>
      </c>
      <c r="U32" s="94">
        <v>32.972408852688829</v>
      </c>
      <c r="V32" s="94">
        <v>13.087245190266019</v>
      </c>
      <c r="W32" s="94">
        <v>11.299650118244649</v>
      </c>
      <c r="X32" s="94">
        <f t="shared" si="8"/>
        <v>24.386895308510667</v>
      </c>
      <c r="Y32" s="91">
        <f t="shared" si="0"/>
        <v>0</v>
      </c>
      <c r="Z32" s="40">
        <f t="shared" si="9"/>
        <v>3.0765850108950499</v>
      </c>
      <c r="AA32" s="11">
        <v>38.83635765848959</v>
      </c>
      <c r="AB32" s="94">
        <v>9.7986800365741935</v>
      </c>
      <c r="AC32" s="94">
        <v>13.745837027625093</v>
      </c>
      <c r="AD32" s="94">
        <f t="shared" si="10"/>
        <v>23.544517064199287</v>
      </c>
      <c r="AE32" s="94"/>
      <c r="AF32" s="40">
        <f t="shared" si="11"/>
        <v>3.0191901547181432</v>
      </c>
      <c r="AG32" s="94">
        <v>2.7303033528832836</v>
      </c>
      <c r="AH32" s="94">
        <v>7.5430584829441968E-2</v>
      </c>
      <c r="AI32" s="94">
        <v>0.94583812987341553</v>
      </c>
      <c r="AJ32" s="94">
        <f t="shared" si="12"/>
        <v>1.0212687147028574</v>
      </c>
      <c r="AL32" s="40">
        <f t="shared" si="13"/>
        <v>3.0173281094963533</v>
      </c>
      <c r="AM32" s="94">
        <v>15.834000720976697</v>
      </c>
      <c r="AN32" s="94">
        <v>4.2727073292572078</v>
      </c>
      <c r="AO32" s="94">
        <v>5.4813988049700901</v>
      </c>
      <c r="AP32" s="94">
        <f t="shared" si="14"/>
        <v>9.7541061342272979</v>
      </c>
      <c r="AQ32" s="107"/>
      <c r="AR32" s="40">
        <f t="shared" si="15"/>
        <v>3.1303340410858471</v>
      </c>
      <c r="AS32" s="94">
        <v>20.272053584629607</v>
      </c>
      <c r="AT32" s="94">
        <v>5.4505421224875432</v>
      </c>
      <c r="AU32" s="94">
        <v>7.3186000927815886</v>
      </c>
      <c r="AV32" s="94">
        <f t="shared" si="16"/>
        <v>12.769142215269131</v>
      </c>
      <c r="AW32" s="91">
        <f t="shared" si="17"/>
        <v>0</v>
      </c>
      <c r="AX32" s="40">
        <f t="shared" si="18"/>
        <v>2.6584881857450782</v>
      </c>
      <c r="AY32" s="11">
        <v>47.806403154901318</v>
      </c>
      <c r="AZ32" s="94">
        <v>-7.0421609841178725</v>
      </c>
      <c r="BA32" s="94">
        <v>14.342678022761262</v>
      </c>
      <c r="BB32" s="94">
        <f t="shared" si="19"/>
        <v>7.30051703864339</v>
      </c>
      <c r="BC32" s="94"/>
      <c r="BD32" s="40">
        <f t="shared" si="20"/>
        <v>2.6161806421257428</v>
      </c>
      <c r="BE32" s="94">
        <v>10.847301910693686</v>
      </c>
      <c r="BF32" s="94">
        <v>-4.5098176413100948</v>
      </c>
      <c r="BG32" s="94">
        <v>3.196354334448817</v>
      </c>
      <c r="BH32" s="94">
        <f t="shared" si="21"/>
        <v>-1.3134633068612778</v>
      </c>
      <c r="BJ32" s="40">
        <f t="shared" si="22"/>
        <v>2.6374751567947108</v>
      </c>
      <c r="BK32" s="94">
        <v>28.371369231702417</v>
      </c>
      <c r="BL32" s="94">
        <v>-3.0931884379730161</v>
      </c>
      <c r="BM32" s="94">
        <v>8.4364337781793513</v>
      </c>
      <c r="BN32" s="94">
        <f t="shared" si="23"/>
        <v>5.3432453402063356</v>
      </c>
      <c r="BO32" s="107"/>
      <c r="BP32" s="40">
        <f t="shared" si="24"/>
        <v>2.7805305911498435</v>
      </c>
      <c r="BQ32" s="94">
        <v>8.5877320125052172</v>
      </c>
      <c r="BR32" s="94">
        <v>0.56084509516523873</v>
      </c>
      <c r="BS32" s="94">
        <v>2.7098899101330933</v>
      </c>
      <c r="BT32" s="94">
        <f t="shared" si="25"/>
        <v>3.2707350052983322</v>
      </c>
      <c r="BU32" s="91">
        <f t="shared" si="26"/>
        <v>0</v>
      </c>
      <c r="BV32" s="40">
        <f t="shared" si="27"/>
        <v>2.6565095608896083</v>
      </c>
      <c r="BW32" s="11">
        <v>19.849533341962385</v>
      </c>
      <c r="BX32" s="94">
        <v>1.9836189361300114</v>
      </c>
      <c r="BY32" s="94">
        <v>5.9502012149531671</v>
      </c>
      <c r="BZ32" s="94">
        <f t="shared" si="28"/>
        <v>7.9338201510831787</v>
      </c>
      <c r="CA32" s="94"/>
      <c r="CB32" s="40">
        <f t="shared" si="29"/>
        <v>2.6205599538537738</v>
      </c>
      <c r="CC32" s="94">
        <v>6.8203543745401731</v>
      </c>
      <c r="CD32" s="94">
        <v>-1.6267924145713057</v>
      </c>
      <c r="CE32" s="94">
        <v>2.0135102832400635</v>
      </c>
      <c r="CF32" s="94">
        <f t="shared" si="30"/>
        <v>0.38671786866875779</v>
      </c>
      <c r="CH32" s="40">
        <f t="shared" si="31"/>
        <v>2.6438862721386736</v>
      </c>
      <c r="CI32" s="94">
        <v>10.586487257709154</v>
      </c>
      <c r="CJ32" s="94">
        <v>1.7602610215326151</v>
      </c>
      <c r="CK32" s="94">
        <v>3.1565507372840993</v>
      </c>
      <c r="CL32" s="94">
        <f t="shared" si="32"/>
        <v>4.9168117588167144</v>
      </c>
      <c r="CM32" s="107"/>
      <c r="CN32" s="40">
        <f t="shared" si="33"/>
        <v>2.8103646649090264</v>
      </c>
      <c r="CO32" s="94">
        <v>2.4426917097130554</v>
      </c>
      <c r="CP32" s="94">
        <v>1.850150329168702</v>
      </c>
      <c r="CQ32" s="94">
        <v>0.78014019442900417</v>
      </c>
      <c r="CR32" s="94">
        <f t="shared" si="34"/>
        <v>2.6302905235977061</v>
      </c>
      <c r="CS32" s="91">
        <f t="shared" si="35"/>
        <v>0</v>
      </c>
      <c r="CT32" s="40">
        <f t="shared" si="36"/>
        <v>2.1425269866725216</v>
      </c>
      <c r="CU32" s="11">
        <v>17.268551681413616</v>
      </c>
      <c r="CV32" s="94">
        <v>8.3789367833720867</v>
      </c>
      <c r="CW32" s="94">
        <v>4.0777132316847844</v>
      </c>
      <c r="CX32" s="94">
        <f t="shared" si="37"/>
        <v>12.456650015056871</v>
      </c>
      <c r="CY32" s="94"/>
      <c r="CZ32" s="40">
        <f t="shared" si="38"/>
        <v>2.0431060525095246</v>
      </c>
      <c r="DA32" s="94">
        <v>6.4491181642164932</v>
      </c>
      <c r="DB32" s="94">
        <v>-1.7419641031295572</v>
      </c>
      <c r="DC32" s="94">
        <v>1.4456072432268086</v>
      </c>
      <c r="DD32" s="94">
        <f t="shared" si="39"/>
        <v>-0.29635685990274863</v>
      </c>
      <c r="DF32" s="40">
        <f t="shared" si="40"/>
        <v>2.1249626362792373</v>
      </c>
      <c r="DG32" s="94">
        <v>9.1495019713561767</v>
      </c>
      <c r="DH32" s="94">
        <v>4.8951932430571077</v>
      </c>
      <c r="DI32" s="94">
        <v>2.1410860675570116</v>
      </c>
      <c r="DJ32" s="94">
        <f t="shared" si="41"/>
        <v>7.0362793106141197</v>
      </c>
      <c r="DK32" s="107"/>
      <c r="DL32" s="40">
        <f t="shared" si="42"/>
        <v>2.6111687821135154</v>
      </c>
      <c r="DM32" s="94">
        <v>1.6699315458409487</v>
      </c>
      <c r="DN32" s="94">
        <v>5.2257076434445349</v>
      </c>
      <c r="DO32" s="94">
        <v>0.49101992090096452</v>
      </c>
      <c r="DP32" s="94">
        <f t="shared" si="43"/>
        <v>5.7167275643454998</v>
      </c>
    </row>
    <row r="33" spans="1:120" x14ac:dyDescent="0.2">
      <c r="A33" s="91">
        <f>name!B29</f>
        <v>0</v>
      </c>
      <c r="B33" s="40">
        <f t="shared" si="1"/>
        <v>3.0653273318685947</v>
      </c>
      <c r="C33" s="11">
        <v>154.97099999999972</v>
      </c>
      <c r="D33" s="94">
        <v>3.3030000000000879</v>
      </c>
      <c r="E33" s="94">
        <v>54.621773436017577</v>
      </c>
      <c r="F33" s="94">
        <f t="shared" si="2"/>
        <v>57.924773436017666</v>
      </c>
      <c r="G33" s="94"/>
      <c r="H33" s="40">
        <f t="shared" si="3"/>
        <v>2.9436319407800893</v>
      </c>
      <c r="I33" s="94">
        <v>50.957790570188273</v>
      </c>
      <c r="J33" s="94">
        <v>-5.207332958391917</v>
      </c>
      <c r="K33" s="94">
        <v>17.151358481765701</v>
      </c>
      <c r="L33" s="94">
        <f t="shared" si="4"/>
        <v>11.944025523373785</v>
      </c>
      <c r="N33" s="40">
        <f t="shared" si="5"/>
        <v>3.080091904459592</v>
      </c>
      <c r="O33" s="94">
        <v>82.75191339584687</v>
      </c>
      <c r="P33" s="94">
        <v>5.6365125249630674</v>
      </c>
      <c r="Q33" s="94">
        <v>29.327542834156286</v>
      </c>
      <c r="R33" s="94">
        <f t="shared" si="6"/>
        <v>34.964055359119357</v>
      </c>
      <c r="S33" s="107"/>
      <c r="T33" s="40">
        <f t="shared" si="7"/>
        <v>3.2956222869682472</v>
      </c>
      <c r="U33" s="94">
        <v>21.261296033964598</v>
      </c>
      <c r="V33" s="94">
        <v>2.873820433428937</v>
      </c>
      <c r="W33" s="94">
        <v>8.1428721200955785</v>
      </c>
      <c r="X33" s="94">
        <f t="shared" si="8"/>
        <v>11.016692553524516</v>
      </c>
      <c r="Y33" s="91">
        <f t="shared" si="0"/>
        <v>0</v>
      </c>
      <c r="Z33" s="40">
        <f t="shared" si="9"/>
        <v>4.0504340600003408</v>
      </c>
      <c r="AA33" s="11">
        <v>43.296648877844632</v>
      </c>
      <c r="AB33" s="94">
        <v>-7.3473712231151156</v>
      </c>
      <c r="AC33" s="94">
        <v>21.104445332065058</v>
      </c>
      <c r="AD33" s="94">
        <f t="shared" si="10"/>
        <v>13.757074108949944</v>
      </c>
      <c r="AE33" s="94"/>
      <c r="AF33" s="40">
        <f t="shared" si="11"/>
        <v>4.0754800931313673</v>
      </c>
      <c r="AG33" s="94">
        <v>10.106732188154798</v>
      </c>
      <c r="AH33" s="94">
        <v>-4.7657768055697005</v>
      </c>
      <c r="AI33" s="94">
        <v>4.9626340231866539</v>
      </c>
      <c r="AJ33" s="94">
        <f t="shared" si="12"/>
        <v>0.19685721761695341</v>
      </c>
      <c r="AL33" s="40">
        <f t="shared" si="13"/>
        <v>4.032928627335286</v>
      </c>
      <c r="AM33" s="94">
        <v>24.904995907126381</v>
      </c>
      <c r="AN33" s="94">
        <v>-2.8493267756162344</v>
      </c>
      <c r="AO33" s="94">
        <v>12.077372396997415</v>
      </c>
      <c r="AP33" s="94">
        <f t="shared" si="14"/>
        <v>9.228045621381181</v>
      </c>
      <c r="AQ33" s="107"/>
      <c r="AR33" s="40">
        <f t="shared" si="15"/>
        <v>4.0724091362593917</v>
      </c>
      <c r="AS33" s="94">
        <v>8.2849207825634537</v>
      </c>
      <c r="AT33" s="94">
        <v>0.26773235807081874</v>
      </c>
      <c r="AU33" s="94">
        <v>4.0644389118809876</v>
      </c>
      <c r="AV33" s="94">
        <f t="shared" si="16"/>
        <v>4.3321712699518065</v>
      </c>
      <c r="AW33" s="91">
        <f t="shared" si="17"/>
        <v>0</v>
      </c>
      <c r="AX33" s="40">
        <f t="shared" si="18"/>
        <v>2.5547598396461035</v>
      </c>
      <c r="AY33" s="11">
        <v>78.997845710276223</v>
      </c>
      <c r="AZ33" s="94">
        <v>9.7021663700437788</v>
      </c>
      <c r="BA33" s="94">
        <v>22.667623064076533</v>
      </c>
      <c r="BB33" s="94">
        <f t="shared" si="19"/>
        <v>32.369789434120314</v>
      </c>
      <c r="BC33" s="94"/>
      <c r="BD33" s="40">
        <f t="shared" si="20"/>
        <v>2.5174195387168252</v>
      </c>
      <c r="BE33" s="94">
        <v>26.37395315468379</v>
      </c>
      <c r="BF33" s="94">
        <v>1.6686028083983007</v>
      </c>
      <c r="BG33" s="94">
        <v>7.4443560709851919</v>
      </c>
      <c r="BH33" s="94">
        <f t="shared" si="21"/>
        <v>9.112958879383493</v>
      </c>
      <c r="BJ33" s="40">
        <f t="shared" si="22"/>
        <v>2.5486671581746334</v>
      </c>
      <c r="BK33" s="94">
        <v>42.663657472306795</v>
      </c>
      <c r="BL33" s="94">
        <v>6.2773062085895344</v>
      </c>
      <c r="BM33" s="94">
        <v>12.209289576322305</v>
      </c>
      <c r="BN33" s="94">
        <f t="shared" si="23"/>
        <v>18.486595784911842</v>
      </c>
      <c r="BO33" s="107"/>
      <c r="BP33" s="40">
        <f t="shared" si="24"/>
        <v>2.6788844840362147</v>
      </c>
      <c r="BQ33" s="94">
        <v>9.9602350832856388</v>
      </c>
      <c r="BR33" s="94">
        <v>1.7562573530559429</v>
      </c>
      <c r="BS33" s="94">
        <v>3.0139774167690323</v>
      </c>
      <c r="BT33" s="94">
        <f t="shared" si="25"/>
        <v>4.7702347698249756</v>
      </c>
      <c r="BU33" s="91">
        <f t="shared" si="26"/>
        <v>0</v>
      </c>
      <c r="BV33" s="40">
        <f t="shared" si="27"/>
        <v>2.6173395636761576</v>
      </c>
      <c r="BW33" s="11">
        <v>3.1913404184740064</v>
      </c>
      <c r="BX33" s="94">
        <v>1.1226335486044625</v>
      </c>
      <c r="BY33" s="94">
        <v>0.94085301244670572</v>
      </c>
      <c r="BZ33" s="94">
        <f t="shared" si="28"/>
        <v>2.0634865610511683</v>
      </c>
      <c r="CA33" s="94"/>
      <c r="CB33" s="40">
        <f t="shared" si="29"/>
        <v>2.5929383707474774</v>
      </c>
      <c r="CC33" s="94">
        <v>1.3470262007787908</v>
      </c>
      <c r="CD33" s="94">
        <v>-0.26599294418410591</v>
      </c>
      <c r="CE33" s="94">
        <v>0.39297973448013812</v>
      </c>
      <c r="CF33" s="94">
        <f t="shared" si="30"/>
        <v>0.12698679029603221</v>
      </c>
      <c r="CH33" s="40">
        <f t="shared" si="31"/>
        <v>2.6512654768499289</v>
      </c>
      <c r="CI33" s="94">
        <v>1.6842985207880887</v>
      </c>
      <c r="CJ33" s="94">
        <v>1.2839192112138034</v>
      </c>
      <c r="CK33" s="94">
        <v>0.50377617701394806</v>
      </c>
      <c r="CL33" s="94">
        <f t="shared" si="32"/>
        <v>1.7876953882277515</v>
      </c>
      <c r="CM33" s="107"/>
      <c r="CN33" s="40">
        <f t="shared" si="33"/>
        <v>2.4638723480357561</v>
      </c>
      <c r="CO33" s="94">
        <v>0.16001569690712689</v>
      </c>
      <c r="CP33" s="94">
        <v>0.10470728157476483</v>
      </c>
      <c r="CQ33" s="94">
        <v>4.4097100952619553E-2</v>
      </c>
      <c r="CR33" s="94">
        <f t="shared" si="34"/>
        <v>0.14880438252738437</v>
      </c>
      <c r="CS33" s="91">
        <f t="shared" si="35"/>
        <v>0</v>
      </c>
      <c r="CT33" s="40">
        <f t="shared" si="36"/>
        <v>2.939646040038868</v>
      </c>
      <c r="CU33" s="11">
        <v>29.485164993404876</v>
      </c>
      <c r="CV33" s="94">
        <v>-0.17442869553303728</v>
      </c>
      <c r="CW33" s="94">
        <v>9.9088520274292744</v>
      </c>
      <c r="CX33" s="94">
        <f t="shared" si="37"/>
        <v>9.7344233318962363</v>
      </c>
      <c r="CY33" s="94"/>
      <c r="CZ33" s="40">
        <f t="shared" si="38"/>
        <v>2.9037153176336705</v>
      </c>
      <c r="DA33" s="94">
        <v>13.13007902657089</v>
      </c>
      <c r="DB33" s="94">
        <v>-1.8441660170364109</v>
      </c>
      <c r="DC33" s="94">
        <v>4.3513886531137187</v>
      </c>
      <c r="DD33" s="94">
        <f t="shared" si="39"/>
        <v>2.5072226360773078</v>
      </c>
      <c r="DF33" s="40">
        <f t="shared" si="40"/>
        <v>2.9399957923162523</v>
      </c>
      <c r="DG33" s="94">
        <v>13.498961495625606</v>
      </c>
      <c r="DH33" s="94">
        <v>0.92461388077596329</v>
      </c>
      <c r="DI33" s="94">
        <v>4.5371046838226157</v>
      </c>
      <c r="DJ33" s="94">
        <f t="shared" si="41"/>
        <v>5.4617185645985789</v>
      </c>
      <c r="DK33" s="107"/>
      <c r="DL33" s="40">
        <f t="shared" si="42"/>
        <v>3.1017595685842725</v>
      </c>
      <c r="DM33" s="94">
        <v>2.856124471208378</v>
      </c>
      <c r="DN33" s="94">
        <v>0.74512344072741044</v>
      </c>
      <c r="DO33" s="94">
        <v>1.0203586904929389</v>
      </c>
      <c r="DP33" s="94">
        <f t="shared" si="43"/>
        <v>1.7654821312203492</v>
      </c>
    </row>
    <row r="34" spans="1:120" x14ac:dyDescent="0.2">
      <c r="A34" s="91">
        <f>name!B30</f>
        <v>0</v>
      </c>
      <c r="B34" s="40">
        <f t="shared" si="1"/>
        <v>2.9160956930703641</v>
      </c>
      <c r="C34" s="11">
        <v>23.473999999999943</v>
      </c>
      <c r="D34" s="94">
        <v>1.4800000000000508</v>
      </c>
      <c r="E34" s="94">
        <v>7.8170489049169243</v>
      </c>
      <c r="F34" s="94">
        <f t="shared" si="2"/>
        <v>9.2970489049169753</v>
      </c>
      <c r="G34" s="94"/>
      <c r="H34" s="40">
        <f t="shared" si="3"/>
        <v>2.8413998152179376</v>
      </c>
      <c r="I34" s="94">
        <v>1.0959429864268337</v>
      </c>
      <c r="J34" s="94">
        <v>-0.1037259015403591</v>
      </c>
      <c r="K34" s="94">
        <v>0.35439010241011099</v>
      </c>
      <c r="L34" s="94">
        <f t="shared" si="4"/>
        <v>0.25066420086975189</v>
      </c>
      <c r="N34" s="40">
        <f t="shared" si="5"/>
        <v>2.7368083593868553</v>
      </c>
      <c r="O34" s="94">
        <v>5.7095877901633001</v>
      </c>
      <c r="P34" s="94">
        <v>-0.37327834266091714</v>
      </c>
      <c r="Q34" s="94">
        <v>1.7697896880944277</v>
      </c>
      <c r="R34" s="94">
        <f t="shared" si="6"/>
        <v>1.3965113454335105</v>
      </c>
      <c r="S34" s="107"/>
      <c r="T34" s="40">
        <f t="shared" si="7"/>
        <v>2.9817357423914226</v>
      </c>
      <c r="U34" s="94">
        <v>16.668469223409804</v>
      </c>
      <c r="V34" s="94">
        <v>1.9570042442013271</v>
      </c>
      <c r="W34" s="94">
        <v>5.6928691144123853</v>
      </c>
      <c r="X34" s="94">
        <f t="shared" si="8"/>
        <v>7.6498733586137124</v>
      </c>
      <c r="Y34" s="91">
        <f t="shared" si="0"/>
        <v>0</v>
      </c>
      <c r="Z34" s="40">
        <f t="shared" si="9"/>
        <v>2.9622047611067126</v>
      </c>
      <c r="AA34" s="11">
        <v>19.751750114413298</v>
      </c>
      <c r="AB34" s="94">
        <v>1.9847428369989049</v>
      </c>
      <c r="AC34" s="94">
        <v>6.6957068627363743</v>
      </c>
      <c r="AD34" s="94">
        <f t="shared" si="10"/>
        <v>8.6804496997352789</v>
      </c>
      <c r="AE34" s="94"/>
      <c r="AF34" s="40">
        <f t="shared" si="11"/>
        <v>2.8503434562277441</v>
      </c>
      <c r="AG34" s="94">
        <v>0.53141404120681335</v>
      </c>
      <c r="AH34" s="94">
        <v>5.7773207866578854E-3</v>
      </c>
      <c r="AI34" s="94">
        <v>0.17245277094298822</v>
      </c>
      <c r="AJ34" s="94">
        <f t="shared" si="12"/>
        <v>0.1782300917296461</v>
      </c>
      <c r="AL34" s="40">
        <f t="shared" si="13"/>
        <v>2.8052118952712313</v>
      </c>
      <c r="AM34" s="94">
        <v>3.8176590294715562</v>
      </c>
      <c r="AN34" s="94">
        <v>-9.3651610208796005E-2</v>
      </c>
      <c r="AO34" s="94">
        <v>1.2167495955135688</v>
      </c>
      <c r="AP34" s="94">
        <f t="shared" si="14"/>
        <v>1.1230979853047727</v>
      </c>
      <c r="AQ34" s="107"/>
      <c r="AR34" s="40">
        <f t="shared" si="15"/>
        <v>3.0046124829515852</v>
      </c>
      <c r="AS34" s="94">
        <v>15.402677043734929</v>
      </c>
      <c r="AT34" s="94">
        <v>2.0726171264210431</v>
      </c>
      <c r="AU34" s="94">
        <v>5.3065044962798176</v>
      </c>
      <c r="AV34" s="94">
        <f t="shared" si="16"/>
        <v>7.3791216227008611</v>
      </c>
      <c r="AW34" s="91">
        <f t="shared" si="17"/>
        <v>0</v>
      </c>
      <c r="AX34" s="40">
        <f t="shared" si="18"/>
        <v>2.6373612310459427</v>
      </c>
      <c r="AY34" s="11">
        <v>2.374731535280187</v>
      </c>
      <c r="AZ34" s="94">
        <v>-0.52610301968475415</v>
      </c>
      <c r="BA34" s="94">
        <v>0.70610956275344761</v>
      </c>
      <c r="BB34" s="94">
        <f t="shared" si="19"/>
        <v>0.18000654306869346</v>
      </c>
      <c r="BC34" s="94"/>
      <c r="BD34" s="40">
        <f t="shared" si="20"/>
        <v>2.6142974667533903</v>
      </c>
      <c r="BE34" s="94">
        <v>0.19374258077031151</v>
      </c>
      <c r="BF34" s="94">
        <v>-6.9067346278153099E-2</v>
      </c>
      <c r="BG34" s="94">
        <v>5.7043738869553398E-2</v>
      </c>
      <c r="BH34" s="94">
        <f t="shared" si="21"/>
        <v>-1.2023607408599701E-2</v>
      </c>
      <c r="BJ34" s="40">
        <f t="shared" si="22"/>
        <v>2.5779959595980673</v>
      </c>
      <c r="BK34" s="94">
        <v>1.3032102618231316</v>
      </c>
      <c r="BL34" s="94">
        <v>-0.29057782168208351</v>
      </c>
      <c r="BM34" s="94">
        <v>0.37774669225068269</v>
      </c>
      <c r="BN34" s="94">
        <f t="shared" si="23"/>
        <v>8.7168870568599177E-2</v>
      </c>
      <c r="BO34" s="107"/>
      <c r="BP34" s="40">
        <f t="shared" si="24"/>
        <v>2.7299783965388569</v>
      </c>
      <c r="BQ34" s="94">
        <v>0.87777869268674391</v>
      </c>
      <c r="BR34" s="94">
        <v>-0.16645785172451752</v>
      </c>
      <c r="BS34" s="94">
        <v>0.27131913163321136</v>
      </c>
      <c r="BT34" s="94">
        <f t="shared" si="25"/>
        <v>0.10486127990869384</v>
      </c>
      <c r="BU34" s="91">
        <f t="shared" si="26"/>
        <v>0</v>
      </c>
      <c r="BV34" s="40">
        <f t="shared" si="27"/>
        <v>2.6468617353205159</v>
      </c>
      <c r="BW34" s="11">
        <v>1.0085113638560528</v>
      </c>
      <c r="BX34" s="94">
        <v>-2.6892226884003306E-2</v>
      </c>
      <c r="BY34" s="94">
        <v>0.30108528970707676</v>
      </c>
      <c r="BZ34" s="94">
        <f t="shared" si="28"/>
        <v>0.27419306282307343</v>
      </c>
      <c r="CA34" s="94"/>
      <c r="CB34" s="40">
        <f t="shared" si="29"/>
        <v>2.9715317472071456</v>
      </c>
      <c r="CC34" s="94">
        <v>0.11005468485323042</v>
      </c>
      <c r="CD34" s="94">
        <v>-1.7792453645316623E-2</v>
      </c>
      <c r="CE34" s="94">
        <v>3.7441322944962968E-2</v>
      </c>
      <c r="CF34" s="94">
        <f t="shared" si="30"/>
        <v>1.9648869299646345E-2</v>
      </c>
      <c r="CH34" s="40">
        <f t="shared" si="31"/>
        <v>2.6078916675794428</v>
      </c>
      <c r="CI34" s="94">
        <v>0.53681981591731076</v>
      </c>
      <c r="CJ34" s="94">
        <v>-2.205025681449153E-2</v>
      </c>
      <c r="CK34" s="94">
        <v>0.1576225040625937</v>
      </c>
      <c r="CL34" s="94">
        <f t="shared" si="32"/>
        <v>0.13557224724810218</v>
      </c>
      <c r="CM34" s="107"/>
      <c r="CN34" s="40">
        <f t="shared" si="33"/>
        <v>2.604308479860018</v>
      </c>
      <c r="CO34" s="94">
        <v>0.36163686308551168</v>
      </c>
      <c r="CP34" s="94">
        <v>1.2950483575804845E-2</v>
      </c>
      <c r="CQ34" s="94">
        <v>0.10602146269952011</v>
      </c>
      <c r="CR34" s="94">
        <f t="shared" si="34"/>
        <v>0.11897194627532495</v>
      </c>
      <c r="CS34" s="91">
        <f t="shared" si="35"/>
        <v>0</v>
      </c>
      <c r="CT34" s="40">
        <f t="shared" si="36"/>
        <v>2.9446387229132842</v>
      </c>
      <c r="CU34" s="11">
        <v>0.33900698645039778</v>
      </c>
      <c r="CV34" s="94">
        <v>4.8252409569903426E-2</v>
      </c>
      <c r="CW34" s="94">
        <v>0.11414718972002513</v>
      </c>
      <c r="CX34" s="94">
        <f t="shared" si="37"/>
        <v>0.16239959928992856</v>
      </c>
      <c r="CY34" s="94"/>
      <c r="CZ34" s="40">
        <f t="shared" si="38"/>
        <v>2.9346268426516664</v>
      </c>
      <c r="DA34" s="94">
        <v>0.26073167959647875</v>
      </c>
      <c r="DB34" s="94">
        <v>-2.2643422403547261E-2</v>
      </c>
      <c r="DC34" s="94">
        <v>8.7452269652606385E-2</v>
      </c>
      <c r="DD34" s="94">
        <f t="shared" si="39"/>
        <v>6.4808847249059123E-2</v>
      </c>
      <c r="DF34" s="40">
        <f t="shared" si="40"/>
        <v>2.9736967059325492</v>
      </c>
      <c r="DG34" s="94">
        <v>5.1898682951301692E-2</v>
      </c>
      <c r="DH34" s="94">
        <v>3.3001346044453983E-2</v>
      </c>
      <c r="DI34" s="94">
        <v>1.7670896267582607E-2</v>
      </c>
      <c r="DJ34" s="94">
        <f t="shared" si="41"/>
        <v>5.067224231203659E-2</v>
      </c>
      <c r="DK34" s="107"/>
      <c r="DL34" s="40">
        <f t="shared" si="42"/>
        <v>2.986239445321015</v>
      </c>
      <c r="DM34" s="94">
        <v>2.637662390261741E-2</v>
      </c>
      <c r="DN34" s="94">
        <v>3.7894485928996711E-2</v>
      </c>
      <c r="DO34" s="94">
        <v>9.0240237998361478E-3</v>
      </c>
      <c r="DP34" s="94">
        <f t="shared" si="43"/>
        <v>4.6918509728832859E-2</v>
      </c>
    </row>
    <row r="35" spans="1:120" x14ac:dyDescent="0.2">
      <c r="A35" s="91">
        <f>name!B31</f>
        <v>0</v>
      </c>
      <c r="B35" s="40">
        <f t="shared" si="1"/>
        <v>2.8621080323697479</v>
      </c>
      <c r="C35" s="11">
        <v>28.894999999999936</v>
      </c>
      <c r="D35" s="94">
        <v>1.6460000000000381</v>
      </c>
      <c r="E35" s="94">
        <v>9.420712233917067</v>
      </c>
      <c r="F35" s="94">
        <f t="shared" si="2"/>
        <v>11.066712233917105</v>
      </c>
      <c r="G35" s="94"/>
      <c r="H35" s="40">
        <f t="shared" si="3"/>
        <v>2.6633825373017173</v>
      </c>
      <c r="I35" s="94">
        <v>1.9794220652335754</v>
      </c>
      <c r="J35" s="94">
        <v>-0.35248216003289656</v>
      </c>
      <c r="K35" s="94">
        <v>0.59508506788336712</v>
      </c>
      <c r="L35" s="94">
        <f t="shared" si="4"/>
        <v>0.24260290785047056</v>
      </c>
      <c r="N35" s="40">
        <f t="shared" si="5"/>
        <v>2.6696771260062091</v>
      </c>
      <c r="O35" s="94">
        <v>10.289648262531291</v>
      </c>
      <c r="P35" s="94">
        <v>0.71798490602012099</v>
      </c>
      <c r="Q35" s="94">
        <v>3.1016441026996522</v>
      </c>
      <c r="R35" s="94">
        <f t="shared" si="6"/>
        <v>3.8196290087197733</v>
      </c>
      <c r="S35" s="107"/>
      <c r="T35" s="40">
        <f t="shared" si="7"/>
        <v>3.0027901952621061</v>
      </c>
      <c r="U35" s="94">
        <v>16.625929672235067</v>
      </c>
      <c r="V35" s="94">
        <v>1.2804972540128137</v>
      </c>
      <c r="W35" s="94">
        <v>5.7239830633340478</v>
      </c>
      <c r="X35" s="94">
        <f t="shared" si="8"/>
        <v>7.0044803173468617</v>
      </c>
      <c r="Y35" s="91">
        <f t="shared" si="0"/>
        <v>0</v>
      </c>
      <c r="Z35" s="40">
        <f t="shared" si="9"/>
        <v>3.0215443790052143</v>
      </c>
      <c r="AA35" s="11">
        <v>17.580481963655998</v>
      </c>
      <c r="AB35" s="94">
        <v>2.8098087008328023</v>
      </c>
      <c r="AC35" s="94">
        <v>6.095681909765899</v>
      </c>
      <c r="AD35" s="94">
        <f t="shared" si="10"/>
        <v>8.9054906105987008</v>
      </c>
      <c r="AE35" s="94"/>
      <c r="AF35" s="40">
        <f t="shared" si="11"/>
        <v>2.9707695648767851</v>
      </c>
      <c r="AG35" s="94">
        <v>0.5967101275394916</v>
      </c>
      <c r="AH35" s="94">
        <v>0.21095192443473093</v>
      </c>
      <c r="AI35" s="94">
        <v>0.20294549270816775</v>
      </c>
      <c r="AJ35" s="94">
        <f t="shared" si="12"/>
        <v>0.41389741714289868</v>
      </c>
      <c r="AL35" s="40">
        <f t="shared" si="13"/>
        <v>2.828445336027241</v>
      </c>
      <c r="AM35" s="94">
        <v>4.2778021615675197</v>
      </c>
      <c r="AN35" s="94">
        <v>1.1605153808737563</v>
      </c>
      <c r="AO35" s="94">
        <v>1.3761664496642632</v>
      </c>
      <c r="AP35" s="94">
        <f t="shared" si="14"/>
        <v>2.5366818305380194</v>
      </c>
      <c r="AQ35" s="107"/>
      <c r="AR35" s="40">
        <f t="shared" si="15"/>
        <v>3.0881955582803711</v>
      </c>
      <c r="AS35" s="94">
        <v>12.705969674548985</v>
      </c>
      <c r="AT35" s="94">
        <v>1.4383413955243152</v>
      </c>
      <c r="AU35" s="94">
        <v>4.5165699673934689</v>
      </c>
      <c r="AV35" s="94">
        <f t="shared" si="16"/>
        <v>5.9549113629177839</v>
      </c>
      <c r="AW35" s="91">
        <f t="shared" si="17"/>
        <v>0</v>
      </c>
      <c r="AX35" s="40">
        <f t="shared" si="18"/>
        <v>2.6020134806948869</v>
      </c>
      <c r="AY35" s="11">
        <v>7.0600510279774715</v>
      </c>
      <c r="AZ35" s="94">
        <v>-0.82070299664328927</v>
      </c>
      <c r="BA35" s="94">
        <v>2.067760735617695</v>
      </c>
      <c r="BB35" s="94">
        <f t="shared" si="19"/>
        <v>1.2470577389744057</v>
      </c>
      <c r="BC35" s="94"/>
      <c r="BD35" s="40">
        <f t="shared" si="20"/>
        <v>2.5053318006841074</v>
      </c>
      <c r="BE35" s="94">
        <v>0.58242692656334427</v>
      </c>
      <c r="BF35" s="94">
        <v>-0.32828833435573068</v>
      </c>
      <c r="BG35" s="94">
        <v>0.16351669099146005</v>
      </c>
      <c r="BH35" s="94">
        <f t="shared" si="21"/>
        <v>-0.16477164336427064</v>
      </c>
      <c r="BJ35" s="40">
        <f t="shared" si="22"/>
        <v>2.528922957277846</v>
      </c>
      <c r="BK35" s="94">
        <v>3.4980513979754475</v>
      </c>
      <c r="BL35" s="94">
        <v>-0.21403758136916518</v>
      </c>
      <c r="BM35" s="94">
        <v>0.99240143264883662</v>
      </c>
      <c r="BN35" s="94">
        <f t="shared" si="23"/>
        <v>0.77836385127967145</v>
      </c>
      <c r="BO35" s="107"/>
      <c r="BP35" s="40">
        <f t="shared" si="24"/>
        <v>2.7058922134773455</v>
      </c>
      <c r="BQ35" s="94">
        <v>2.9795727034386803</v>
      </c>
      <c r="BR35" s="94">
        <v>-0.27837708091839342</v>
      </c>
      <c r="BS35" s="94">
        <v>0.91184261197739835</v>
      </c>
      <c r="BT35" s="94">
        <f t="shared" si="25"/>
        <v>0.63346553105900494</v>
      </c>
      <c r="BU35" s="91">
        <f t="shared" si="26"/>
        <v>0</v>
      </c>
      <c r="BV35" s="40">
        <f t="shared" si="27"/>
        <v>2.6025333799874595</v>
      </c>
      <c r="BW35" s="11">
        <v>3.9916086369088277</v>
      </c>
      <c r="BX35" s="94">
        <v>-0.36860749517507152</v>
      </c>
      <c r="BY35" s="94">
        <v>1.1693311871886336</v>
      </c>
      <c r="BZ35" s="94">
        <f t="shared" si="28"/>
        <v>0.80072369201356208</v>
      </c>
      <c r="CA35" s="94"/>
      <c r="CB35" s="40">
        <f t="shared" si="29"/>
        <v>2.5262794249925946</v>
      </c>
      <c r="CC35" s="94">
        <v>0.76479151317239202</v>
      </c>
      <c r="CD35" s="94">
        <v>-0.20773686960970486</v>
      </c>
      <c r="CE35" s="94">
        <v>0.21671918013294533</v>
      </c>
      <c r="CF35" s="94">
        <f t="shared" si="30"/>
        <v>8.9823105232404721E-3</v>
      </c>
      <c r="CH35" s="40">
        <f t="shared" si="31"/>
        <v>2.5896950806788999</v>
      </c>
      <c r="CI35" s="94">
        <v>2.4153471822787229</v>
      </c>
      <c r="CJ35" s="94">
        <v>-0.2502303844660983</v>
      </c>
      <c r="CK35" s="94">
        <v>0.70366416736616388</v>
      </c>
      <c r="CL35" s="94">
        <f t="shared" si="32"/>
        <v>0.45343378290006559</v>
      </c>
      <c r="CM35" s="107"/>
      <c r="CN35" s="40">
        <f t="shared" si="33"/>
        <v>2.7118274856430702</v>
      </c>
      <c r="CO35" s="94">
        <v>0.81146994145771245</v>
      </c>
      <c r="CP35" s="94">
        <v>8.9359758900731598E-2</v>
      </c>
      <c r="CQ35" s="94">
        <v>0.24894783968952428</v>
      </c>
      <c r="CR35" s="94">
        <f t="shared" si="34"/>
        <v>0.33830759859025589</v>
      </c>
      <c r="CS35" s="91">
        <f t="shared" si="35"/>
        <v>0</v>
      </c>
      <c r="CT35" s="40">
        <f t="shared" si="36"/>
        <v>2.9279629310322131</v>
      </c>
      <c r="CU35" s="11">
        <v>0.26285837145763702</v>
      </c>
      <c r="CV35" s="94">
        <v>2.5501790985596576E-2</v>
      </c>
      <c r="CW35" s="94">
        <v>8.7938401344838837E-2</v>
      </c>
      <c r="CX35" s="94">
        <f t="shared" si="37"/>
        <v>0.11344019233043541</v>
      </c>
      <c r="CY35" s="94"/>
      <c r="CZ35" s="40">
        <f t="shared" si="38"/>
        <v>2.9343651326463327</v>
      </c>
      <c r="DA35" s="94">
        <v>3.5493497958347456E-2</v>
      </c>
      <c r="DB35" s="94">
        <v>-2.740888050219192E-2</v>
      </c>
      <c r="DC35" s="94">
        <v>1.1903704050793999E-2</v>
      </c>
      <c r="DD35" s="94">
        <f t="shared" si="39"/>
        <v>-1.5505176451397921E-2</v>
      </c>
      <c r="DF35" s="40">
        <f t="shared" si="40"/>
        <v>2.6485565988142667</v>
      </c>
      <c r="DG35" s="94">
        <v>9.8447520709600847E-2</v>
      </c>
      <c r="DH35" s="94">
        <v>2.1737490981628024E-2</v>
      </c>
      <c r="DI35" s="94">
        <v>2.941205302038874E-2</v>
      </c>
      <c r="DJ35" s="94">
        <f t="shared" si="41"/>
        <v>5.1149544002016767E-2</v>
      </c>
      <c r="DK35" s="107"/>
      <c r="DL35" s="40">
        <f t="shared" si="42"/>
        <v>3.1350944801386671</v>
      </c>
      <c r="DM35" s="94">
        <v>0.12891735278968872</v>
      </c>
      <c r="DN35" s="94">
        <v>3.1173180506160469E-2</v>
      </c>
      <c r="DO35" s="94">
        <v>4.6622644273656109E-2</v>
      </c>
      <c r="DP35" s="94">
        <f t="shared" si="43"/>
        <v>7.7795824779816586E-2</v>
      </c>
    </row>
    <row r="36" spans="1:120" x14ac:dyDescent="0.2">
      <c r="A36" s="91">
        <f>name!B32</f>
        <v>0</v>
      </c>
      <c r="B36" s="40">
        <f t="shared" si="1"/>
        <v>2.9945367077332863</v>
      </c>
      <c r="C36" s="11">
        <v>56.486999999999881</v>
      </c>
      <c r="D36" s="94">
        <v>9.4270000000000458</v>
      </c>
      <c r="E36" s="94">
        <v>19.386548178062384</v>
      </c>
      <c r="F36" s="94">
        <f t="shared" si="2"/>
        <v>28.81354817806243</v>
      </c>
      <c r="G36" s="94"/>
      <c r="H36" s="40">
        <f t="shared" si="3"/>
        <v>2.6683655064911882</v>
      </c>
      <c r="I36" s="94">
        <v>3.0739661220094856</v>
      </c>
      <c r="J36" s="94">
        <v>1.6985913874363638</v>
      </c>
      <c r="K36" s="94">
        <v>0.92608514366015537</v>
      </c>
      <c r="L36" s="94">
        <f t="shared" si="4"/>
        <v>2.6246765310965192</v>
      </c>
      <c r="N36" s="40">
        <f t="shared" si="5"/>
        <v>2.7983270973520824</v>
      </c>
      <c r="O36" s="94">
        <v>10.80483185043264</v>
      </c>
      <c r="P36" s="94">
        <v>0.32429358730751345</v>
      </c>
      <c r="Q36" s="94">
        <v>3.4341351738504251</v>
      </c>
      <c r="R36" s="94">
        <f t="shared" si="6"/>
        <v>3.7584287611579388</v>
      </c>
      <c r="S36" s="107"/>
      <c r="T36" s="40">
        <f t="shared" si="7"/>
        <v>3.0668385216106264</v>
      </c>
      <c r="U36" s="94">
        <v>42.608202027557752</v>
      </c>
      <c r="V36" s="94">
        <v>7.4041150252561669</v>
      </c>
      <c r="W36" s="94">
        <v>15.026327860551801</v>
      </c>
      <c r="X36" s="94">
        <f t="shared" si="8"/>
        <v>22.430442885807967</v>
      </c>
      <c r="Y36" s="91">
        <f t="shared" si="0"/>
        <v>0</v>
      </c>
      <c r="Z36" s="40">
        <f t="shared" si="9"/>
        <v>3.0309771831799281</v>
      </c>
      <c r="AA36" s="11">
        <v>51.021735996170101</v>
      </c>
      <c r="AB36" s="94">
        <v>9.5647099325395999</v>
      </c>
      <c r="AC36" s="94">
        <v>17.753710691282151</v>
      </c>
      <c r="AD36" s="94">
        <f t="shared" si="10"/>
        <v>27.318420623821751</v>
      </c>
      <c r="AE36" s="94"/>
      <c r="AF36" s="40">
        <f t="shared" si="11"/>
        <v>2.7156970530987756</v>
      </c>
      <c r="AG36" s="94">
        <v>1.8966772091595998</v>
      </c>
      <c r="AH36" s="94">
        <v>1.1084660999032749</v>
      </c>
      <c r="AI36" s="94">
        <v>0.58280846211724435</v>
      </c>
      <c r="AJ36" s="94">
        <f t="shared" si="12"/>
        <v>1.6912745620205194</v>
      </c>
      <c r="AL36" s="40">
        <f t="shared" si="13"/>
        <v>2.8544377950161515</v>
      </c>
      <c r="AM36" s="94">
        <v>8.7151787782400429</v>
      </c>
      <c r="AN36" s="94">
        <v>0.37231764916359472</v>
      </c>
      <c r="AO36" s="94">
        <v>2.8328178136294691</v>
      </c>
      <c r="AP36" s="94">
        <f t="shared" si="14"/>
        <v>3.2051354627930637</v>
      </c>
      <c r="AQ36" s="107"/>
      <c r="AR36" s="40">
        <f t="shared" si="15"/>
        <v>3.0832355344662776</v>
      </c>
      <c r="AS36" s="94">
        <v>40.409880008770457</v>
      </c>
      <c r="AT36" s="94">
        <v>8.0839261834727303</v>
      </c>
      <c r="AU36" s="94">
        <v>14.338084415535439</v>
      </c>
      <c r="AV36" s="94">
        <f t="shared" si="16"/>
        <v>22.422010599008168</v>
      </c>
      <c r="AW36" s="91">
        <f t="shared" si="17"/>
        <v>0</v>
      </c>
      <c r="AX36" s="40">
        <f t="shared" si="18"/>
        <v>2.6442828612915692</v>
      </c>
      <c r="AY36" s="11">
        <v>4.1117223502687619</v>
      </c>
      <c r="AZ36" s="94">
        <v>-1.2602457015033561</v>
      </c>
      <c r="BA36" s="94">
        <v>1.2261898817352725</v>
      </c>
      <c r="BB36" s="94">
        <f t="shared" si="19"/>
        <v>-3.4055819768083584E-2</v>
      </c>
      <c r="BC36" s="94"/>
      <c r="BD36" s="40">
        <f t="shared" si="20"/>
        <v>2.5250973136344612</v>
      </c>
      <c r="BE36" s="94">
        <v>0.59212142104784216</v>
      </c>
      <c r="BF36" s="94">
        <v>5.5003227893673415E-2</v>
      </c>
      <c r="BG36" s="94">
        <v>0.1677019969682341</v>
      </c>
      <c r="BH36" s="94">
        <f t="shared" si="21"/>
        <v>0.22270522486190752</v>
      </c>
      <c r="BJ36" s="40">
        <f t="shared" si="22"/>
        <v>2.5953522288273634</v>
      </c>
      <c r="BK36" s="94">
        <v>1.6781048923637909</v>
      </c>
      <c r="BL36" s="94">
        <v>-0.50299398657548378</v>
      </c>
      <c r="BM36" s="94">
        <v>0.49007829174845352</v>
      </c>
      <c r="BN36" s="94">
        <f t="shared" si="23"/>
        <v>-1.2915694827030255E-2</v>
      </c>
      <c r="BO36" s="107"/>
      <c r="BP36" s="40">
        <f t="shared" si="24"/>
        <v>2.7266024857339533</v>
      </c>
      <c r="BQ36" s="94">
        <v>1.8414960368571291</v>
      </c>
      <c r="BR36" s="94">
        <v>-0.81225494282154564</v>
      </c>
      <c r="BS36" s="94">
        <v>0.56840959301858496</v>
      </c>
      <c r="BT36" s="94">
        <f t="shared" si="25"/>
        <v>-0.24384534980296069</v>
      </c>
      <c r="BU36" s="91">
        <f t="shared" si="26"/>
        <v>0</v>
      </c>
      <c r="BV36" s="40">
        <f t="shared" si="27"/>
        <v>2.6699286086445007</v>
      </c>
      <c r="BW36" s="11">
        <v>0.94096087042845011</v>
      </c>
      <c r="BX36" s="94">
        <v>1.0673588590067584</v>
      </c>
      <c r="BY36" s="94">
        <v>0.28366707092484866</v>
      </c>
      <c r="BZ36" s="94">
        <f t="shared" si="28"/>
        <v>1.3510259299316072</v>
      </c>
      <c r="CA36" s="94"/>
      <c r="CB36" s="40">
        <f t="shared" si="29"/>
        <v>2.4755931087015126</v>
      </c>
      <c r="CC36" s="94">
        <v>0.24637925552867021</v>
      </c>
      <c r="CD36" s="94">
        <v>0.45294770729803285</v>
      </c>
      <c r="CE36" s="94">
        <v>6.8256840443345096E-2</v>
      </c>
      <c r="CF36" s="94">
        <f t="shared" si="30"/>
        <v>0.52120454774137792</v>
      </c>
      <c r="CH36" s="40">
        <f t="shared" si="31"/>
        <v>2.5317857369329788</v>
      </c>
      <c r="CI36" s="94">
        <v>0.34250238229029917</v>
      </c>
      <c r="CJ36" s="94">
        <v>0.47722061778305425</v>
      </c>
      <c r="CK36" s="94">
        <v>9.7291120958866453E-2</v>
      </c>
      <c r="CL36" s="94">
        <f t="shared" si="32"/>
        <v>0.57451173874192074</v>
      </c>
      <c r="CM36" s="107"/>
      <c r="CN36" s="40">
        <f t="shared" si="33"/>
        <v>2.9352369214464158</v>
      </c>
      <c r="CO36" s="94">
        <v>0.35207923260948076</v>
      </c>
      <c r="CP36" s="94">
        <v>0.13719053392567115</v>
      </c>
      <c r="CQ36" s="94">
        <v>0.1181191095226371</v>
      </c>
      <c r="CR36" s="94">
        <f t="shared" si="34"/>
        <v>0.25530964344830825</v>
      </c>
      <c r="CS36" s="91">
        <f t="shared" si="35"/>
        <v>0</v>
      </c>
      <c r="CT36" s="40">
        <f t="shared" si="36"/>
        <v>2.6431615692057875</v>
      </c>
      <c r="CU36" s="11">
        <v>0.41258078313257079</v>
      </c>
      <c r="CV36" s="94">
        <v>5.5176909957042726E-2</v>
      </c>
      <c r="CW36" s="94">
        <v>0.12298053412010829</v>
      </c>
      <c r="CX36" s="94">
        <f t="shared" si="37"/>
        <v>0.17815744407715101</v>
      </c>
      <c r="CY36" s="94"/>
      <c r="CZ36" s="40">
        <f t="shared" si="38"/>
        <v>2.7900274591234453</v>
      </c>
      <c r="DA36" s="94">
        <v>0.33878823627337318</v>
      </c>
      <c r="DB36" s="94">
        <v>8.2174352341382664E-2</v>
      </c>
      <c r="DC36" s="94">
        <v>0.10731784413133177</v>
      </c>
      <c r="DD36" s="94">
        <f t="shared" si="39"/>
        <v>0.18949219647271442</v>
      </c>
      <c r="DF36" s="40">
        <f t="shared" si="40"/>
        <v>1.8569836908540527</v>
      </c>
      <c r="DG36" s="94">
        <v>6.9045797538509451E-2</v>
      </c>
      <c r="DH36" s="94">
        <v>-2.2250693063651759E-2</v>
      </c>
      <c r="DI36" s="94">
        <v>1.3947947513635921E-2</v>
      </c>
      <c r="DJ36" s="94">
        <f t="shared" si="41"/>
        <v>-8.3027455500158387E-3</v>
      </c>
      <c r="DK36" s="107"/>
      <c r="DL36" s="40">
        <f t="shared" si="42"/>
        <v>3.1320498905442085</v>
      </c>
      <c r="DM36" s="94">
        <v>4.7467493206881754E-3</v>
      </c>
      <c r="DN36" s="94">
        <v>-4.7467493206881754E-3</v>
      </c>
      <c r="DO36" s="94">
        <v>1.714742475140592E-3</v>
      </c>
      <c r="DP36" s="94">
        <f t="shared" si="43"/>
        <v>-3.0320068455475836E-3</v>
      </c>
    </row>
    <row r="37" spans="1:120" x14ac:dyDescent="0.2">
      <c r="A37" s="91">
        <f>name!B33</f>
        <v>0</v>
      </c>
      <c r="B37" s="40">
        <f t="shared" si="1"/>
        <v>3.0105219210724066</v>
      </c>
      <c r="C37" s="11">
        <v>138.06999999999971</v>
      </c>
      <c r="D37" s="94">
        <v>5.2479999999998874</v>
      </c>
      <c r="E37" s="94">
        <v>47.674174099563118</v>
      </c>
      <c r="F37" s="94">
        <f t="shared" si="2"/>
        <v>52.922174099563009</v>
      </c>
      <c r="G37" s="94"/>
      <c r="H37" s="40">
        <f t="shared" si="3"/>
        <v>2.7387217667445674</v>
      </c>
      <c r="I37" s="94">
        <v>5.0762170042485808</v>
      </c>
      <c r="J37" s="94">
        <v>-1.6886317271375544</v>
      </c>
      <c r="K37" s="94">
        <v>1.5747035569122914</v>
      </c>
      <c r="L37" s="94">
        <f t="shared" si="4"/>
        <v>-0.11392817022526303</v>
      </c>
      <c r="N37" s="40">
        <f t="shared" si="5"/>
        <v>2.8045296362573024</v>
      </c>
      <c r="O37" s="94">
        <v>28.306731283971203</v>
      </c>
      <c r="P37" s="94">
        <v>-8.2765906536960721</v>
      </c>
      <c r="Q37" s="94">
        <v>9.0193352638725663</v>
      </c>
      <c r="R37" s="94">
        <f t="shared" si="6"/>
        <v>0.74274461017649429</v>
      </c>
      <c r="S37" s="107"/>
      <c r="T37" s="40">
        <f t="shared" si="7"/>
        <v>3.078543964604763</v>
      </c>
      <c r="U37" s="94">
        <v>104.68705171177994</v>
      </c>
      <c r="V37" s="94">
        <v>15.213222380833514</v>
      </c>
      <c r="W37" s="94">
        <v>37.080135278778265</v>
      </c>
      <c r="X37" s="94">
        <f t="shared" si="8"/>
        <v>52.293357659611779</v>
      </c>
      <c r="Y37" s="91">
        <f t="shared" si="0"/>
        <v>0</v>
      </c>
      <c r="Z37" s="40">
        <f t="shared" si="9"/>
        <v>3.1854311581563932</v>
      </c>
      <c r="AA37" s="11">
        <v>84.169352157623123</v>
      </c>
      <c r="AB37" s="94">
        <v>11.293223881137797</v>
      </c>
      <c r="AC37" s="94">
        <v>31.000236702092703</v>
      </c>
      <c r="AD37" s="94">
        <f t="shared" si="10"/>
        <v>42.293460583230498</v>
      </c>
      <c r="AE37" s="94"/>
      <c r="AF37" s="40">
        <f t="shared" si="11"/>
        <v>2.8758144240809802</v>
      </c>
      <c r="AG37" s="94">
        <v>1.561209729824472</v>
      </c>
      <c r="AH37" s="94">
        <v>-0.14303116627554172</v>
      </c>
      <c r="AI37" s="94">
        <v>0.51176550062084825</v>
      </c>
      <c r="AJ37" s="94">
        <f t="shared" si="12"/>
        <v>0.36873433434530656</v>
      </c>
      <c r="AL37" s="40">
        <f t="shared" si="13"/>
        <v>3.0188955093647607</v>
      </c>
      <c r="AM37" s="94">
        <v>12.208732860551185</v>
      </c>
      <c r="AN37" s="94">
        <v>-2.5285459351532285</v>
      </c>
      <c r="AO37" s="94">
        <v>4.2289079044003817</v>
      </c>
      <c r="AP37" s="94">
        <f t="shared" si="14"/>
        <v>1.7003619692471532</v>
      </c>
      <c r="AQ37" s="107"/>
      <c r="AR37" s="40">
        <f t="shared" si="15"/>
        <v>3.2208226301510656</v>
      </c>
      <c r="AS37" s="94">
        <v>70.39940956724746</v>
      </c>
      <c r="AT37" s="94">
        <v>13.964800982566569</v>
      </c>
      <c r="AU37" s="94">
        <v>26.259563297071477</v>
      </c>
      <c r="AV37" s="94">
        <f t="shared" si="16"/>
        <v>40.224364279638046</v>
      </c>
      <c r="AW37" s="91">
        <f t="shared" si="17"/>
        <v>0</v>
      </c>
      <c r="AX37" s="40">
        <f t="shared" si="18"/>
        <v>2.7267134522667158</v>
      </c>
      <c r="AY37" s="11">
        <v>51.927409634180037</v>
      </c>
      <c r="AZ37" s="94">
        <v>-6.0856524291559531</v>
      </c>
      <c r="BA37" s="94">
        <v>16.029026927967443</v>
      </c>
      <c r="BB37" s="94">
        <f t="shared" si="19"/>
        <v>9.9433744988114903</v>
      </c>
      <c r="BC37" s="94"/>
      <c r="BD37" s="40">
        <f t="shared" si="20"/>
        <v>2.6091217857213467</v>
      </c>
      <c r="BE37" s="94">
        <v>2.7243795006504485</v>
      </c>
      <c r="BF37" s="94">
        <v>-1.1532037322243214</v>
      </c>
      <c r="BG37" s="94">
        <v>0.80036230481528592</v>
      </c>
      <c r="BH37" s="94">
        <f t="shared" si="21"/>
        <v>-0.35284142740903546</v>
      </c>
      <c r="BJ37" s="40">
        <f t="shared" si="22"/>
        <v>2.6299443244254261</v>
      </c>
      <c r="BK37" s="94">
        <v>15.359163285338358</v>
      </c>
      <c r="BL37" s="94">
        <v>-5.9558823651697637</v>
      </c>
      <c r="BM37" s="94">
        <v>4.5525435996448893</v>
      </c>
      <c r="BN37" s="94">
        <f t="shared" si="23"/>
        <v>-1.4033387655248744</v>
      </c>
      <c r="BO37" s="107"/>
      <c r="BP37" s="40">
        <f t="shared" si="24"/>
        <v>2.7797379262401334</v>
      </c>
      <c r="BQ37" s="94">
        <v>33.843866848191233</v>
      </c>
      <c r="BR37" s="94">
        <v>1.0234336682381324</v>
      </c>
      <c r="BS37" s="94">
        <v>10.676121023507269</v>
      </c>
      <c r="BT37" s="94">
        <f t="shared" si="25"/>
        <v>11.699554691745401</v>
      </c>
      <c r="BU37" s="91">
        <f t="shared" si="26"/>
        <v>0</v>
      </c>
      <c r="BV37" s="40">
        <f t="shared" si="27"/>
        <v>2.6792477491861755</v>
      </c>
      <c r="BW37" s="11">
        <v>0.56980182682378044</v>
      </c>
      <c r="BX37" s="94">
        <v>1.0313467302711063E-2</v>
      </c>
      <c r="BY37" s="94">
        <v>0.17244888032198771</v>
      </c>
      <c r="BZ37" s="94">
        <f t="shared" si="28"/>
        <v>0.18276234762469878</v>
      </c>
      <c r="CA37" s="94"/>
      <c r="CB37" s="40">
        <f t="shared" si="29"/>
        <v>2.8367883930212612</v>
      </c>
      <c r="CC37" s="94">
        <v>0.20099431010344829</v>
      </c>
      <c r="CD37" s="94">
        <v>-5.7907920738398629E-2</v>
      </c>
      <c r="CE37" s="94">
        <v>6.4875370800946713E-2</v>
      </c>
      <c r="CF37" s="94">
        <f t="shared" si="30"/>
        <v>6.9674500625480848E-3</v>
      </c>
      <c r="CH37" s="40">
        <f t="shared" si="31"/>
        <v>2.5723272891071236</v>
      </c>
      <c r="CI37" s="94">
        <v>0.24513927427280902</v>
      </c>
      <c r="CJ37" s="94">
        <v>6.3410914542454982E-2</v>
      </c>
      <c r="CK37" s="94">
        <v>7.0881032615846981E-2</v>
      </c>
      <c r="CL37" s="94">
        <f t="shared" si="32"/>
        <v>0.13429194715830195</v>
      </c>
      <c r="CM37" s="107"/>
      <c r="CN37" s="40">
        <f t="shared" si="33"/>
        <v>2.6322808837923928</v>
      </c>
      <c r="CO37" s="94">
        <v>0.12366824244752304</v>
      </c>
      <c r="CP37" s="94">
        <v>4.8104734986547104E-3</v>
      </c>
      <c r="CQ37" s="94">
        <v>3.6692476905194005E-2</v>
      </c>
      <c r="CR37" s="94">
        <f t="shared" si="34"/>
        <v>4.1502950403848715E-2</v>
      </c>
      <c r="CS37" s="91">
        <f t="shared" si="35"/>
        <v>0</v>
      </c>
      <c r="CT37" s="40">
        <f t="shared" si="36"/>
        <v>2.9441443737506567</v>
      </c>
      <c r="CU37" s="11">
        <v>1.4034363813727799</v>
      </c>
      <c r="CV37" s="94">
        <v>3.0115080715330519E-2</v>
      </c>
      <c r="CW37" s="94">
        <v>0.47246158918098952</v>
      </c>
      <c r="CX37" s="94">
        <f t="shared" si="37"/>
        <v>0.50257666989631999</v>
      </c>
      <c r="CY37" s="94"/>
      <c r="CZ37" s="40">
        <f t="shared" si="38"/>
        <v>2.9337226933785931</v>
      </c>
      <c r="DA37" s="94">
        <v>0.58963346367021108</v>
      </c>
      <c r="DB37" s="94">
        <v>-0.33448890789929281</v>
      </c>
      <c r="DC37" s="94">
        <v>0.19770038067521037</v>
      </c>
      <c r="DD37" s="94">
        <f t="shared" si="39"/>
        <v>-0.13678852722408244</v>
      </c>
      <c r="DF37" s="40">
        <f t="shared" si="40"/>
        <v>2.9566467111862726</v>
      </c>
      <c r="DG37" s="94">
        <v>0.49369586380885072</v>
      </c>
      <c r="DH37" s="94">
        <v>0.14442673208446449</v>
      </c>
      <c r="DI37" s="94">
        <v>0.16700272721144677</v>
      </c>
      <c r="DJ37" s="94">
        <f t="shared" si="41"/>
        <v>0.31142945929591126</v>
      </c>
      <c r="DK37" s="107"/>
      <c r="DL37" s="40">
        <f t="shared" si="42"/>
        <v>2.944039552625588</v>
      </c>
      <c r="DM37" s="94">
        <v>0.32010705389371841</v>
      </c>
      <c r="DN37" s="94">
        <v>0.22017725653015885</v>
      </c>
      <c r="DO37" s="94">
        <v>0.10775848129433241</v>
      </c>
      <c r="DP37" s="94">
        <f t="shared" si="43"/>
        <v>0.32793573782449126</v>
      </c>
    </row>
    <row r="38" spans="1:120" x14ac:dyDescent="0.2">
      <c r="A38" s="91">
        <f>name!B34</f>
        <v>0</v>
      </c>
      <c r="B38" s="40">
        <f t="shared" si="1"/>
        <v>2.8257154904523185</v>
      </c>
      <c r="C38" s="11">
        <v>26.81499999999993</v>
      </c>
      <c r="D38" s="94">
        <v>7.5369999999999937</v>
      </c>
      <c r="E38" s="94">
        <v>8.6169620938889029</v>
      </c>
      <c r="F38" s="94">
        <f t="shared" si="2"/>
        <v>16.153962093888897</v>
      </c>
      <c r="G38" s="94"/>
      <c r="H38" s="40">
        <f t="shared" si="3"/>
        <v>2.7595137651860391</v>
      </c>
      <c r="I38" s="94">
        <v>9.6078449399321268</v>
      </c>
      <c r="J38" s="94">
        <v>1.1945418938920125</v>
      </c>
      <c r="K38" s="94">
        <v>3.0059681556585636</v>
      </c>
      <c r="L38" s="94">
        <f t="shared" si="4"/>
        <v>4.2005100495505765</v>
      </c>
      <c r="N38" s="40">
        <f t="shared" si="5"/>
        <v>2.7341953758082793</v>
      </c>
      <c r="O38" s="94">
        <v>9.4171479489873615</v>
      </c>
      <c r="P38" s="94">
        <v>4.3258837135697759</v>
      </c>
      <c r="Q38" s="94">
        <v>2.9158776210009156</v>
      </c>
      <c r="R38" s="94">
        <f t="shared" si="6"/>
        <v>7.2417613345706915</v>
      </c>
      <c r="S38" s="107"/>
      <c r="T38" s="40">
        <f t="shared" si="7"/>
        <v>3.0157359045575483</v>
      </c>
      <c r="U38" s="94">
        <v>7.7900071110804436</v>
      </c>
      <c r="V38" s="94">
        <v>2.0165743925382058</v>
      </c>
      <c r="W38" s="94">
        <v>2.6951163172294232</v>
      </c>
      <c r="X38" s="94">
        <f t="shared" si="8"/>
        <v>4.7116907097676286</v>
      </c>
      <c r="Y38" s="91">
        <f t="shared" si="0"/>
        <v>0</v>
      </c>
      <c r="Z38" s="40">
        <f t="shared" si="9"/>
        <v>2.9620533437984875</v>
      </c>
      <c r="AA38" s="11">
        <v>14.110138053458403</v>
      </c>
      <c r="AB38" s="94">
        <v>3.9764107081502162</v>
      </c>
      <c r="AC38" s="94">
        <v>4.782961494721258</v>
      </c>
      <c r="AD38" s="94">
        <f t="shared" si="10"/>
        <v>8.7593722028714751</v>
      </c>
      <c r="AE38" s="94"/>
      <c r="AF38" s="40">
        <f t="shared" si="11"/>
        <v>3.0508290138248517</v>
      </c>
      <c r="AG38" s="94">
        <v>2.6202275395242833</v>
      </c>
      <c r="AH38" s="94">
        <v>0.73551593091479284</v>
      </c>
      <c r="AI38" s="94">
        <v>0.91855524570148372</v>
      </c>
      <c r="AJ38" s="94">
        <f t="shared" si="12"/>
        <v>1.6540711766162766</v>
      </c>
      <c r="AL38" s="40">
        <f t="shared" si="13"/>
        <v>2.7890299588156253</v>
      </c>
      <c r="AM38" s="94">
        <v>5.0463247440146821</v>
      </c>
      <c r="AN38" s="94">
        <v>1.6277822226639092</v>
      </c>
      <c r="AO38" s="94">
        <v>1.5978779135482615</v>
      </c>
      <c r="AP38" s="94">
        <f t="shared" si="14"/>
        <v>3.2256601362121708</v>
      </c>
      <c r="AQ38" s="107"/>
      <c r="AR38" s="40">
        <f t="shared" si="15"/>
        <v>3.0598777753332529</v>
      </c>
      <c r="AS38" s="94">
        <v>6.4435857699194363</v>
      </c>
      <c r="AT38" s="94">
        <v>1.6131125545715137</v>
      </c>
      <c r="AU38" s="94">
        <v>2.266528335471512</v>
      </c>
      <c r="AV38" s="94">
        <f t="shared" si="16"/>
        <v>3.8796408900430257</v>
      </c>
      <c r="AW38" s="91">
        <f t="shared" si="17"/>
        <v>0</v>
      </c>
      <c r="AX38" s="40">
        <f t="shared" si="18"/>
        <v>2.6178151526021098</v>
      </c>
      <c r="AY38" s="11">
        <v>7.6620754162084248</v>
      </c>
      <c r="AZ38" s="94">
        <v>4.1655399185813149</v>
      </c>
      <c r="BA38" s="94">
        <v>2.2593497360645594</v>
      </c>
      <c r="BB38" s="94">
        <f t="shared" si="19"/>
        <v>6.4248896546458738</v>
      </c>
      <c r="BC38" s="94"/>
      <c r="BD38" s="40">
        <f t="shared" si="20"/>
        <v>2.5608888175541633</v>
      </c>
      <c r="BE38" s="94">
        <v>3.3773615761310447</v>
      </c>
      <c r="BF38" s="94">
        <v>1.945929096670862</v>
      </c>
      <c r="BG38" s="94">
        <v>0.97169760077091438</v>
      </c>
      <c r="BH38" s="94">
        <f t="shared" si="21"/>
        <v>2.9176266974417766</v>
      </c>
      <c r="BJ38" s="40">
        <f t="shared" si="22"/>
        <v>2.6173073729337526</v>
      </c>
      <c r="BK38" s="94">
        <v>3.0704844325527145</v>
      </c>
      <c r="BL38" s="94">
        <v>1.9069257326115823</v>
      </c>
      <c r="BM38" s="94">
        <v>0.90521045953698565</v>
      </c>
      <c r="BN38" s="94">
        <f t="shared" si="23"/>
        <v>2.8121361921485679</v>
      </c>
      <c r="BO38" s="107"/>
      <c r="BP38" s="40">
        <f t="shared" si="24"/>
        <v>2.7759432511544002</v>
      </c>
      <c r="BQ38" s="94">
        <v>1.2142294075246651</v>
      </c>
      <c r="BR38" s="94">
        <v>0.31268508929887001</v>
      </c>
      <c r="BS38" s="94">
        <v>0.38244167575665899</v>
      </c>
      <c r="BT38" s="94">
        <f t="shared" si="25"/>
        <v>0.69512676505552906</v>
      </c>
      <c r="BU38" s="91">
        <f t="shared" si="26"/>
        <v>0</v>
      </c>
      <c r="BV38" s="40">
        <f t="shared" si="27"/>
        <v>2.414473236517467</v>
      </c>
      <c r="BW38" s="11">
        <v>1.7431494173157795</v>
      </c>
      <c r="BX38" s="94">
        <v>0.61248561781568023</v>
      </c>
      <c r="BY38" s="94">
        <v>0.46968017566679687</v>
      </c>
      <c r="BZ38" s="94">
        <f t="shared" si="28"/>
        <v>1.0821657934824771</v>
      </c>
      <c r="CA38" s="94"/>
      <c r="CB38" s="40">
        <f t="shared" si="29"/>
        <v>2.3405169267602499</v>
      </c>
      <c r="CC38" s="94">
        <v>1.2042700345147108</v>
      </c>
      <c r="CD38" s="94">
        <v>0.30980767932272152</v>
      </c>
      <c r="CE38" s="94">
        <v>0.31347892181305265</v>
      </c>
      <c r="CF38" s="94">
        <f t="shared" si="30"/>
        <v>0.62328660113577417</v>
      </c>
      <c r="CH38" s="40">
        <f t="shared" si="31"/>
        <v>2.5716323827520871</v>
      </c>
      <c r="CI38" s="94">
        <v>0.51030481802269645</v>
      </c>
      <c r="CJ38" s="94">
        <v>0.30519047738461286</v>
      </c>
      <c r="CK38" s="94">
        <v>0.14750801317099851</v>
      </c>
      <c r="CL38" s="94">
        <f t="shared" si="32"/>
        <v>0.4526984905556114</v>
      </c>
      <c r="CM38" s="107"/>
      <c r="CN38" s="40">
        <f t="shared" si="33"/>
        <v>2.6917180041436728</v>
      </c>
      <c r="CO38" s="94">
        <v>2.8574564778372218E-2</v>
      </c>
      <c r="CP38" s="94">
        <v>-2.5125388916541216E-3</v>
      </c>
      <c r="CQ38" s="94">
        <v>8.6932406827457485E-3</v>
      </c>
      <c r="CR38" s="94">
        <f t="shared" si="34"/>
        <v>6.1807017910916265E-3</v>
      </c>
      <c r="CS38" s="91">
        <f t="shared" si="35"/>
        <v>0</v>
      </c>
      <c r="CT38" s="40">
        <f t="shared" si="36"/>
        <v>2.930505677421591</v>
      </c>
      <c r="CU38" s="11">
        <v>3.299637113017325</v>
      </c>
      <c r="CV38" s="94">
        <v>-1.2174362445472158</v>
      </c>
      <c r="CW38" s="94">
        <v>1.1049706874362895</v>
      </c>
      <c r="CX38" s="94">
        <f t="shared" si="37"/>
        <v>-0.11246555711092632</v>
      </c>
      <c r="CY38" s="94"/>
      <c r="CZ38" s="40">
        <f t="shared" si="38"/>
        <v>2.919374445859102</v>
      </c>
      <c r="DA38" s="94">
        <v>2.4059857897620875</v>
      </c>
      <c r="DB38" s="94">
        <v>-1.7967108130163638</v>
      </c>
      <c r="DC38" s="94">
        <v>0.80223638737311287</v>
      </c>
      <c r="DD38" s="94">
        <f t="shared" si="39"/>
        <v>-0.99447442564325095</v>
      </c>
      <c r="DF38" s="40">
        <f t="shared" si="40"/>
        <v>2.937506325372885</v>
      </c>
      <c r="DG38" s="94">
        <v>0.79003395439726709</v>
      </c>
      <c r="DH38" s="94">
        <v>0.48598528090967197</v>
      </c>
      <c r="DI38" s="94">
        <v>0.26528123474467041</v>
      </c>
      <c r="DJ38" s="94">
        <f t="shared" si="41"/>
        <v>0.75126651565434233</v>
      </c>
      <c r="DK38" s="107"/>
      <c r="DL38" s="40">
        <f t="shared" si="42"/>
        <v>3.1336395897629599</v>
      </c>
      <c r="DM38" s="94">
        <v>0.10361736885797046</v>
      </c>
      <c r="DN38" s="94">
        <v>9.3289287559476172E-2</v>
      </c>
      <c r="DO38" s="94">
        <v>3.7453065318506049E-2</v>
      </c>
      <c r="DP38" s="94">
        <f t="shared" si="43"/>
        <v>0.13074235287798222</v>
      </c>
    </row>
    <row r="39" spans="1:120" x14ac:dyDescent="0.2">
      <c r="A39" s="91">
        <f>name!B35</f>
        <v>0</v>
      </c>
      <c r="B39" s="40">
        <f t="shared" si="1"/>
        <v>2.9211108203484271</v>
      </c>
      <c r="C39" s="11">
        <v>368.77606295320101</v>
      </c>
      <c r="D39" s="94">
        <v>84.761622092085645</v>
      </c>
      <c r="E39" s="94">
        <v>123.04528099391801</v>
      </c>
      <c r="F39" s="94">
        <f t="shared" si="2"/>
        <v>207.80690308600367</v>
      </c>
      <c r="G39" s="94"/>
      <c r="H39" s="40">
        <f t="shared" si="3"/>
        <v>2.7717249598931071</v>
      </c>
      <c r="I39" s="94">
        <v>32.837927119185728</v>
      </c>
      <c r="J39" s="94">
        <v>4.3237049506459986</v>
      </c>
      <c r="K39" s="94">
        <v>10.325129723137874</v>
      </c>
      <c r="L39" s="94">
        <f t="shared" si="4"/>
        <v>14.648834673783872</v>
      </c>
      <c r="N39" s="40">
        <f t="shared" si="5"/>
        <v>2.7656612940708758</v>
      </c>
      <c r="O39" s="94">
        <v>92.687769994006359</v>
      </c>
      <c r="P39" s="94">
        <v>19.710235186067983</v>
      </c>
      <c r="Q39" s="94">
        <v>29.071671128619347</v>
      </c>
      <c r="R39" s="94">
        <f t="shared" si="6"/>
        <v>48.781906314687333</v>
      </c>
      <c r="S39" s="107"/>
      <c r="T39" s="40">
        <f t="shared" si="7"/>
        <v>2.9997068221470746</v>
      </c>
      <c r="U39" s="94">
        <v>243.25036584000898</v>
      </c>
      <c r="V39" s="94">
        <v>60.727681955371672</v>
      </c>
      <c r="W39" s="94">
        <v>83.648480142160807</v>
      </c>
      <c r="X39" s="94">
        <f t="shared" si="8"/>
        <v>144.37616209753247</v>
      </c>
      <c r="Y39" s="91">
        <f t="shared" si="0"/>
        <v>0</v>
      </c>
      <c r="Z39" s="40">
        <f t="shared" si="9"/>
        <v>2.9792358460889012</v>
      </c>
      <c r="AA39" s="11">
        <v>289.04342517306725</v>
      </c>
      <c r="AB39" s="94">
        <v>66.861243610511465</v>
      </c>
      <c r="AC39" s="94">
        <v>98.624387051621596</v>
      </c>
      <c r="AD39" s="94">
        <f t="shared" si="10"/>
        <v>165.48563066213308</v>
      </c>
      <c r="AE39" s="94"/>
      <c r="AF39" s="40">
        <f t="shared" si="11"/>
        <v>2.8543057167711661</v>
      </c>
      <c r="AG39" s="94">
        <v>18.48236538854206</v>
      </c>
      <c r="AH39" s="94">
        <v>4.0960252972031945</v>
      </c>
      <c r="AI39" s="94">
        <v>6.0072701306023175</v>
      </c>
      <c r="AJ39" s="94">
        <f t="shared" si="12"/>
        <v>10.103295427805513</v>
      </c>
      <c r="AL39" s="40">
        <f t="shared" si="13"/>
        <v>2.8320236000210164</v>
      </c>
      <c r="AM39" s="94">
        <v>54.824002647872582</v>
      </c>
      <c r="AN39" s="94">
        <v>11.073850669427829</v>
      </c>
      <c r="AO39" s="94">
        <v>17.662068695155931</v>
      </c>
      <c r="AP39" s="94">
        <f t="shared" si="14"/>
        <v>28.735919364583758</v>
      </c>
      <c r="AQ39" s="107"/>
      <c r="AR39" s="40">
        <f t="shared" si="15"/>
        <v>3.0269513060553033</v>
      </c>
      <c r="AS39" s="94">
        <v>215.73705713665262</v>
      </c>
      <c r="AT39" s="94">
        <v>51.691367643880433</v>
      </c>
      <c r="AU39" s="94">
        <v>74.955048225863351</v>
      </c>
      <c r="AV39" s="94">
        <f t="shared" si="16"/>
        <v>126.64641586974378</v>
      </c>
      <c r="AW39" s="91">
        <f t="shared" si="17"/>
        <v>0</v>
      </c>
      <c r="AX39" s="40">
        <f t="shared" si="18"/>
        <v>2.6968748254135422</v>
      </c>
      <c r="AY39" s="11">
        <v>69.208761822942577</v>
      </c>
      <c r="AZ39" s="94">
        <v>17.364813908921313</v>
      </c>
      <c r="BA39" s="94">
        <v>21.100721406247324</v>
      </c>
      <c r="BB39" s="94">
        <f t="shared" si="19"/>
        <v>38.465535315168637</v>
      </c>
      <c r="BC39" s="94"/>
      <c r="BD39" s="40">
        <f t="shared" si="20"/>
        <v>2.6111478879813799</v>
      </c>
      <c r="BE39" s="94">
        <v>8.5643903989708114</v>
      </c>
      <c r="BF39" s="94">
        <v>2.5133510791903837</v>
      </c>
      <c r="BG39" s="94">
        <v>2.5182161637376153</v>
      </c>
      <c r="BH39" s="94">
        <f t="shared" si="21"/>
        <v>5.0315672429279985</v>
      </c>
      <c r="BJ39" s="40">
        <f t="shared" si="22"/>
        <v>2.646322122033018</v>
      </c>
      <c r="BK39" s="94">
        <v>33.438393051364635</v>
      </c>
      <c r="BL39" s="94">
        <v>5.8534198050841955</v>
      </c>
      <c r="BM39" s="94">
        <v>9.9805580750418521</v>
      </c>
      <c r="BN39" s="94">
        <f t="shared" si="23"/>
        <v>15.833977880126048</v>
      </c>
      <c r="BO39" s="107"/>
      <c r="BP39" s="40">
        <f t="shared" si="24"/>
        <v>2.7854120715325115</v>
      </c>
      <c r="BQ39" s="94">
        <v>27.205978372607124</v>
      </c>
      <c r="BR39" s="94">
        <v>8.9980430246467371</v>
      </c>
      <c r="BS39" s="94">
        <v>8.6019471674678574</v>
      </c>
      <c r="BT39" s="94">
        <f t="shared" si="25"/>
        <v>17.599990192114596</v>
      </c>
      <c r="BU39" s="91">
        <f t="shared" si="26"/>
        <v>0</v>
      </c>
      <c r="BV39" s="40">
        <f t="shared" si="27"/>
        <v>2.5118352045522041</v>
      </c>
      <c r="BW39" s="11">
        <v>3.8656530906609365</v>
      </c>
      <c r="BX39" s="94">
        <v>1.3479415735600602</v>
      </c>
      <c r="BY39" s="94">
        <v>1.08842630099127</v>
      </c>
      <c r="BZ39" s="94">
        <f t="shared" si="28"/>
        <v>2.4363678745513302</v>
      </c>
      <c r="CA39" s="94"/>
      <c r="CB39" s="40">
        <f t="shared" si="29"/>
        <v>2.415283547581426</v>
      </c>
      <c r="CC39" s="94">
        <v>1.9483930173046786</v>
      </c>
      <c r="CD39" s="94">
        <v>0.36760454555590533</v>
      </c>
      <c r="CE39" s="94">
        <v>0.52517741956185582</v>
      </c>
      <c r="CF39" s="94">
        <f t="shared" si="30"/>
        <v>0.89278196511776109</v>
      </c>
      <c r="CH39" s="40">
        <f t="shared" si="31"/>
        <v>2.60322084904967</v>
      </c>
      <c r="CI39" s="94">
        <v>1.6099297426070227</v>
      </c>
      <c r="CJ39" s="94">
        <v>0.94206574115965114</v>
      </c>
      <c r="CK39" s="94">
        <v>0.47176413259982158</v>
      </c>
      <c r="CL39" s="94">
        <f t="shared" si="32"/>
        <v>1.4138298737594728</v>
      </c>
      <c r="CM39" s="107"/>
      <c r="CN39" s="40">
        <f t="shared" si="33"/>
        <v>2.6399932413593952</v>
      </c>
      <c r="CO39" s="94">
        <v>0.30733033074923499</v>
      </c>
      <c r="CP39" s="94">
        <v>3.8271286844503753E-2</v>
      </c>
      <c r="CQ39" s="94">
        <v>9.148474882959258E-2</v>
      </c>
      <c r="CR39" s="94">
        <f t="shared" si="34"/>
        <v>0.12975603567409633</v>
      </c>
      <c r="CS39" s="91">
        <f t="shared" si="35"/>
        <v>0</v>
      </c>
      <c r="CT39" s="40">
        <f t="shared" si="36"/>
        <v>2.9328961439813339</v>
      </c>
      <c r="CU39" s="11">
        <v>6.6582228665302994</v>
      </c>
      <c r="CV39" s="94">
        <v>-0.81237700090717724</v>
      </c>
      <c r="CW39" s="94">
        <v>2.2317462350578254</v>
      </c>
      <c r="CX39" s="94">
        <f t="shared" si="37"/>
        <v>1.4193692341506483</v>
      </c>
      <c r="CY39" s="94"/>
      <c r="CZ39" s="40">
        <f t="shared" si="38"/>
        <v>2.9056172918835443</v>
      </c>
      <c r="DA39" s="94">
        <v>3.8427783143681786</v>
      </c>
      <c r="DB39" s="94">
        <v>-2.6532759713034841</v>
      </c>
      <c r="DC39" s="94">
        <v>1.2744660092360849</v>
      </c>
      <c r="DD39" s="94">
        <f t="shared" si="39"/>
        <v>-1.3788099620673993</v>
      </c>
      <c r="DF39" s="40">
        <f t="shared" si="40"/>
        <v>2.9700241427257357</v>
      </c>
      <c r="DG39" s="94">
        <v>2.8154445521621203</v>
      </c>
      <c r="DH39" s="94">
        <v>1.840898970396307</v>
      </c>
      <c r="DI39" s="94">
        <v>0.95728022582174022</v>
      </c>
      <c r="DJ39" s="94">
        <f t="shared" si="41"/>
        <v>2.7981791962180473</v>
      </c>
      <c r="DK39" s="107"/>
      <c r="DL39" s="40">
        <f t="shared" si="42"/>
        <v>0</v>
      </c>
      <c r="DM39" s="94">
        <v>0</v>
      </c>
      <c r="DN39" s="94">
        <v>0</v>
      </c>
      <c r="DO39" s="94">
        <v>0</v>
      </c>
      <c r="DP39" s="94">
        <f t="shared" si="43"/>
        <v>0</v>
      </c>
    </row>
    <row r="40" spans="1:120" x14ac:dyDescent="0.2">
      <c r="A40" s="91">
        <f>name!B36</f>
        <v>0</v>
      </c>
      <c r="B40" s="40">
        <f t="shared" si="1"/>
        <v>2.6156670918794589</v>
      </c>
      <c r="C40" s="11">
        <v>59.103598741996336</v>
      </c>
      <c r="D40" s="94">
        <v>10.931351340026987</v>
      </c>
      <c r="E40" s="94">
        <v>17.412118425033665</v>
      </c>
      <c r="F40" s="94">
        <f t="shared" si="2"/>
        <v>28.343469765060654</v>
      </c>
      <c r="G40" s="94"/>
      <c r="H40" s="40">
        <f t="shared" si="3"/>
        <v>2.9162137159606694</v>
      </c>
      <c r="I40" s="94">
        <v>7.0907516731659292</v>
      </c>
      <c r="J40" s="94">
        <v>1.9187056475680879</v>
      </c>
      <c r="K40" s="94">
        <v>2.3613912018919283</v>
      </c>
      <c r="L40" s="94">
        <f t="shared" si="4"/>
        <v>4.2800968494600165</v>
      </c>
      <c r="N40" s="40">
        <f t="shared" si="5"/>
        <v>2.7970408811855085</v>
      </c>
      <c r="O40" s="94">
        <v>18.191156691215305</v>
      </c>
      <c r="P40" s="94">
        <v>8.022238906562599</v>
      </c>
      <c r="Q40" s="94">
        <v>5.7787557135900602</v>
      </c>
      <c r="R40" s="94">
        <f t="shared" si="6"/>
        <v>13.800994620152659</v>
      </c>
      <c r="S40" s="107"/>
      <c r="T40" s="40">
        <f t="shared" si="7"/>
        <v>2.4523227678848292</v>
      </c>
      <c r="U40" s="94">
        <v>33.821690377615099</v>
      </c>
      <c r="V40" s="94">
        <v>0.99040678589629894</v>
      </c>
      <c r="W40" s="94">
        <v>9.2719715095516726</v>
      </c>
      <c r="X40" s="94">
        <f t="shared" si="8"/>
        <v>10.262378295447972</v>
      </c>
      <c r="Y40" s="91">
        <f t="shared" si="0"/>
        <v>0</v>
      </c>
      <c r="Z40" s="40">
        <f t="shared" si="9"/>
        <v>2.484409578072122</v>
      </c>
      <c r="AA40" s="11">
        <v>44.995646288457721</v>
      </c>
      <c r="AB40" s="94">
        <v>0.7961289357498379</v>
      </c>
      <c r="AC40" s="94">
        <v>12.515037145045216</v>
      </c>
      <c r="AD40" s="94">
        <f t="shared" si="10"/>
        <v>13.311166080795054</v>
      </c>
      <c r="AE40" s="94"/>
      <c r="AF40" s="40">
        <f t="shared" si="11"/>
        <v>2.5511173362787742</v>
      </c>
      <c r="AG40" s="94">
        <v>2.5406257516550319</v>
      </c>
      <c r="AH40" s="94">
        <v>0.3259075522826399</v>
      </c>
      <c r="AI40" s="94">
        <v>0.72784543832994497</v>
      </c>
      <c r="AJ40" s="94">
        <f t="shared" si="12"/>
        <v>1.0537529906125849</v>
      </c>
      <c r="AL40" s="40">
        <f t="shared" si="13"/>
        <v>2.6421330232528906</v>
      </c>
      <c r="AM40" s="94">
        <v>11.02643601927363</v>
      </c>
      <c r="AN40" s="94">
        <v>-0.16285332189494414</v>
      </c>
      <c r="AO40" s="94">
        <v>3.2852845394032442</v>
      </c>
      <c r="AP40" s="94">
        <f t="shared" si="14"/>
        <v>3.1224312175083</v>
      </c>
      <c r="AQ40" s="107"/>
      <c r="AR40" s="40">
        <f t="shared" si="15"/>
        <v>2.4231158731658597</v>
      </c>
      <c r="AS40" s="94">
        <v>31.42858451752906</v>
      </c>
      <c r="AT40" s="94">
        <v>0.63307470536214216</v>
      </c>
      <c r="AU40" s="94">
        <v>8.5019071673120266</v>
      </c>
      <c r="AV40" s="94">
        <f t="shared" si="16"/>
        <v>9.1349818726741692</v>
      </c>
      <c r="AW40" s="91">
        <f t="shared" si="17"/>
        <v>0</v>
      </c>
      <c r="AX40" s="40">
        <f t="shared" si="18"/>
        <v>2.675817093692956</v>
      </c>
      <c r="AY40" s="11">
        <v>5.0502971452334489</v>
      </c>
      <c r="AZ40" s="94">
        <v>0.88079477764455349</v>
      </c>
      <c r="BA40" s="94">
        <v>1.5262601500564552</v>
      </c>
      <c r="BB40" s="94">
        <f t="shared" si="19"/>
        <v>2.4070549277010089</v>
      </c>
      <c r="BC40" s="94"/>
      <c r="BD40" s="40">
        <f t="shared" si="20"/>
        <v>2.6176394496400412</v>
      </c>
      <c r="BE40" s="94">
        <v>0.56332121807974112</v>
      </c>
      <c r="BF40" s="94">
        <v>6.7884082218324399E-2</v>
      </c>
      <c r="BG40" s="94">
        <v>0.16609650552913752</v>
      </c>
      <c r="BH40" s="94">
        <f t="shared" si="21"/>
        <v>0.23398058774746192</v>
      </c>
      <c r="BJ40" s="40">
        <f t="shared" si="22"/>
        <v>2.6168774278747309</v>
      </c>
      <c r="BK40" s="94">
        <v>2.8001519292734307</v>
      </c>
      <c r="BL40" s="94">
        <v>0.57994096053429567</v>
      </c>
      <c r="BM40" s="94">
        <v>0.8253617461934516</v>
      </c>
      <c r="BN40" s="94">
        <f t="shared" si="23"/>
        <v>1.4053027067277473</v>
      </c>
      <c r="BO40" s="107"/>
      <c r="BP40" s="40">
        <f t="shared" si="24"/>
        <v>2.7921892804910087</v>
      </c>
      <c r="BQ40" s="94">
        <v>1.6868239978802764</v>
      </c>
      <c r="BR40" s="94">
        <v>0.23296973489193351</v>
      </c>
      <c r="BS40" s="94">
        <v>0.53480189833386615</v>
      </c>
      <c r="BT40" s="94">
        <f t="shared" si="25"/>
        <v>0.76777163322579967</v>
      </c>
      <c r="BU40" s="91">
        <f t="shared" si="26"/>
        <v>0</v>
      </c>
      <c r="BV40" s="40">
        <f t="shared" si="27"/>
        <v>3.3032406781256851</v>
      </c>
      <c r="BW40" s="11">
        <v>7.5734451294849583</v>
      </c>
      <c r="BX40" s="94">
        <v>9.9445968505973621</v>
      </c>
      <c r="BY40" s="94">
        <v>2.9082842096564585</v>
      </c>
      <c r="BZ40" s="94">
        <f t="shared" si="28"/>
        <v>12.852881060253821</v>
      </c>
      <c r="CA40" s="94"/>
      <c r="CB40" s="40">
        <f t="shared" si="29"/>
        <v>3.3739759257654933</v>
      </c>
      <c r="CC40" s="94">
        <v>2.7837448344029059</v>
      </c>
      <c r="CD40" s="94">
        <v>2.278224621913898</v>
      </c>
      <c r="CE40" s="94">
        <v>1.0954503018874868</v>
      </c>
      <c r="CF40" s="94">
        <f t="shared" si="30"/>
        <v>3.373674923801385</v>
      </c>
      <c r="CH40" s="40">
        <f t="shared" si="31"/>
        <v>3.3175945471649371</v>
      </c>
      <c r="CI40" s="94">
        <v>4.0993032054196004</v>
      </c>
      <c r="CJ40" s="94">
        <v>7.5439376770551005</v>
      </c>
      <c r="CK40" s="94">
        <v>1.582064592612429</v>
      </c>
      <c r="CL40" s="94">
        <f t="shared" si="32"/>
        <v>9.1260022696675289</v>
      </c>
      <c r="CM40" s="107"/>
      <c r="CN40" s="40">
        <f t="shared" si="33"/>
        <v>2.9257200385051085</v>
      </c>
      <c r="CO40" s="94">
        <v>0.69039708966245217</v>
      </c>
      <c r="CP40" s="94">
        <v>0.1224345516283623</v>
      </c>
      <c r="CQ40" s="94">
        <v>0.23076931515654289</v>
      </c>
      <c r="CR40" s="94">
        <f t="shared" si="34"/>
        <v>0.35320386678490517</v>
      </c>
      <c r="CS40" s="91">
        <f t="shared" si="35"/>
        <v>0</v>
      </c>
      <c r="CT40" s="40">
        <f t="shared" si="36"/>
        <v>2.7499012245735921</v>
      </c>
      <c r="CU40" s="11">
        <v>1.4842101788202127</v>
      </c>
      <c r="CV40" s="94">
        <v>-0.69016922396476632</v>
      </c>
      <c r="CW40" s="94">
        <v>0.46253692027553084</v>
      </c>
      <c r="CX40" s="94">
        <f t="shared" si="37"/>
        <v>-0.22763230368923548</v>
      </c>
      <c r="CY40" s="94"/>
      <c r="CZ40" s="40">
        <f t="shared" si="38"/>
        <v>2.7308671095884973</v>
      </c>
      <c r="DA40" s="94">
        <v>1.2030598690282495</v>
      </c>
      <c r="DB40" s="94">
        <v>-0.75331060884677437</v>
      </c>
      <c r="DC40" s="94">
        <v>0.37199895614535888</v>
      </c>
      <c r="DD40" s="94">
        <f t="shared" si="39"/>
        <v>-0.38131165270141548</v>
      </c>
      <c r="DF40" s="40">
        <f t="shared" si="40"/>
        <v>2.8492227911662393</v>
      </c>
      <c r="DG40" s="94">
        <v>0.26526553724864882</v>
      </c>
      <c r="DH40" s="94">
        <v>6.1213590868147122E-2</v>
      </c>
      <c r="DI40" s="94">
        <v>8.6044835380935866E-2</v>
      </c>
      <c r="DJ40" s="94">
        <f t="shared" si="41"/>
        <v>0.14725842624908297</v>
      </c>
      <c r="DK40" s="107"/>
      <c r="DL40" s="40">
        <f t="shared" si="42"/>
        <v>2.5221830839160519</v>
      </c>
      <c r="DM40" s="94">
        <v>1.5884772543314236E-2</v>
      </c>
      <c r="DN40" s="94">
        <v>1.9277940138610408E-3</v>
      </c>
      <c r="DO40" s="94">
        <v>4.4931287492361305E-3</v>
      </c>
      <c r="DP40" s="94">
        <f t="shared" si="43"/>
        <v>6.4209227630971713E-3</v>
      </c>
    </row>
    <row r="41" spans="1:120" x14ac:dyDescent="0.2">
      <c r="A41" s="91">
        <f>name!B37</f>
        <v>0</v>
      </c>
      <c r="B41" s="40">
        <f t="shared" si="1"/>
        <v>2.6219584526235851</v>
      </c>
      <c r="C41" s="11">
        <v>9.5199829855549893</v>
      </c>
      <c r="D41" s="94">
        <v>1.2808958930051737</v>
      </c>
      <c r="E41" s="94">
        <v>2.8121772094303279</v>
      </c>
      <c r="F41" s="94">
        <f t="shared" si="2"/>
        <v>4.0930731024355014</v>
      </c>
      <c r="G41" s="94"/>
      <c r="H41" s="40">
        <f t="shared" si="3"/>
        <v>2.4658199500782629</v>
      </c>
      <c r="I41" s="94">
        <v>0.81619786230081037</v>
      </c>
      <c r="J41" s="94">
        <v>0.237585138792064</v>
      </c>
      <c r="K41" s="94">
        <v>0.22512559128548079</v>
      </c>
      <c r="L41" s="94">
        <f t="shared" si="4"/>
        <v>0.46271073007754482</v>
      </c>
      <c r="N41" s="40">
        <f t="shared" si="5"/>
        <v>2.6634862095569645</v>
      </c>
      <c r="O41" s="94">
        <v>2.0711276399167695</v>
      </c>
      <c r="P41" s="94">
        <v>0.44161042637100889</v>
      </c>
      <c r="Q41" s="94">
        <v>0.62268224619976209</v>
      </c>
      <c r="R41" s="94">
        <f t="shared" si="6"/>
        <v>1.0642926725707711</v>
      </c>
      <c r="S41" s="107"/>
      <c r="T41" s="40">
        <f t="shared" si="7"/>
        <v>2.628048625603352</v>
      </c>
      <c r="U41" s="94">
        <v>6.6326574833374119</v>
      </c>
      <c r="V41" s="94">
        <v>0.60170032784210092</v>
      </c>
      <c r="W41" s="94">
        <v>1.9643693719450848</v>
      </c>
      <c r="X41" s="94">
        <f t="shared" si="8"/>
        <v>2.5660696997871857</v>
      </c>
      <c r="Y41" s="91">
        <f t="shared" si="0"/>
        <v>0</v>
      </c>
      <c r="Z41" s="40">
        <f t="shared" si="9"/>
        <v>2.6231625982701789</v>
      </c>
      <c r="AA41" s="11">
        <v>7.8178668346409639</v>
      </c>
      <c r="AB41" s="94">
        <v>0.85873650454850714</v>
      </c>
      <c r="AC41" s="94">
        <v>2.3105650783484251</v>
      </c>
      <c r="AD41" s="94">
        <f t="shared" si="10"/>
        <v>3.1693015828969324</v>
      </c>
      <c r="AE41" s="94"/>
      <c r="AF41" s="40">
        <f t="shared" si="11"/>
        <v>2.4078323200257934</v>
      </c>
      <c r="AG41" s="94">
        <v>0.42302413000387928</v>
      </c>
      <c r="AH41" s="94">
        <v>0.33710538828897285</v>
      </c>
      <c r="AI41" s="94">
        <v>0.11363296527709778</v>
      </c>
      <c r="AJ41" s="94">
        <f t="shared" si="12"/>
        <v>0.45073835356607062</v>
      </c>
      <c r="AL41" s="40">
        <f t="shared" si="13"/>
        <v>2.7256227849607129</v>
      </c>
      <c r="AM41" s="94">
        <v>1.0976496509709948</v>
      </c>
      <c r="AN41" s="94">
        <v>1.0248190705673856E-3</v>
      </c>
      <c r="AO41" s="94">
        <v>0.33867155545083699</v>
      </c>
      <c r="AP41" s="94">
        <f t="shared" si="14"/>
        <v>0.33969637452140439</v>
      </c>
      <c r="AQ41" s="107"/>
      <c r="AR41" s="40">
        <f t="shared" si="15"/>
        <v>2.6195513042214014</v>
      </c>
      <c r="AS41" s="94">
        <v>6.2971930536660903</v>
      </c>
      <c r="AT41" s="94">
        <v>0.52060629718896689</v>
      </c>
      <c r="AU41" s="94">
        <v>1.8582605576204905</v>
      </c>
      <c r="AV41" s="94">
        <f t="shared" si="16"/>
        <v>2.3788668548094574</v>
      </c>
      <c r="AW41" s="91">
        <f t="shared" si="17"/>
        <v>0</v>
      </c>
      <c r="AX41" s="40">
        <f t="shared" si="18"/>
        <v>2.6785764491621844</v>
      </c>
      <c r="AY41" s="11">
        <v>0.96217009441048162</v>
      </c>
      <c r="AZ41" s="94">
        <v>0.19915521880321993</v>
      </c>
      <c r="BA41" s="94">
        <v>0.29111606469515938</v>
      </c>
      <c r="BB41" s="94">
        <f t="shared" si="19"/>
        <v>0.49027128349837934</v>
      </c>
      <c r="BC41" s="94"/>
      <c r="BD41" s="40">
        <f t="shared" si="20"/>
        <v>2.6372048618027666</v>
      </c>
      <c r="BE41" s="94">
        <v>0.12023971653791019</v>
      </c>
      <c r="BF41" s="94">
        <v>4.7709276205164207E-3</v>
      </c>
      <c r="BG41" s="94">
        <v>3.5750049535400286E-2</v>
      </c>
      <c r="BH41" s="94">
        <f t="shared" si="21"/>
        <v>4.052097715591671E-2</v>
      </c>
      <c r="BJ41" s="40">
        <f t="shared" si="22"/>
        <v>2.6370907343919114</v>
      </c>
      <c r="BK41" s="94">
        <v>0.59167940202908853</v>
      </c>
      <c r="BL41" s="94">
        <v>0.15764745541630559</v>
      </c>
      <c r="BM41" s="94">
        <v>0.17591143975903728</v>
      </c>
      <c r="BN41" s="94">
        <f t="shared" si="23"/>
        <v>0.33355889517534287</v>
      </c>
      <c r="BO41" s="107"/>
      <c r="BP41" s="40">
        <f t="shared" si="24"/>
        <v>2.7957236007542408</v>
      </c>
      <c r="BQ41" s="94">
        <v>0.25025097584348277</v>
      </c>
      <c r="BR41" s="94">
        <v>3.6736835766397878E-2</v>
      </c>
      <c r="BS41" s="94">
        <v>7.945457540072183E-2</v>
      </c>
      <c r="BT41" s="94">
        <f t="shared" si="25"/>
        <v>0.1161914111671197</v>
      </c>
      <c r="BU41" s="91">
        <f t="shared" si="26"/>
        <v>0</v>
      </c>
      <c r="BV41" s="40">
        <f t="shared" si="27"/>
        <v>2.5508183926929773</v>
      </c>
      <c r="BW41" s="11">
        <v>0.50584005818189604</v>
      </c>
      <c r="BX41" s="94">
        <v>0.32238456824668921</v>
      </c>
      <c r="BY41" s="94">
        <v>0.1448954785012399</v>
      </c>
      <c r="BZ41" s="94">
        <f t="shared" si="28"/>
        <v>0.46728004674792911</v>
      </c>
      <c r="CA41" s="94"/>
      <c r="CB41" s="40">
        <f t="shared" si="29"/>
        <v>2.5367449852401247</v>
      </c>
      <c r="CC41" s="94">
        <v>9.1589573227019994E-2</v>
      </c>
      <c r="CD41" s="94">
        <v>-4.2808638867016524E-3</v>
      </c>
      <c r="CE41" s="94">
        <v>2.6073802070792795E-2</v>
      </c>
      <c r="CF41" s="94">
        <f t="shared" si="30"/>
        <v>2.1792938184091143E-2</v>
      </c>
      <c r="CH41" s="40">
        <f t="shared" si="31"/>
        <v>2.5204548632431933</v>
      </c>
      <c r="CI41" s="94">
        <v>0.33966700342259021</v>
      </c>
      <c r="CJ41" s="94">
        <v>0.28850292379729831</v>
      </c>
      <c r="CK41" s="94">
        <v>9.6003947721158597E-2</v>
      </c>
      <c r="CL41" s="94">
        <f t="shared" si="32"/>
        <v>0.38450687151845692</v>
      </c>
      <c r="CM41" s="107"/>
      <c r="CN41" s="40">
        <f t="shared" si="33"/>
        <v>2.7051379124598762</v>
      </c>
      <c r="CO41" s="94">
        <v>7.458348153228582E-2</v>
      </c>
      <c r="CP41" s="94">
        <v>3.8162508336092499E-2</v>
      </c>
      <c r="CQ41" s="94">
        <v>2.2817728709288516E-2</v>
      </c>
      <c r="CR41" s="94">
        <f t="shared" si="34"/>
        <v>6.0980237045381011E-2</v>
      </c>
      <c r="CS41" s="91">
        <f t="shared" si="35"/>
        <v>0</v>
      </c>
      <c r="CT41" s="40">
        <f t="shared" si="36"/>
        <v>2.5010642333554323</v>
      </c>
      <c r="CU41" s="11">
        <v>0.23410599832164924</v>
      </c>
      <c r="CV41" s="94">
        <v>-9.9380398593242464E-2</v>
      </c>
      <c r="CW41" s="94">
        <v>6.5600587885503062E-2</v>
      </c>
      <c r="CX41" s="94">
        <f t="shared" si="37"/>
        <v>-3.3779810707739402E-2</v>
      </c>
      <c r="CY41" s="94"/>
      <c r="CZ41" s="40">
        <f t="shared" si="38"/>
        <v>2.4503054838948435</v>
      </c>
      <c r="DA41" s="94">
        <v>0.18134444253200094</v>
      </c>
      <c r="DB41" s="94">
        <v>-0.10001031323072365</v>
      </c>
      <c r="DC41" s="94">
        <v>4.9668774402189947E-2</v>
      </c>
      <c r="DD41" s="94">
        <f t="shared" si="39"/>
        <v>-5.0341538828533705E-2</v>
      </c>
      <c r="DF41" s="40">
        <f t="shared" si="40"/>
        <v>2.5559091493363884</v>
      </c>
      <c r="DG41" s="94">
        <v>4.2131583494095966E-2</v>
      </c>
      <c r="DH41" s="94">
        <v>-5.5647719131624168E-3</v>
      </c>
      <c r="DI41" s="94">
        <v>1.2095303268729192E-2</v>
      </c>
      <c r="DJ41" s="94">
        <f t="shared" si="41"/>
        <v>6.5305313555667748E-3</v>
      </c>
      <c r="DK41" s="107"/>
      <c r="DL41" s="40">
        <f t="shared" si="42"/>
        <v>3.1295401767871711</v>
      </c>
      <c r="DM41" s="94">
        <v>1.0629972295552376E-2</v>
      </c>
      <c r="DN41" s="94">
        <v>6.1946865506436119E-3</v>
      </c>
      <c r="DO41" s="94">
        <v>3.8365102145839292E-3</v>
      </c>
      <c r="DP41" s="94">
        <f t="shared" si="43"/>
        <v>1.003119676522754E-2</v>
      </c>
    </row>
    <row r="42" spans="1:120" x14ac:dyDescent="0.2">
      <c r="A42" s="91">
        <f>name!B38</f>
        <v>0</v>
      </c>
      <c r="B42" s="40">
        <f t="shared" si="1"/>
        <v>2.7659066814350819</v>
      </c>
      <c r="C42" s="11">
        <v>41.327917877507424</v>
      </c>
      <c r="D42" s="94">
        <v>5.5428905332373821</v>
      </c>
      <c r="E42" s="94">
        <v>12.963865628503205</v>
      </c>
      <c r="F42" s="94">
        <f t="shared" si="2"/>
        <v>18.506756161740586</v>
      </c>
      <c r="G42" s="94"/>
      <c r="H42" s="40">
        <f t="shared" si="3"/>
        <v>2.5883895459776651</v>
      </c>
      <c r="I42" s="94">
        <v>6.6477909633603698</v>
      </c>
      <c r="J42" s="94">
        <v>0.46903863547743174</v>
      </c>
      <c r="K42" s="94">
        <v>1.9356115118566004</v>
      </c>
      <c r="L42" s="94">
        <f t="shared" si="4"/>
        <v>2.4046501473340323</v>
      </c>
      <c r="N42" s="40">
        <f t="shared" si="5"/>
        <v>2.6369495607399429</v>
      </c>
      <c r="O42" s="94">
        <v>13.326579267199337</v>
      </c>
      <c r="P42" s="94">
        <v>1.877839557749986</v>
      </c>
      <c r="Q42" s="94">
        <v>3.9618702925814446</v>
      </c>
      <c r="R42" s="94">
        <f t="shared" si="6"/>
        <v>5.8397098503314311</v>
      </c>
      <c r="S42" s="107"/>
      <c r="T42" s="40">
        <f t="shared" si="7"/>
        <v>2.8999820012332478</v>
      </c>
      <c r="U42" s="94">
        <v>21.35354764694771</v>
      </c>
      <c r="V42" s="94">
        <v>3.1960123400099647</v>
      </c>
      <c r="W42" s="94">
        <v>7.0663838240651593</v>
      </c>
      <c r="X42" s="94">
        <f t="shared" si="8"/>
        <v>10.262396164075124</v>
      </c>
      <c r="Y42" s="91">
        <f t="shared" si="0"/>
        <v>0</v>
      </c>
      <c r="Z42" s="40">
        <f t="shared" si="9"/>
        <v>2.8515281797403702</v>
      </c>
      <c r="AA42" s="11">
        <v>28.851400371214467</v>
      </c>
      <c r="AB42" s="94">
        <v>2.9117941769720685</v>
      </c>
      <c r="AC42" s="94">
        <v>9.3671654902328125</v>
      </c>
      <c r="AD42" s="94">
        <f t="shared" si="10"/>
        <v>12.27895966720488</v>
      </c>
      <c r="AE42" s="94"/>
      <c r="AF42" s="40">
        <f t="shared" si="11"/>
        <v>2.7312978006911237</v>
      </c>
      <c r="AG42" s="94">
        <v>2.3074493769266002</v>
      </c>
      <c r="AH42" s="94">
        <v>8.8154748807107802E-2</v>
      </c>
      <c r="AI42" s="94">
        <v>0.7136146359797787</v>
      </c>
      <c r="AJ42" s="94">
        <f t="shared" si="12"/>
        <v>0.80176938478688653</v>
      </c>
      <c r="AL42" s="40">
        <f t="shared" si="13"/>
        <v>2.6978647455589311</v>
      </c>
      <c r="AM42" s="94">
        <v>7.996889456722271</v>
      </c>
      <c r="AN42" s="94">
        <v>0.23978644928801202</v>
      </c>
      <c r="AO42" s="94">
        <v>2.4391384738532835</v>
      </c>
      <c r="AP42" s="94">
        <f t="shared" si="14"/>
        <v>2.6789249231412957</v>
      </c>
      <c r="AQ42" s="107"/>
      <c r="AR42" s="40">
        <f t="shared" si="15"/>
        <v>2.9319352041224489</v>
      </c>
      <c r="AS42" s="94">
        <v>18.547061537565593</v>
      </c>
      <c r="AT42" s="94">
        <v>2.5838529788769486</v>
      </c>
      <c r="AU42" s="94">
        <v>6.2144123803997511</v>
      </c>
      <c r="AV42" s="94">
        <f t="shared" si="16"/>
        <v>8.7982653592766997</v>
      </c>
      <c r="AW42" s="91">
        <f t="shared" si="17"/>
        <v>0</v>
      </c>
      <c r="AX42" s="40">
        <f t="shared" si="18"/>
        <v>2.5785306073743852</v>
      </c>
      <c r="AY42" s="11">
        <v>6.5037812929444394</v>
      </c>
      <c r="AZ42" s="94">
        <v>1.0757665767010658</v>
      </c>
      <c r="BA42" s="94">
        <v>1.8856141436015186</v>
      </c>
      <c r="BB42" s="94">
        <f t="shared" si="19"/>
        <v>2.9613807203025844</v>
      </c>
      <c r="BC42" s="94"/>
      <c r="BD42" s="40">
        <f t="shared" si="20"/>
        <v>2.4818332070334348</v>
      </c>
      <c r="BE42" s="94">
        <v>1.8237775728680967</v>
      </c>
      <c r="BF42" s="94">
        <v>0.40035255591572777</v>
      </c>
      <c r="BG42" s="94">
        <v>0.50667745232067052</v>
      </c>
      <c r="BH42" s="94">
        <f t="shared" si="21"/>
        <v>0.90703000823639823</v>
      </c>
      <c r="BJ42" s="40">
        <f t="shared" si="22"/>
        <v>2.5440839893432932</v>
      </c>
      <c r="BK42" s="94">
        <v>2.6329814450846953</v>
      </c>
      <c r="BL42" s="94">
        <v>0.36645710610714699</v>
      </c>
      <c r="BM42" s="94">
        <v>0.75198133827523139</v>
      </c>
      <c r="BN42" s="94">
        <f t="shared" si="23"/>
        <v>1.1184384443823783</v>
      </c>
      <c r="BO42" s="107"/>
      <c r="BP42" s="40">
        <f t="shared" si="24"/>
        <v>2.7078220766586059</v>
      </c>
      <c r="BQ42" s="94">
        <v>2.0470222749916469</v>
      </c>
      <c r="BR42" s="94">
        <v>0.30895691467819097</v>
      </c>
      <c r="BS42" s="94">
        <v>0.62695535300561678</v>
      </c>
      <c r="BT42" s="94">
        <f t="shared" si="25"/>
        <v>0.93591226768380775</v>
      </c>
      <c r="BU42" s="91">
        <f t="shared" si="26"/>
        <v>0</v>
      </c>
      <c r="BV42" s="40">
        <f t="shared" si="27"/>
        <v>2.4352549002091939</v>
      </c>
      <c r="BW42" s="11">
        <v>3.9926676757116213</v>
      </c>
      <c r="BX42" s="94">
        <v>1.3942061283114771</v>
      </c>
      <c r="BY42" s="94">
        <v>1.0860923018676825</v>
      </c>
      <c r="BZ42" s="94">
        <f t="shared" si="28"/>
        <v>2.4802984301791593</v>
      </c>
      <c r="CA42" s="94"/>
      <c r="CB42" s="40">
        <f t="shared" si="29"/>
        <v>2.3820319758712349</v>
      </c>
      <c r="CC42" s="94">
        <v>1.5804510737327937</v>
      </c>
      <c r="CD42" s="94">
        <v>0.54763313458440666</v>
      </c>
      <c r="CE42" s="94">
        <v>0.41949600254904829</v>
      </c>
      <c r="CF42" s="94">
        <f t="shared" si="30"/>
        <v>0.96712913713345494</v>
      </c>
      <c r="CH42" s="40">
        <f t="shared" si="31"/>
        <v>2.4397967914120189</v>
      </c>
      <c r="CI42" s="94">
        <v>1.8177774091588061</v>
      </c>
      <c r="CJ42" s="94">
        <v>0.71493905267938562</v>
      </c>
      <c r="CK42" s="94">
        <v>0.49550036268130071</v>
      </c>
      <c r="CL42" s="94">
        <f t="shared" si="32"/>
        <v>1.2104394153606863</v>
      </c>
      <c r="CM42" s="107"/>
      <c r="CN42" s="40">
        <f t="shared" si="33"/>
        <v>2.5618317898631338</v>
      </c>
      <c r="CO42" s="94">
        <v>0.59443919282002144</v>
      </c>
      <c r="CP42" s="94">
        <v>0.13163394104768467</v>
      </c>
      <c r="CQ42" s="94">
        <v>0.1710959366373333</v>
      </c>
      <c r="CR42" s="94">
        <f t="shared" si="34"/>
        <v>0.30272987768501797</v>
      </c>
      <c r="CS42" s="91">
        <f t="shared" si="35"/>
        <v>0</v>
      </c>
      <c r="CT42" s="40">
        <f t="shared" si="36"/>
        <v>2.7812246199814927</v>
      </c>
      <c r="CU42" s="11">
        <v>1.9800685376368916</v>
      </c>
      <c r="CV42" s="94">
        <v>0.16112365125277109</v>
      </c>
      <c r="CW42" s="94">
        <v>0.62499369280119021</v>
      </c>
      <c r="CX42" s="94">
        <f t="shared" si="37"/>
        <v>0.78611734405396128</v>
      </c>
      <c r="CY42" s="94"/>
      <c r="CZ42" s="40">
        <f t="shared" si="38"/>
        <v>2.7841153979467625</v>
      </c>
      <c r="DA42" s="94">
        <v>0.93611293983287924</v>
      </c>
      <c r="DB42" s="94">
        <v>-0.56710180382981035</v>
      </c>
      <c r="DC42" s="94">
        <v>0.29582342100710285</v>
      </c>
      <c r="DD42" s="94">
        <f t="shared" si="39"/>
        <v>-0.2712783828227075</v>
      </c>
      <c r="DF42" s="40">
        <f t="shared" si="40"/>
        <v>2.7618510900035087</v>
      </c>
      <c r="DG42" s="94">
        <v>0.87893095623356221</v>
      </c>
      <c r="DH42" s="94">
        <v>0.55665694967544133</v>
      </c>
      <c r="DI42" s="94">
        <v>0.275250117771629</v>
      </c>
      <c r="DJ42" s="94">
        <f t="shared" si="41"/>
        <v>0.83190706744707033</v>
      </c>
      <c r="DK42" s="107"/>
      <c r="DL42" s="40">
        <f t="shared" si="42"/>
        <v>2.8675941660104565</v>
      </c>
      <c r="DM42" s="94">
        <v>0.16502464157045005</v>
      </c>
      <c r="DN42" s="94">
        <v>0.17156850540714014</v>
      </c>
      <c r="DO42" s="94">
        <v>5.3920154022458346E-2</v>
      </c>
      <c r="DP42" s="94">
        <f t="shared" si="43"/>
        <v>0.22548865942959848</v>
      </c>
    </row>
    <row r="43" spans="1:120" x14ac:dyDescent="0.2">
      <c r="A43" s="91">
        <f>name!B39</f>
        <v>0</v>
      </c>
      <c r="B43" s="40">
        <f t="shared" si="1"/>
        <v>2.964323205894126</v>
      </c>
      <c r="C43" s="11">
        <v>366.60612974536059</v>
      </c>
      <c r="D43" s="94">
        <v>59.276568078745363</v>
      </c>
      <c r="E43" s="94">
        <v>124.37795424368858</v>
      </c>
      <c r="F43" s="94">
        <f t="shared" si="2"/>
        <v>183.65452232243393</v>
      </c>
      <c r="G43" s="94"/>
      <c r="H43" s="40">
        <f t="shared" si="3"/>
        <v>2.8629023744369153</v>
      </c>
      <c r="I43" s="94">
        <v>60.29612584772859</v>
      </c>
      <c r="J43" s="94">
        <v>6.2659503707421011</v>
      </c>
      <c r="K43" s="94">
        <v>19.664677844879822</v>
      </c>
      <c r="L43" s="94">
        <f t="shared" si="4"/>
        <v>25.930628215621923</v>
      </c>
      <c r="N43" s="40">
        <f t="shared" si="5"/>
        <v>2.910542307155306</v>
      </c>
      <c r="O43" s="94">
        <v>109.06467888707947</v>
      </c>
      <c r="P43" s="94">
        <v>29.524424023904043</v>
      </c>
      <c r="Q43" s="94">
        <v>36.241068661330416</v>
      </c>
      <c r="R43" s="94">
        <f t="shared" si="6"/>
        <v>65.765492685234463</v>
      </c>
      <c r="S43" s="107"/>
      <c r="T43" s="40">
        <f t="shared" si="7"/>
        <v>3.0246977932693042</v>
      </c>
      <c r="U43" s="94">
        <v>197.24532501055251</v>
      </c>
      <c r="V43" s="94">
        <v>23.486193684099216</v>
      </c>
      <c r="W43" s="94">
        <v>68.472207737478328</v>
      </c>
      <c r="X43" s="94">
        <f t="shared" si="8"/>
        <v>91.958401421577548</v>
      </c>
      <c r="Y43" s="91">
        <f t="shared" si="0"/>
        <v>0</v>
      </c>
      <c r="Z43" s="40">
        <f t="shared" si="9"/>
        <v>3.067775138448714</v>
      </c>
      <c r="AA43" s="11">
        <v>128.40645062723203</v>
      </c>
      <c r="AB43" s="94">
        <v>11.85508119620458</v>
      </c>
      <c r="AC43" s="94">
        <v>45.299963238210964</v>
      </c>
      <c r="AD43" s="94">
        <f t="shared" si="10"/>
        <v>57.155044434415544</v>
      </c>
      <c r="AE43" s="94"/>
      <c r="AF43" s="40">
        <f t="shared" si="11"/>
        <v>2.9973382412868288</v>
      </c>
      <c r="AG43" s="94">
        <v>2.355165456214976</v>
      </c>
      <c r="AH43" s="94">
        <v>0.9637811048672672</v>
      </c>
      <c r="AI43" s="94">
        <v>0.80916212463532233</v>
      </c>
      <c r="AJ43" s="94">
        <f t="shared" si="12"/>
        <v>1.7729432295025895</v>
      </c>
      <c r="AL43" s="40">
        <f t="shared" si="13"/>
        <v>2.9883483560949609</v>
      </c>
      <c r="AM43" s="94">
        <v>12.753554522103531</v>
      </c>
      <c r="AN43" s="94">
        <v>-1.189686119892166</v>
      </c>
      <c r="AO43" s="94">
        <v>4.3667772486974572</v>
      </c>
      <c r="AP43" s="94">
        <f t="shared" si="14"/>
        <v>3.1770911288052912</v>
      </c>
      <c r="AQ43" s="107"/>
      <c r="AR43" s="40">
        <f t="shared" si="15"/>
        <v>3.0781400233887757</v>
      </c>
      <c r="AS43" s="94">
        <v>113.29773064891354</v>
      </c>
      <c r="AT43" s="94">
        <v>12.080986211229478</v>
      </c>
      <c r="AU43" s="94">
        <v>40.124023864878183</v>
      </c>
      <c r="AV43" s="94">
        <f t="shared" si="16"/>
        <v>52.205010076107662</v>
      </c>
      <c r="AW43" s="91">
        <f t="shared" si="17"/>
        <v>0</v>
      </c>
      <c r="AX43" s="40">
        <f t="shared" si="18"/>
        <v>2.6535599438878954</v>
      </c>
      <c r="AY43" s="11">
        <v>85.340941379457291</v>
      </c>
      <c r="AZ43" s="94">
        <v>21.654635101028848</v>
      </c>
      <c r="BA43" s="94">
        <v>25.550385149909442</v>
      </c>
      <c r="BB43" s="94">
        <f t="shared" si="19"/>
        <v>47.20502025093829</v>
      </c>
      <c r="BC43" s="94"/>
      <c r="BD43" s="40">
        <f t="shared" si="20"/>
        <v>2.5369749451499946</v>
      </c>
      <c r="BE43" s="94">
        <v>7.9924706336224665</v>
      </c>
      <c r="BF43" s="94">
        <v>4.6323396613046155</v>
      </c>
      <c r="BG43" s="94">
        <v>2.275534005888348</v>
      </c>
      <c r="BH43" s="94">
        <f t="shared" si="21"/>
        <v>6.9078736671929635</v>
      </c>
      <c r="BJ43" s="40">
        <f t="shared" si="22"/>
        <v>2.5624762152512082</v>
      </c>
      <c r="BK43" s="94">
        <v>27.005268580631853</v>
      </c>
      <c r="BL43" s="94">
        <v>10.223864247757708</v>
      </c>
      <c r="BM43" s="94">
        <v>7.7750437532035859</v>
      </c>
      <c r="BN43" s="94">
        <f t="shared" si="23"/>
        <v>17.998908000961293</v>
      </c>
      <c r="BO43" s="107"/>
      <c r="BP43" s="40">
        <f t="shared" si="24"/>
        <v>2.7204430066313234</v>
      </c>
      <c r="BQ43" s="94">
        <v>50.343202165202975</v>
      </c>
      <c r="BR43" s="94">
        <v>6.7984311919665235</v>
      </c>
      <c r="BS43" s="94">
        <v>15.499807390817509</v>
      </c>
      <c r="BT43" s="94">
        <f t="shared" si="25"/>
        <v>22.29823858278403</v>
      </c>
      <c r="BU43" s="91">
        <f t="shared" si="26"/>
        <v>0</v>
      </c>
      <c r="BV43" s="40">
        <f t="shared" si="27"/>
        <v>3.5825178625260357</v>
      </c>
      <c r="BW43" s="11">
        <v>28.783589754031564</v>
      </c>
      <c r="BX43" s="94">
        <v>9.0490542940407099</v>
      </c>
      <c r="BY43" s="94">
        <v>12.143380105807763</v>
      </c>
      <c r="BZ43" s="94">
        <f t="shared" si="28"/>
        <v>21.192434399848473</v>
      </c>
      <c r="CA43" s="94"/>
      <c r="CB43" s="40">
        <f t="shared" si="29"/>
        <v>3.2872271423685318</v>
      </c>
      <c r="CC43" s="94">
        <v>6.0845432642854735</v>
      </c>
      <c r="CD43" s="94">
        <v>4.4133646639922466</v>
      </c>
      <c r="CE43" s="94">
        <v>2.3234851029341566</v>
      </c>
      <c r="CF43" s="94">
        <f t="shared" si="30"/>
        <v>6.7368497669264027</v>
      </c>
      <c r="CH43" s="40">
        <f t="shared" si="31"/>
        <v>3.5081488727088939</v>
      </c>
      <c r="CI43" s="94">
        <v>13.730317697403695</v>
      </c>
      <c r="CJ43" s="94">
        <v>4.0524808534125691</v>
      </c>
      <c r="CK43" s="94">
        <v>5.6529058299467811</v>
      </c>
      <c r="CL43" s="94">
        <f t="shared" si="32"/>
        <v>9.7053866833593503</v>
      </c>
      <c r="CM43" s="107"/>
      <c r="CN43" s="40">
        <f t="shared" si="33"/>
        <v>3.8896522062592975</v>
      </c>
      <c r="CO43" s="94">
        <v>8.9687287923423913</v>
      </c>
      <c r="CP43" s="94">
        <v>0.58320877663589499</v>
      </c>
      <c r="CQ43" s="94">
        <v>4.1669891729268249</v>
      </c>
      <c r="CR43" s="94">
        <f t="shared" si="34"/>
        <v>4.75019794956272</v>
      </c>
      <c r="CS43" s="91">
        <f t="shared" si="35"/>
        <v>0</v>
      </c>
      <c r="CT43" s="40">
        <f t="shared" si="36"/>
        <v>2.9202085195014771</v>
      </c>
      <c r="CU43" s="11">
        <v>124.07514798463968</v>
      </c>
      <c r="CV43" s="94">
        <v>16.717797487471227</v>
      </c>
      <c r="CW43" s="94">
        <v>41.384225749760404</v>
      </c>
      <c r="CX43" s="94">
        <f t="shared" si="37"/>
        <v>58.102023237231634</v>
      </c>
      <c r="CY43" s="94"/>
      <c r="CZ43" s="40">
        <f t="shared" si="38"/>
        <v>2.8542214955234568</v>
      </c>
      <c r="DA43" s="94">
        <v>43.863946493605674</v>
      </c>
      <c r="DB43" s="94">
        <v>-3.7435350594220274</v>
      </c>
      <c r="DC43" s="94">
        <v>14.256496611421996</v>
      </c>
      <c r="DD43" s="94">
        <f t="shared" si="39"/>
        <v>10.512961551999968</v>
      </c>
      <c r="DF43" s="40">
        <f t="shared" si="40"/>
        <v>2.9076458934621296</v>
      </c>
      <c r="DG43" s="94">
        <v>55.575538086940398</v>
      </c>
      <c r="DH43" s="94">
        <v>16.43776504262593</v>
      </c>
      <c r="DI43" s="94">
        <v>18.446341829482595</v>
      </c>
      <c r="DJ43" s="94">
        <f t="shared" si="41"/>
        <v>34.884106872108525</v>
      </c>
      <c r="DK43" s="107"/>
      <c r="DL43" s="40">
        <f t="shared" si="42"/>
        <v>3.0647677202802814</v>
      </c>
      <c r="DM43" s="94">
        <v>24.635663404093616</v>
      </c>
      <c r="DN43" s="94">
        <v>4.0235675042673211</v>
      </c>
      <c r="DO43" s="94">
        <v>8.6813873088558129</v>
      </c>
      <c r="DP43" s="94">
        <f t="shared" si="43"/>
        <v>12.704954813123134</v>
      </c>
    </row>
    <row r="44" spans="1:120" x14ac:dyDescent="0.2">
      <c r="A44" s="91">
        <f>name!B40</f>
        <v>0</v>
      </c>
      <c r="B44" s="40">
        <f t="shared" si="1"/>
        <v>2.8357475835989687</v>
      </c>
      <c r="C44" s="11">
        <v>393.35784380285861</v>
      </c>
      <c r="D44" s="94">
        <v>-15.846501627171115</v>
      </c>
      <c r="E44" s="94">
        <v>126.91230773625192</v>
      </c>
      <c r="F44" s="94">
        <f t="shared" si="2"/>
        <v>111.0658061090808</v>
      </c>
      <c r="G44" s="94"/>
      <c r="H44" s="40">
        <f t="shared" si="3"/>
        <v>2.7516949963118487</v>
      </c>
      <c r="I44" s="94">
        <v>59.61461044933764</v>
      </c>
      <c r="J44" s="94">
        <v>-20.900434984544614</v>
      </c>
      <c r="K44" s="94">
        <v>18.591854917813837</v>
      </c>
      <c r="L44" s="94">
        <f t="shared" si="4"/>
        <v>-2.3085800667307765</v>
      </c>
      <c r="N44" s="40">
        <f t="shared" si="5"/>
        <v>2.7239499243143506</v>
      </c>
      <c r="O44" s="94">
        <v>173.18501469973404</v>
      </c>
      <c r="P44" s="94">
        <v>-1.7972543490150141</v>
      </c>
      <c r="Q44" s="94">
        <v>53.398033728841654</v>
      </c>
      <c r="R44" s="94">
        <f t="shared" si="6"/>
        <v>51.600779379826641</v>
      </c>
      <c r="S44" s="107"/>
      <c r="T44" s="40">
        <f t="shared" si="7"/>
        <v>2.9858531510617459</v>
      </c>
      <c r="U44" s="94">
        <v>160.55821865378698</v>
      </c>
      <c r="V44" s="94">
        <v>6.8511877063885063</v>
      </c>
      <c r="W44" s="94">
        <v>54.922419089596445</v>
      </c>
      <c r="X44" s="94">
        <f t="shared" si="8"/>
        <v>61.773606795984954</v>
      </c>
      <c r="Y44" s="91">
        <f t="shared" si="0"/>
        <v>0</v>
      </c>
      <c r="Z44" s="40">
        <f t="shared" si="9"/>
        <v>2.9519471351278748</v>
      </c>
      <c r="AA44" s="11">
        <v>193.55143168230654</v>
      </c>
      <c r="AB44" s="94">
        <v>39.567328495072999</v>
      </c>
      <c r="AC44" s="94">
        <v>65.354521617917186</v>
      </c>
      <c r="AD44" s="94">
        <f t="shared" si="10"/>
        <v>104.92185011299019</v>
      </c>
      <c r="AE44" s="94"/>
      <c r="AF44" s="40">
        <f t="shared" si="11"/>
        <v>2.732765888214872</v>
      </c>
      <c r="AG44" s="94">
        <v>8.9496893108903919</v>
      </c>
      <c r="AH44" s="94">
        <v>-0.38086275940552278</v>
      </c>
      <c r="AI44" s="94">
        <v>2.7695053307141997</v>
      </c>
      <c r="AJ44" s="94">
        <f t="shared" si="12"/>
        <v>2.3886425713086767</v>
      </c>
      <c r="AL44" s="40">
        <f t="shared" si="13"/>
        <v>2.7942517550996859</v>
      </c>
      <c r="AM44" s="94">
        <v>63.890128782218703</v>
      </c>
      <c r="AN44" s="94">
        <v>26.216367345241078</v>
      </c>
      <c r="AO44" s="94">
        <v>20.273036384531288</v>
      </c>
      <c r="AP44" s="94">
        <f t="shared" si="14"/>
        <v>46.489403729772363</v>
      </c>
      <c r="AQ44" s="107"/>
      <c r="AR44" s="40">
        <f t="shared" si="15"/>
        <v>3.0505088630622845</v>
      </c>
      <c r="AS44" s="94">
        <v>120.71161358919746</v>
      </c>
      <c r="AT44" s="94">
        <v>13.731823909237447</v>
      </c>
      <c r="AU44" s="94">
        <v>42.311979902671695</v>
      </c>
      <c r="AV44" s="94">
        <f t="shared" si="16"/>
        <v>56.043803811909143</v>
      </c>
      <c r="AW44" s="91">
        <f t="shared" si="17"/>
        <v>0</v>
      </c>
      <c r="AX44" s="40">
        <f t="shared" si="18"/>
        <v>2.6545992493075765</v>
      </c>
      <c r="AY44" s="11">
        <v>136.55603857187839</v>
      </c>
      <c r="AZ44" s="94">
        <v>-43.002314866399423</v>
      </c>
      <c r="BA44" s="94">
        <v>40.901735073909045</v>
      </c>
      <c r="BB44" s="94">
        <f t="shared" si="19"/>
        <v>-2.1005797924903788</v>
      </c>
      <c r="BC44" s="94"/>
      <c r="BD44" s="40">
        <f t="shared" si="20"/>
        <v>2.5646880453044751</v>
      </c>
      <c r="BE44" s="94">
        <v>18.059085654406232</v>
      </c>
      <c r="BF44" s="94">
        <v>-9.0180538971045241</v>
      </c>
      <c r="BG44" s="94">
        <v>5.2043788432435791</v>
      </c>
      <c r="BH44" s="94">
        <f t="shared" si="21"/>
        <v>-3.813675053860945</v>
      </c>
      <c r="BJ44" s="40">
        <f t="shared" si="22"/>
        <v>2.6194787613104564</v>
      </c>
      <c r="BK44" s="94">
        <v>81.562939535953078</v>
      </c>
      <c r="BL44" s="94">
        <v>-26.535125434477635</v>
      </c>
      <c r="BM44" s="94">
        <v>24.06794423722156</v>
      </c>
      <c r="BN44" s="94">
        <f t="shared" si="23"/>
        <v>-2.4671811972560747</v>
      </c>
      <c r="BO44" s="107"/>
      <c r="BP44" s="40">
        <f t="shared" si="24"/>
        <v>2.775188253093952</v>
      </c>
      <c r="BQ44" s="94">
        <v>36.93401338151908</v>
      </c>
      <c r="BR44" s="94">
        <v>-7.4491355348172679</v>
      </c>
      <c r="BS44" s="94">
        <v>11.629411993443906</v>
      </c>
      <c r="BT44" s="94">
        <f t="shared" si="25"/>
        <v>4.1802764586266381</v>
      </c>
      <c r="BU44" s="91">
        <f t="shared" si="26"/>
        <v>0</v>
      </c>
      <c r="BV44" s="40">
        <f t="shared" si="27"/>
        <v>2.8583954213786456</v>
      </c>
      <c r="BW44" s="11">
        <v>20.489593186295824</v>
      </c>
      <c r="BX44" s="94">
        <v>-3.6169124626271385</v>
      </c>
      <c r="BY44" s="94">
        <v>6.6704706699605909</v>
      </c>
      <c r="BZ44" s="94">
        <f t="shared" si="28"/>
        <v>3.0535582073334524</v>
      </c>
      <c r="CA44" s="94"/>
      <c r="CB44" s="40">
        <f t="shared" si="29"/>
        <v>2.886706102007186</v>
      </c>
      <c r="CC44" s="94">
        <v>8.3246385618980643</v>
      </c>
      <c r="CD44" s="94">
        <v>-2.3561745304099531</v>
      </c>
      <c r="CE44" s="94">
        <v>2.7405296991725199</v>
      </c>
      <c r="CF44" s="94">
        <f t="shared" si="30"/>
        <v>0.38435516876256681</v>
      </c>
      <c r="CH44" s="40">
        <f t="shared" si="31"/>
        <v>2.8369795300950962</v>
      </c>
      <c r="CI44" s="94">
        <v>10.970091359887151</v>
      </c>
      <c r="CJ44" s="94">
        <v>-1.2157453343966669</v>
      </c>
      <c r="CK44" s="94">
        <v>3.541109966200767</v>
      </c>
      <c r="CL44" s="94">
        <f t="shared" si="32"/>
        <v>2.3253646318041001</v>
      </c>
      <c r="CM44" s="107"/>
      <c r="CN44" s="40">
        <f t="shared" si="33"/>
        <v>2.8573458698798015</v>
      </c>
      <c r="CO44" s="94">
        <v>1.1948632645106076</v>
      </c>
      <c r="CP44" s="94">
        <v>-4.4992597820518516E-2</v>
      </c>
      <c r="CQ44" s="94">
        <v>0.38883100458730496</v>
      </c>
      <c r="CR44" s="94">
        <f t="shared" si="34"/>
        <v>0.34383840676678645</v>
      </c>
      <c r="CS44" s="91">
        <f t="shared" si="35"/>
        <v>0</v>
      </c>
      <c r="CT44" s="40">
        <f t="shared" si="36"/>
        <v>2.8701182898648092</v>
      </c>
      <c r="CU44" s="11">
        <v>42.760780362377908</v>
      </c>
      <c r="CV44" s="94">
        <v>-8.7946027932175515</v>
      </c>
      <c r="CW44" s="94">
        <v>13.985580374465099</v>
      </c>
      <c r="CX44" s="94">
        <f t="shared" si="37"/>
        <v>5.190977581247548</v>
      </c>
      <c r="CY44" s="94"/>
      <c r="CZ44" s="40">
        <f t="shared" si="38"/>
        <v>2.8496351806148512</v>
      </c>
      <c r="DA44" s="94">
        <v>24.281196922142954</v>
      </c>
      <c r="DB44" s="94">
        <v>-9.1453437976246104</v>
      </c>
      <c r="DC44" s="94">
        <v>7.8774410446835388</v>
      </c>
      <c r="DD44" s="94">
        <f t="shared" si="39"/>
        <v>-1.2679027529410716</v>
      </c>
      <c r="DF44" s="40">
        <f t="shared" si="40"/>
        <v>2.8857004199172476</v>
      </c>
      <c r="DG44" s="94">
        <v>16.761855021675107</v>
      </c>
      <c r="DH44" s="94">
        <v>-0.26275092538178862</v>
      </c>
      <c r="DI44" s="94">
        <v>5.5159431408880319</v>
      </c>
      <c r="DJ44" s="94">
        <f t="shared" si="41"/>
        <v>5.2531922155062434</v>
      </c>
      <c r="DK44" s="107"/>
      <c r="DL44" s="40">
        <f t="shared" si="42"/>
        <v>3.0064287710700022</v>
      </c>
      <c r="DM44" s="94">
        <v>1.7177284185598474</v>
      </c>
      <c r="DN44" s="94">
        <v>0.61349192978884681</v>
      </c>
      <c r="DO44" s="94">
        <v>0.59219618889352987</v>
      </c>
      <c r="DP44" s="94">
        <f t="shared" si="43"/>
        <v>1.2056881186823767</v>
      </c>
    </row>
    <row r="45" spans="1:120" x14ac:dyDescent="0.2">
      <c r="A45" s="91">
        <f>name!B41</f>
        <v>0</v>
      </c>
      <c r="B45" s="40">
        <f t="shared" si="1"/>
        <v>2.5589515569040877</v>
      </c>
      <c r="C45" s="11">
        <v>378.65361093918506</v>
      </c>
      <c r="D45" s="94">
        <v>36.796399092126755</v>
      </c>
      <c r="E45" s="94">
        <v>108.84998948408384</v>
      </c>
      <c r="F45" s="94">
        <f t="shared" si="2"/>
        <v>145.6463885762106</v>
      </c>
      <c r="G45" s="94"/>
      <c r="H45" s="40">
        <f t="shared" si="3"/>
        <v>2.6970336356285651</v>
      </c>
      <c r="I45" s="94">
        <v>21.232264083662649</v>
      </c>
      <c r="J45" s="94">
        <v>5.5608874318156268E-2</v>
      </c>
      <c r="K45" s="94">
        <v>6.4738297499487887</v>
      </c>
      <c r="L45" s="94">
        <f t="shared" si="4"/>
        <v>6.5294386242669447</v>
      </c>
      <c r="N45" s="40">
        <f t="shared" si="5"/>
        <v>2.6178307858164995</v>
      </c>
      <c r="O45" s="94">
        <v>54.055750144900642</v>
      </c>
      <c r="P45" s="94">
        <v>7.7932985015424325</v>
      </c>
      <c r="Q45" s="94">
        <v>15.939762430606391</v>
      </c>
      <c r="R45" s="94">
        <f t="shared" si="6"/>
        <v>23.733060932148824</v>
      </c>
      <c r="S45" s="107"/>
      <c r="T45" s="40">
        <f t="shared" si="7"/>
        <v>2.5386919147606823</v>
      </c>
      <c r="U45" s="94">
        <v>303.36559671062184</v>
      </c>
      <c r="V45" s="94">
        <v>28.947491716266153</v>
      </c>
      <c r="W45" s="94">
        <v>86.436397303528679</v>
      </c>
      <c r="X45" s="94">
        <f t="shared" si="8"/>
        <v>115.38388901979484</v>
      </c>
      <c r="Y45" s="91">
        <f t="shared" si="0"/>
        <v>0</v>
      </c>
      <c r="Z45" s="40">
        <f t="shared" si="9"/>
        <v>2.5199611178011505</v>
      </c>
      <c r="AA45" s="11">
        <v>312.18144659946984</v>
      </c>
      <c r="AB45" s="94">
        <v>28.895682554218279</v>
      </c>
      <c r="AC45" s="94">
        <v>88.21610831482117</v>
      </c>
      <c r="AD45" s="94">
        <f t="shared" si="10"/>
        <v>117.11179086903945</v>
      </c>
      <c r="AE45" s="94"/>
      <c r="AF45" s="40">
        <f t="shared" si="11"/>
        <v>2.4310222459994479</v>
      </c>
      <c r="AG45" s="94">
        <v>3.9811352808305944</v>
      </c>
      <c r="AH45" s="94">
        <v>4.5008812227039625</v>
      </c>
      <c r="AI45" s="94">
        <v>1.0808631323162383</v>
      </c>
      <c r="AJ45" s="94">
        <f t="shared" si="12"/>
        <v>5.5817443550202004</v>
      </c>
      <c r="AL45" s="40">
        <f t="shared" si="13"/>
        <v>2.4685169170641119</v>
      </c>
      <c r="AM45" s="94">
        <v>20.509890701227175</v>
      </c>
      <c r="AN45" s="94">
        <v>4.1191890490955583</v>
      </c>
      <c r="AO45" s="94">
        <v>5.6639738538481845</v>
      </c>
      <c r="AP45" s="94">
        <f t="shared" si="14"/>
        <v>9.7831629029437437</v>
      </c>
      <c r="AQ45" s="107"/>
      <c r="AR45" s="40">
        <f t="shared" si="15"/>
        <v>2.524845301627332</v>
      </c>
      <c r="AS45" s="94">
        <v>287.69042061741203</v>
      </c>
      <c r="AT45" s="94">
        <v>20.275612282418756</v>
      </c>
      <c r="AU45" s="94">
        <v>81.471271328656755</v>
      </c>
      <c r="AV45" s="94">
        <f t="shared" si="16"/>
        <v>101.7468836110755</v>
      </c>
      <c r="AW45" s="91">
        <f t="shared" si="17"/>
        <v>0</v>
      </c>
      <c r="AX45" s="40">
        <f t="shared" si="18"/>
        <v>2.6549442218402941</v>
      </c>
      <c r="AY45" s="11">
        <v>41.892929155094187</v>
      </c>
      <c r="AZ45" s="94">
        <v>9.2492751468853793</v>
      </c>
      <c r="BA45" s="94">
        <v>12.549743972538471</v>
      </c>
      <c r="BB45" s="94">
        <f t="shared" si="19"/>
        <v>21.79901911942385</v>
      </c>
      <c r="BC45" s="94"/>
      <c r="BD45" s="40">
        <f t="shared" si="20"/>
        <v>2.5532327548231981</v>
      </c>
      <c r="BE45" s="94">
        <v>6.2009149306433597</v>
      </c>
      <c r="BF45" s="94">
        <v>-0.93789945412547293</v>
      </c>
      <c r="BG45" s="94">
        <v>1.7781008484106056</v>
      </c>
      <c r="BH45" s="94">
        <f t="shared" si="21"/>
        <v>0.84020139428513263</v>
      </c>
      <c r="BJ45" s="40">
        <f t="shared" si="22"/>
        <v>2.603317774412961</v>
      </c>
      <c r="BK45" s="94">
        <v>21.307415275332314</v>
      </c>
      <c r="BL45" s="94">
        <v>2.2423318572234603</v>
      </c>
      <c r="BM45" s="94">
        <v>6.2440571353848382</v>
      </c>
      <c r="BN45" s="94">
        <f t="shared" si="23"/>
        <v>8.4863889926082976</v>
      </c>
      <c r="BO45" s="107"/>
      <c r="BP45" s="40">
        <f t="shared" si="24"/>
        <v>2.7742686070164835</v>
      </c>
      <c r="BQ45" s="94">
        <v>14.384598949118512</v>
      </c>
      <c r="BR45" s="94">
        <v>7.9448427437873912</v>
      </c>
      <c r="BS45" s="94">
        <v>4.5275859887430272</v>
      </c>
      <c r="BT45" s="94">
        <f t="shared" si="25"/>
        <v>12.472428732530418</v>
      </c>
      <c r="BU45" s="91">
        <f t="shared" si="26"/>
        <v>0</v>
      </c>
      <c r="BV45" s="40">
        <f t="shared" si="27"/>
        <v>2.6192743149682007</v>
      </c>
      <c r="BW45" s="11">
        <v>2.9857552680997586</v>
      </c>
      <c r="BX45" s="94">
        <v>0.29752966440157663</v>
      </c>
      <c r="BY45" s="94">
        <v>0.88097251477732141</v>
      </c>
      <c r="BZ45" s="94">
        <f t="shared" si="28"/>
        <v>1.1785021791788981</v>
      </c>
      <c r="CA45" s="94"/>
      <c r="CB45" s="40">
        <f t="shared" si="29"/>
        <v>2.6102783759339943</v>
      </c>
      <c r="CC45" s="94">
        <v>1.0704246420939711</v>
      </c>
      <c r="CD45" s="94">
        <v>-0.11337152429818138</v>
      </c>
      <c r="CE45" s="94">
        <v>0.31462314152439591</v>
      </c>
      <c r="CF45" s="94">
        <f t="shared" si="30"/>
        <v>0.20125161722621454</v>
      </c>
      <c r="CH45" s="40">
        <f t="shared" si="31"/>
        <v>2.6315936742941082</v>
      </c>
      <c r="CI45" s="94">
        <v>1.5955005485136557</v>
      </c>
      <c r="CJ45" s="94">
        <v>0.30848080422027463</v>
      </c>
      <c r="CK45" s="94">
        <v>0.47324789856842298</v>
      </c>
      <c r="CL45" s="94">
        <f t="shared" si="32"/>
        <v>0.78172870278869766</v>
      </c>
      <c r="CM45" s="107"/>
      <c r="CN45" s="40">
        <f t="shared" si="33"/>
        <v>2.5878378150158365</v>
      </c>
      <c r="CO45" s="94">
        <v>0.31983007749213199</v>
      </c>
      <c r="CP45" s="94">
        <v>0.10242038447948336</v>
      </c>
      <c r="CQ45" s="94">
        <v>9.3101474684502514E-2</v>
      </c>
      <c r="CR45" s="94">
        <f t="shared" si="34"/>
        <v>0.19552185916398587</v>
      </c>
      <c r="CS45" s="91">
        <f t="shared" si="35"/>
        <v>0</v>
      </c>
      <c r="CT45" s="40">
        <f t="shared" si="36"/>
        <v>2.9205088963651926</v>
      </c>
      <c r="CU45" s="11">
        <v>21.593479916521417</v>
      </c>
      <c r="CV45" s="94">
        <v>-1.6460882733784852</v>
      </c>
      <c r="CW45" s="94">
        <v>7.2031646819468875</v>
      </c>
      <c r="CX45" s="94">
        <f t="shared" si="37"/>
        <v>5.5570764085684026</v>
      </c>
      <c r="CY45" s="94"/>
      <c r="CZ45" s="40">
        <f t="shared" si="38"/>
        <v>2.8981993026460096</v>
      </c>
      <c r="DA45" s="94">
        <v>9.979789230094724</v>
      </c>
      <c r="DB45" s="94">
        <v>-3.3940013699621523</v>
      </c>
      <c r="DC45" s="94">
        <v>3.3002426276975489</v>
      </c>
      <c r="DD45" s="94">
        <f t="shared" si="39"/>
        <v>-9.3758742264603345E-2</v>
      </c>
      <c r="DF45" s="40">
        <f t="shared" si="40"/>
        <v>2.9264568687984216</v>
      </c>
      <c r="DG45" s="94">
        <v>10.642943619827502</v>
      </c>
      <c r="DH45" s="94">
        <v>1.1232967910031393</v>
      </c>
      <c r="DI45" s="94">
        <v>3.5584835428049475</v>
      </c>
      <c r="DJ45" s="94">
        <f t="shared" si="41"/>
        <v>4.6817803338080868</v>
      </c>
      <c r="DK45" s="107"/>
      <c r="DL45" s="40">
        <f t="shared" si="42"/>
        <v>3.0832482448727161</v>
      </c>
      <c r="DM45" s="94">
        <v>0.97074706659919119</v>
      </c>
      <c r="DN45" s="94">
        <v>0.62461630558052772</v>
      </c>
      <c r="DO45" s="94">
        <v>0.34443851144439169</v>
      </c>
      <c r="DP45" s="94">
        <f t="shared" si="43"/>
        <v>0.96905481702491936</v>
      </c>
    </row>
    <row r="46" spans="1:120" x14ac:dyDescent="0.2">
      <c r="A46" s="91">
        <f>name!B42</f>
        <v>0</v>
      </c>
      <c r="B46" s="40">
        <f t="shared" si="1"/>
        <v>2.890259729191258</v>
      </c>
      <c r="C46" s="11">
        <v>596.16075467408132</v>
      </c>
      <c r="D46" s="94">
        <v>130.76412576439193</v>
      </c>
      <c r="E46" s="94">
        <v>196.53406172763593</v>
      </c>
      <c r="F46" s="94">
        <f t="shared" si="2"/>
        <v>327.29818749202786</v>
      </c>
      <c r="G46" s="94"/>
      <c r="H46" s="40">
        <f t="shared" si="3"/>
        <v>2.6788795437322488</v>
      </c>
      <c r="I46" s="94">
        <v>75.585819538445264</v>
      </c>
      <c r="J46" s="94">
        <v>4.2136979795279563</v>
      </c>
      <c r="K46" s="94">
        <v>22.872299636804904</v>
      </c>
      <c r="L46" s="94">
        <f t="shared" si="4"/>
        <v>27.085997616332861</v>
      </c>
      <c r="N46" s="40">
        <f t="shared" si="5"/>
        <v>2.706098654684097</v>
      </c>
      <c r="O46" s="94">
        <v>212.25679919065291</v>
      </c>
      <c r="P46" s="94">
        <v>64.236584035540048</v>
      </c>
      <c r="Q46" s="94">
        <v>64.962803722137807</v>
      </c>
      <c r="R46" s="94">
        <f t="shared" si="6"/>
        <v>129.19938775767787</v>
      </c>
      <c r="S46" s="107"/>
      <c r="T46" s="40">
        <f t="shared" si="7"/>
        <v>3.0660135882804918</v>
      </c>
      <c r="U46" s="94">
        <v>308.31813594498311</v>
      </c>
      <c r="V46" s="94">
        <v>62.313843749323915</v>
      </c>
      <c r="W46" s="94">
        <v>108.69895836869323</v>
      </c>
      <c r="X46" s="94">
        <f t="shared" si="8"/>
        <v>171.01280211801713</v>
      </c>
      <c r="Y46" s="91">
        <f t="shared" si="0"/>
        <v>0</v>
      </c>
      <c r="Z46" s="40">
        <f t="shared" si="9"/>
        <v>3.0502708921622101</v>
      </c>
      <c r="AA46" s="11">
        <v>335.93921919202376</v>
      </c>
      <c r="AB46" s="94">
        <v>65.992763386883993</v>
      </c>
      <c r="AC46" s="94">
        <v>117.74334207940043</v>
      </c>
      <c r="AD46" s="94">
        <f t="shared" si="10"/>
        <v>183.73610546628441</v>
      </c>
      <c r="AE46" s="94"/>
      <c r="AF46" s="40">
        <f t="shared" si="11"/>
        <v>2.772118894951725</v>
      </c>
      <c r="AG46" s="94">
        <v>6.0163041652184992</v>
      </c>
      <c r="AH46" s="94">
        <v>1.3292953942067818</v>
      </c>
      <c r="AI46" s="94">
        <v>1.8919913793244785</v>
      </c>
      <c r="AJ46" s="94">
        <f t="shared" si="12"/>
        <v>3.2212867735312605</v>
      </c>
      <c r="AL46" s="40">
        <f t="shared" si="13"/>
        <v>2.8305616396997912</v>
      </c>
      <c r="AM46" s="94">
        <v>54.066211981632996</v>
      </c>
      <c r="AN46" s="94">
        <v>15.192793130377611</v>
      </c>
      <c r="AO46" s="94">
        <v>17.40777706255945</v>
      </c>
      <c r="AP46" s="94">
        <f t="shared" si="14"/>
        <v>32.600570192937063</v>
      </c>
      <c r="AQ46" s="107"/>
      <c r="AR46" s="40">
        <f t="shared" si="15"/>
        <v>3.0988119312854945</v>
      </c>
      <c r="AS46" s="94">
        <v>275.85670304517225</v>
      </c>
      <c r="AT46" s="94">
        <v>49.470674862299603</v>
      </c>
      <c r="AU46" s="94">
        <v>98.443573637516494</v>
      </c>
      <c r="AV46" s="94">
        <f t="shared" si="16"/>
        <v>147.9142484998161</v>
      </c>
      <c r="AW46" s="91">
        <f t="shared" si="17"/>
        <v>0</v>
      </c>
      <c r="AX46" s="40">
        <f t="shared" si="18"/>
        <v>2.6039196652279051</v>
      </c>
      <c r="AY46" s="11">
        <v>159.03458473919616</v>
      </c>
      <c r="AZ46" s="94">
        <v>40.296222391531657</v>
      </c>
      <c r="BA46" s="94">
        <v>46.616544654725452</v>
      </c>
      <c r="BB46" s="94">
        <f t="shared" si="19"/>
        <v>86.912767046257102</v>
      </c>
      <c r="BC46" s="94"/>
      <c r="BD46" s="40">
        <f t="shared" si="20"/>
        <v>2.5452433226490934</v>
      </c>
      <c r="BE46" s="94">
        <v>21.770784421414771</v>
      </c>
      <c r="BF46" s="94">
        <v>-0.58525794672168419</v>
      </c>
      <c r="BG46" s="94">
        <v>6.2209156872515399</v>
      </c>
      <c r="BH46" s="94">
        <f t="shared" si="21"/>
        <v>5.6356577405298554</v>
      </c>
      <c r="BJ46" s="40">
        <f t="shared" si="22"/>
        <v>2.5795517536157053</v>
      </c>
      <c r="BK46" s="94">
        <v>109.52927387637574</v>
      </c>
      <c r="BL46" s="94">
        <v>30.843442039124554</v>
      </c>
      <c r="BM46" s="94">
        <v>31.769430063648457</v>
      </c>
      <c r="BN46" s="94">
        <f t="shared" si="23"/>
        <v>62.612872102773011</v>
      </c>
      <c r="BO46" s="107"/>
      <c r="BP46" s="40">
        <f t="shared" si="24"/>
        <v>2.7451139967111571</v>
      </c>
      <c r="BQ46" s="94">
        <v>27.734526441405688</v>
      </c>
      <c r="BR46" s="94">
        <v>10.038038299128784</v>
      </c>
      <c r="BS46" s="94">
        <v>8.6261989038254558</v>
      </c>
      <c r="BT46" s="94">
        <f t="shared" si="25"/>
        <v>18.66423720295424</v>
      </c>
      <c r="BU46" s="91">
        <f t="shared" si="26"/>
        <v>0</v>
      </c>
      <c r="BV46" s="40">
        <f t="shared" si="27"/>
        <v>2.4641512026180035</v>
      </c>
      <c r="BW46" s="11">
        <v>12.81458334002725</v>
      </c>
      <c r="BX46" s="94">
        <v>4.3895704257866655</v>
      </c>
      <c r="BY46" s="94">
        <v>3.5318857518426356</v>
      </c>
      <c r="BZ46" s="94">
        <f t="shared" si="28"/>
        <v>7.9214561776293007</v>
      </c>
      <c r="CA46" s="94"/>
      <c r="CB46" s="40">
        <f t="shared" si="29"/>
        <v>2.3360812858931101</v>
      </c>
      <c r="CC46" s="94">
        <v>6.0632147564116732</v>
      </c>
      <c r="CD46" s="94">
        <v>2.5684165487773454</v>
      </c>
      <c r="CE46" s="94">
        <v>1.5749808838887966</v>
      </c>
      <c r="CF46" s="94">
        <f t="shared" si="30"/>
        <v>4.1433974326661422</v>
      </c>
      <c r="CH46" s="40">
        <f t="shared" si="31"/>
        <v>2.5656844346393592</v>
      </c>
      <c r="CI46" s="94">
        <v>5.7160556182605653</v>
      </c>
      <c r="CJ46" s="94">
        <v>1.556033629424588</v>
      </c>
      <c r="CK46" s="94">
        <v>1.6480035734914502</v>
      </c>
      <c r="CL46" s="94">
        <f t="shared" si="32"/>
        <v>3.2040372029160382</v>
      </c>
      <c r="CM46" s="107"/>
      <c r="CN46" s="40">
        <f t="shared" si="33"/>
        <v>2.645445634877297</v>
      </c>
      <c r="CO46" s="94">
        <v>1.0353129653550115</v>
      </c>
      <c r="CP46" s="94">
        <v>0.26512024758473196</v>
      </c>
      <c r="CQ46" s="94">
        <v>0.30890129446238906</v>
      </c>
      <c r="CR46" s="94">
        <f t="shared" si="34"/>
        <v>0.57402154204712108</v>
      </c>
      <c r="CS46" s="91">
        <f t="shared" si="35"/>
        <v>0</v>
      </c>
      <c r="CT46" s="40">
        <f t="shared" si="36"/>
        <v>2.8471774384655868</v>
      </c>
      <c r="CU46" s="11">
        <v>88.372367402834058</v>
      </c>
      <c r="CV46" s="94">
        <v>20.085569560189615</v>
      </c>
      <c r="CW46" s="94">
        <v>28.642289241667434</v>
      </c>
      <c r="CX46" s="94">
        <f t="shared" si="37"/>
        <v>48.727858801857053</v>
      </c>
      <c r="CY46" s="94"/>
      <c r="CZ46" s="40">
        <f t="shared" si="38"/>
        <v>2.7832667945406842</v>
      </c>
      <c r="DA46" s="94">
        <v>41.735516195400322</v>
      </c>
      <c r="DB46" s="94">
        <v>0.90124398326551358</v>
      </c>
      <c r="DC46" s="94">
        <v>13.184411686340088</v>
      </c>
      <c r="DD46" s="94">
        <f t="shared" si="39"/>
        <v>14.085655669605602</v>
      </c>
      <c r="DF46" s="40">
        <f t="shared" si="40"/>
        <v>2.8866540918025541</v>
      </c>
      <c r="DG46" s="94">
        <v>42.945257714383601</v>
      </c>
      <c r="DH46" s="94">
        <v>16.644315236613298</v>
      </c>
      <c r="DI46" s="94">
        <v>14.137593022438447</v>
      </c>
      <c r="DJ46" s="94">
        <f t="shared" si="41"/>
        <v>30.781908259051747</v>
      </c>
      <c r="DK46" s="107"/>
      <c r="DL46" s="40">
        <f t="shared" si="42"/>
        <v>3.1047472891351457</v>
      </c>
      <c r="DM46" s="94">
        <v>3.6915934930501404</v>
      </c>
      <c r="DN46" s="94">
        <v>2.5400103403108023</v>
      </c>
      <c r="DO46" s="94">
        <v>1.320284532888897</v>
      </c>
      <c r="DP46" s="94">
        <f t="shared" si="43"/>
        <v>3.8602948731996993</v>
      </c>
    </row>
    <row r="47" spans="1:120" x14ac:dyDescent="0.2">
      <c r="A47" s="91">
        <f>name!B43</f>
        <v>0</v>
      </c>
      <c r="B47" s="40">
        <f t="shared" si="1"/>
        <v>2.865344899385458</v>
      </c>
      <c r="C47" s="11">
        <v>40.376210097149027</v>
      </c>
      <c r="D47" s="94">
        <v>12.806927196821107</v>
      </c>
      <c r="E47" s="94">
        <v>13.180811533634204</v>
      </c>
      <c r="F47" s="94">
        <f t="shared" si="2"/>
        <v>25.987738730455312</v>
      </c>
      <c r="G47" s="94"/>
      <c r="H47" s="40">
        <f t="shared" si="3"/>
        <v>2.7751718770929079</v>
      </c>
      <c r="I47" s="94">
        <v>9.3187758939343261</v>
      </c>
      <c r="J47" s="94">
        <v>1.4740755938305261</v>
      </c>
      <c r="K47" s="94">
        <v>2.934183240230555</v>
      </c>
      <c r="L47" s="94">
        <f t="shared" si="4"/>
        <v>4.4082588340610815</v>
      </c>
      <c r="N47" s="40">
        <f t="shared" si="5"/>
        <v>2.8011029016640654</v>
      </c>
      <c r="O47" s="94">
        <v>15.51970188832003</v>
      </c>
      <c r="P47" s="94">
        <v>4.6916947620293463</v>
      </c>
      <c r="Q47" s="94">
        <v>4.9382011045192602</v>
      </c>
      <c r="R47" s="94">
        <f t="shared" si="6"/>
        <v>9.6298958665486065</v>
      </c>
      <c r="S47" s="107"/>
      <c r="T47" s="40">
        <f t="shared" si="7"/>
        <v>2.9825975993459597</v>
      </c>
      <c r="U47" s="94">
        <v>15.537732314894669</v>
      </c>
      <c r="V47" s="94">
        <v>6.6411568409612336</v>
      </c>
      <c r="W47" s="94">
        <v>5.3084271888843881</v>
      </c>
      <c r="X47" s="94">
        <f t="shared" si="8"/>
        <v>11.949584029845621</v>
      </c>
      <c r="Y47" s="91">
        <f t="shared" si="0"/>
        <v>0</v>
      </c>
      <c r="Z47" s="40">
        <f t="shared" si="9"/>
        <v>3.0248158548996429</v>
      </c>
      <c r="AA47" s="11">
        <v>21.444049548280258</v>
      </c>
      <c r="AB47" s="94">
        <v>6.4637391240695505</v>
      </c>
      <c r="AC47" s="94">
        <v>7.4444690278107304</v>
      </c>
      <c r="AD47" s="94">
        <f t="shared" si="10"/>
        <v>13.908208151880281</v>
      </c>
      <c r="AE47" s="94"/>
      <c r="AF47" s="40">
        <f t="shared" si="11"/>
        <v>3.0872958603731293</v>
      </c>
      <c r="AG47" s="94">
        <v>2.7651222683057175</v>
      </c>
      <c r="AH47" s="94">
        <v>0.53339249467469196</v>
      </c>
      <c r="AI47" s="94">
        <v>0.98258633136794948</v>
      </c>
      <c r="AJ47" s="94">
        <f t="shared" si="12"/>
        <v>1.5159788260426414</v>
      </c>
      <c r="AL47" s="40">
        <f t="shared" si="13"/>
        <v>2.9781314195511888</v>
      </c>
      <c r="AM47" s="94">
        <v>6.7043000761876437</v>
      </c>
      <c r="AN47" s="94">
        <v>0.72118551121563768</v>
      </c>
      <c r="AO47" s="94">
        <v>2.286607135241129</v>
      </c>
      <c r="AP47" s="94">
        <f t="shared" si="14"/>
        <v>3.0077926464567666</v>
      </c>
      <c r="AQ47" s="107"/>
      <c r="AR47" s="40">
        <f t="shared" si="15"/>
        <v>3.0364271872712179</v>
      </c>
      <c r="AS47" s="94">
        <v>11.974627203786897</v>
      </c>
      <c r="AT47" s="94">
        <v>5.209161118179221</v>
      </c>
      <c r="AU47" s="94">
        <v>4.1752755612016514</v>
      </c>
      <c r="AV47" s="94">
        <f t="shared" si="16"/>
        <v>9.3844366793808724</v>
      </c>
      <c r="AW47" s="91">
        <f t="shared" si="17"/>
        <v>0</v>
      </c>
      <c r="AX47" s="40">
        <f t="shared" si="18"/>
        <v>2.6056938584245515</v>
      </c>
      <c r="AY47" s="11">
        <v>11.013605155901349</v>
      </c>
      <c r="AZ47" s="94">
        <v>1.0299128541872438</v>
      </c>
      <c r="BA47" s="94">
        <v>3.2307934614555975</v>
      </c>
      <c r="BB47" s="94">
        <f t="shared" si="19"/>
        <v>4.2607063156428415</v>
      </c>
      <c r="BC47" s="94"/>
      <c r="BD47" s="40">
        <f t="shared" si="20"/>
        <v>2.5171144014275004</v>
      </c>
      <c r="BE47" s="94">
        <v>2.5657167308459536</v>
      </c>
      <c r="BF47" s="94">
        <v>-2.0249829680665472E-2</v>
      </c>
      <c r="BG47" s="94">
        <v>0.72410556877585575</v>
      </c>
      <c r="BH47" s="94">
        <f t="shared" si="21"/>
        <v>0.70385573909519028</v>
      </c>
      <c r="BJ47" s="40">
        <f t="shared" si="22"/>
        <v>2.564691401725705</v>
      </c>
      <c r="BK47" s="94">
        <v>5.4392446032435906</v>
      </c>
      <c r="BL47" s="94">
        <v>0.51504624411421973</v>
      </c>
      <c r="BM47" s="94">
        <v>1.5675173974350798</v>
      </c>
      <c r="BN47" s="94">
        <f t="shared" si="23"/>
        <v>2.0825636415492994</v>
      </c>
      <c r="BO47" s="107"/>
      <c r="BP47" s="40">
        <f t="shared" si="24"/>
        <v>2.7539661724697684</v>
      </c>
      <c r="BQ47" s="94">
        <v>3.0086438218118041</v>
      </c>
      <c r="BR47" s="94">
        <v>0.53511643975368939</v>
      </c>
      <c r="BS47" s="94">
        <v>0.93917049524466201</v>
      </c>
      <c r="BT47" s="94">
        <f t="shared" si="25"/>
        <v>1.4742869349983514</v>
      </c>
      <c r="BU47" s="91">
        <f t="shared" si="26"/>
        <v>0</v>
      </c>
      <c r="BV47" s="40">
        <f t="shared" si="27"/>
        <v>2.7769349895925721</v>
      </c>
      <c r="BW47" s="11">
        <v>2.8680773838859954</v>
      </c>
      <c r="BX47" s="94">
        <v>1.8124842888357913</v>
      </c>
      <c r="BY47" s="94">
        <v>0.90371244599220335</v>
      </c>
      <c r="BZ47" s="94">
        <f t="shared" si="28"/>
        <v>2.7161967348279945</v>
      </c>
      <c r="CA47" s="94"/>
      <c r="CB47" s="40">
        <f t="shared" si="29"/>
        <v>2.6526063565382341</v>
      </c>
      <c r="CC47" s="94">
        <v>1.133194068533085</v>
      </c>
      <c r="CD47" s="94">
        <v>0.1263303128615518</v>
      </c>
      <c r="CE47" s="94">
        <v>0.33913232926021469</v>
      </c>
      <c r="CF47" s="94">
        <f t="shared" si="30"/>
        <v>0.46546264212176647</v>
      </c>
      <c r="CH47" s="40">
        <f t="shared" si="31"/>
        <v>2.7982733108218305</v>
      </c>
      <c r="CI47" s="94">
        <v>1.5036570788687731</v>
      </c>
      <c r="CJ47" s="94">
        <v>1.358746094911804</v>
      </c>
      <c r="CK47" s="94">
        <v>0.47790189710881065</v>
      </c>
      <c r="CL47" s="94">
        <f t="shared" si="32"/>
        <v>1.8366479920206147</v>
      </c>
      <c r="CM47" s="107"/>
      <c r="CN47" s="40">
        <f t="shared" si="33"/>
        <v>3.2347595318199085</v>
      </c>
      <c r="CO47" s="94">
        <v>0.23122623648413734</v>
      </c>
      <c r="CP47" s="94">
        <v>0.32740788106243529</v>
      </c>
      <c r="CQ47" s="94">
        <v>8.6678219623177913E-2</v>
      </c>
      <c r="CR47" s="94">
        <f t="shared" si="34"/>
        <v>0.41408610068561319</v>
      </c>
      <c r="CS47" s="91">
        <f t="shared" si="35"/>
        <v>0</v>
      </c>
      <c r="CT47" s="40">
        <f t="shared" si="36"/>
        <v>2.7931156217943398</v>
      </c>
      <c r="CU47" s="11">
        <v>5.0504780090814236</v>
      </c>
      <c r="CV47" s="94">
        <v>3.5007909297285211</v>
      </c>
      <c r="CW47" s="94">
        <v>1.6018365983756719</v>
      </c>
      <c r="CX47" s="94">
        <f t="shared" si="37"/>
        <v>5.1026275281041933</v>
      </c>
      <c r="CY47" s="94"/>
      <c r="CZ47" s="40">
        <f t="shared" si="38"/>
        <v>2.74636478298389</v>
      </c>
      <c r="DA47" s="94">
        <v>2.8547428262495687</v>
      </c>
      <c r="DB47" s="94">
        <v>0.83460261597494789</v>
      </c>
      <c r="DC47" s="94">
        <v>0.88835901082653501</v>
      </c>
      <c r="DD47" s="94">
        <f t="shared" si="39"/>
        <v>1.7229616268014829</v>
      </c>
      <c r="DF47" s="40">
        <f t="shared" si="40"/>
        <v>2.8441917872239486</v>
      </c>
      <c r="DG47" s="94">
        <v>1.8725001300200237</v>
      </c>
      <c r="DH47" s="94">
        <v>2.0967169117876856</v>
      </c>
      <c r="DI47" s="94">
        <v>0.60617467473424025</v>
      </c>
      <c r="DJ47" s="94">
        <f t="shared" si="41"/>
        <v>2.7028915865219258</v>
      </c>
      <c r="DK47" s="107"/>
      <c r="DL47" s="40">
        <f t="shared" si="42"/>
        <v>2.9080384999745856</v>
      </c>
      <c r="DM47" s="94">
        <v>0.32323505281183162</v>
      </c>
      <c r="DN47" s="94">
        <v>0.5694714019658873</v>
      </c>
      <c r="DO47" s="94">
        <v>0.10730291281489671</v>
      </c>
      <c r="DP47" s="94">
        <f t="shared" si="43"/>
        <v>0.67677431478078398</v>
      </c>
    </row>
    <row r="48" spans="1:120" x14ac:dyDescent="0.2">
      <c r="A48" s="91">
        <f>name!B44</f>
        <v>0</v>
      </c>
      <c r="B48" s="40">
        <f t="shared" si="1"/>
        <v>2.8169915417421754</v>
      </c>
      <c r="C48" s="11">
        <v>158.75130574877755</v>
      </c>
      <c r="D48" s="94">
        <v>31.053175488358242</v>
      </c>
      <c r="E48" s="94">
        <v>50.836604439456309</v>
      </c>
      <c r="F48" s="94">
        <f t="shared" si="2"/>
        <v>81.889779927814544</v>
      </c>
      <c r="G48" s="94"/>
      <c r="H48" s="40">
        <f t="shared" si="3"/>
        <v>2.7131406842493488</v>
      </c>
      <c r="I48" s="94">
        <v>37.269430586923946</v>
      </c>
      <c r="J48" s="94">
        <v>2.0080357660646397</v>
      </c>
      <c r="K48" s="94">
        <v>11.439976930786587</v>
      </c>
      <c r="L48" s="94">
        <f t="shared" si="4"/>
        <v>13.448012696851226</v>
      </c>
      <c r="N48" s="40">
        <f t="shared" si="5"/>
        <v>2.6835187325179533</v>
      </c>
      <c r="O48" s="94">
        <v>64.168727676686729</v>
      </c>
      <c r="P48" s="94">
        <v>9.648746828409589</v>
      </c>
      <c r="Q48" s="94">
        <v>19.45525621806194</v>
      </c>
      <c r="R48" s="94">
        <f t="shared" si="6"/>
        <v>29.104003046471529</v>
      </c>
      <c r="S48" s="107"/>
      <c r="T48" s="40">
        <f t="shared" si="7"/>
        <v>3.0307741956072665</v>
      </c>
      <c r="U48" s="94">
        <v>57.313147485166859</v>
      </c>
      <c r="V48" s="94">
        <v>19.396392893884016</v>
      </c>
      <c r="W48" s="94">
        <v>19.941371290607766</v>
      </c>
      <c r="X48" s="94">
        <f t="shared" si="8"/>
        <v>39.337764184491782</v>
      </c>
      <c r="Y48" s="91">
        <f t="shared" si="0"/>
        <v>0</v>
      </c>
      <c r="Z48" s="40">
        <f t="shared" si="9"/>
        <v>3.0844034831169376</v>
      </c>
      <c r="AA48" s="11">
        <v>54.043501876163091</v>
      </c>
      <c r="AB48" s="94">
        <v>16.838248878570081</v>
      </c>
      <c r="AC48" s="94">
        <v>19.18381203425853</v>
      </c>
      <c r="AD48" s="94">
        <f t="shared" si="10"/>
        <v>36.022060912828607</v>
      </c>
      <c r="AE48" s="94"/>
      <c r="AF48" s="40">
        <f t="shared" si="11"/>
        <v>3.0687126992563263</v>
      </c>
      <c r="AG48" s="94">
        <v>2.872339077635929</v>
      </c>
      <c r="AH48" s="94">
        <v>0.88105911598627318</v>
      </c>
      <c r="AI48" s="94">
        <v>1.0136737094918047</v>
      </c>
      <c r="AJ48" s="94">
        <f t="shared" si="12"/>
        <v>1.8947328254780778</v>
      </c>
      <c r="AL48" s="40">
        <f t="shared" si="13"/>
        <v>2.9854531104971826</v>
      </c>
      <c r="AM48" s="94">
        <v>8.4616752757594771</v>
      </c>
      <c r="AN48" s="94">
        <v>0.5129240985808613</v>
      </c>
      <c r="AO48" s="94">
        <v>2.8940583365838495</v>
      </c>
      <c r="AP48" s="94">
        <f t="shared" si="14"/>
        <v>3.4069824351647107</v>
      </c>
      <c r="AQ48" s="107"/>
      <c r="AR48" s="40">
        <f t="shared" si="15"/>
        <v>3.1049593059016889</v>
      </c>
      <c r="AS48" s="94">
        <v>42.709487522767688</v>
      </c>
      <c r="AT48" s="94">
        <v>15.444265664002945</v>
      </c>
      <c r="AU48" s="94">
        <v>15.276079988182877</v>
      </c>
      <c r="AV48" s="94">
        <f t="shared" si="16"/>
        <v>30.72034565218582</v>
      </c>
      <c r="AW48" s="91">
        <f t="shared" si="17"/>
        <v>0</v>
      </c>
      <c r="AX48" s="40">
        <f t="shared" si="18"/>
        <v>2.6049805214462873</v>
      </c>
      <c r="AY48" s="11">
        <v>67.279720597550053</v>
      </c>
      <c r="AZ48" s="94">
        <v>-1.7061260839949342</v>
      </c>
      <c r="BA48" s="94">
        <v>19.73016584504331</v>
      </c>
      <c r="BB48" s="94">
        <f t="shared" si="19"/>
        <v>18.024039761048375</v>
      </c>
      <c r="BC48" s="94"/>
      <c r="BD48" s="40">
        <f t="shared" si="20"/>
        <v>2.5409532368865007</v>
      </c>
      <c r="BE48" s="94">
        <v>14.926976334729311</v>
      </c>
      <c r="BF48" s="94">
        <v>-1.3830273865244627</v>
      </c>
      <c r="BG48" s="94">
        <v>4.2572967639145958</v>
      </c>
      <c r="BH48" s="94">
        <f t="shared" si="21"/>
        <v>2.8742693773901333</v>
      </c>
      <c r="BJ48" s="40">
        <f t="shared" si="22"/>
        <v>2.5796718808031471</v>
      </c>
      <c r="BK48" s="94">
        <v>40.385319730226364</v>
      </c>
      <c r="BL48" s="94">
        <v>-0.75084702548436888</v>
      </c>
      <c r="BM48" s="94">
        <v>11.714543255967428</v>
      </c>
      <c r="BN48" s="94">
        <f t="shared" si="23"/>
        <v>10.963696230483059</v>
      </c>
      <c r="BO48" s="107"/>
      <c r="BP48" s="40">
        <f t="shared" si="24"/>
        <v>2.7687485385664345</v>
      </c>
      <c r="BQ48" s="94">
        <v>11.967424532594377</v>
      </c>
      <c r="BR48" s="94">
        <v>0.42774832801389723</v>
      </c>
      <c r="BS48" s="94">
        <v>3.7583258251612852</v>
      </c>
      <c r="BT48" s="94">
        <f t="shared" si="25"/>
        <v>4.1860741531751824</v>
      </c>
      <c r="BU48" s="91">
        <f t="shared" si="26"/>
        <v>0</v>
      </c>
      <c r="BV48" s="40">
        <f t="shared" si="27"/>
        <v>2.518201489640326</v>
      </c>
      <c r="BW48" s="11">
        <v>11.027664527945932</v>
      </c>
      <c r="BX48" s="94">
        <v>1.3879359269084375</v>
      </c>
      <c r="BY48" s="94">
        <v>3.1137656010156576</v>
      </c>
      <c r="BZ48" s="94">
        <f t="shared" si="28"/>
        <v>4.5017015279240953</v>
      </c>
      <c r="CA48" s="94"/>
      <c r="CB48" s="40">
        <f t="shared" si="29"/>
        <v>2.4600010102901804</v>
      </c>
      <c r="CC48" s="94">
        <v>4.6043551889988352</v>
      </c>
      <c r="CD48" s="94">
        <v>-9.4762721156135488E-2</v>
      </c>
      <c r="CE48" s="94">
        <v>1.2666488182504458</v>
      </c>
      <c r="CF48" s="94">
        <f t="shared" si="30"/>
        <v>1.1718860970943104</v>
      </c>
      <c r="CH48" s="40">
        <f t="shared" si="31"/>
        <v>2.5135092689739569</v>
      </c>
      <c r="CI48" s="94">
        <v>5.3897928205850842</v>
      </c>
      <c r="CJ48" s="94">
        <v>0.93986804735963958</v>
      </c>
      <c r="CK48" s="94">
        <v>1.5186963016257615</v>
      </c>
      <c r="CL48" s="94">
        <f t="shared" si="32"/>
        <v>2.458564348985401</v>
      </c>
      <c r="CM48" s="107"/>
      <c r="CN48" s="40">
        <f t="shared" si="33"/>
        <v>2.7978329732376128</v>
      </c>
      <c r="CO48" s="94">
        <v>1.0335165183620134</v>
      </c>
      <c r="CP48" s="94">
        <v>0.5428306007049335</v>
      </c>
      <c r="CQ48" s="94">
        <v>0.32842048113944977</v>
      </c>
      <c r="CR48" s="94">
        <f t="shared" si="34"/>
        <v>0.87125108184438327</v>
      </c>
      <c r="CS48" s="91">
        <f t="shared" si="35"/>
        <v>0</v>
      </c>
      <c r="CT48" s="40">
        <f t="shared" si="36"/>
        <v>2.9211505487475975</v>
      </c>
      <c r="CU48" s="11">
        <v>26.400418747118454</v>
      </c>
      <c r="CV48" s="94">
        <v>14.533116766874658</v>
      </c>
      <c r="CW48" s="94">
        <v>8.8088609591388032</v>
      </c>
      <c r="CX48" s="94">
        <f t="shared" si="37"/>
        <v>23.341977726013461</v>
      </c>
      <c r="CY48" s="94"/>
      <c r="CZ48" s="40">
        <f t="shared" si="38"/>
        <v>2.8911023071172881</v>
      </c>
      <c r="DA48" s="94">
        <v>14.865759985559873</v>
      </c>
      <c r="DB48" s="94">
        <v>2.6047667577589646</v>
      </c>
      <c r="DC48" s="94">
        <v>4.9023576391297414</v>
      </c>
      <c r="DD48" s="94">
        <f t="shared" si="39"/>
        <v>7.507124396888706</v>
      </c>
      <c r="DF48" s="40">
        <f t="shared" si="40"/>
        <v>2.9320472834624356</v>
      </c>
      <c r="DG48" s="94">
        <v>9.9319398501158016</v>
      </c>
      <c r="DH48" s="94">
        <v>8.9468017079534565</v>
      </c>
      <c r="DI48" s="94">
        <v>3.3279583238849022</v>
      </c>
      <c r="DJ48" s="94">
        <f t="shared" si="41"/>
        <v>12.274760031838358</v>
      </c>
      <c r="DK48" s="107"/>
      <c r="DL48" s="40">
        <f t="shared" si="42"/>
        <v>3.1300160142738953</v>
      </c>
      <c r="DM48" s="94">
        <v>1.6027189114427818</v>
      </c>
      <c r="DN48" s="94">
        <v>2.981548301162237</v>
      </c>
      <c r="DO48" s="94">
        <v>0.57854499612415899</v>
      </c>
      <c r="DP48" s="94">
        <f t="shared" si="43"/>
        <v>3.5600932972863961</v>
      </c>
    </row>
    <row r="49" spans="1:120" x14ac:dyDescent="0.2">
      <c r="B49" s="40"/>
      <c r="C49" s="94"/>
      <c r="D49" s="94"/>
      <c r="E49" s="94"/>
      <c r="F49" s="94"/>
      <c r="G49" s="94"/>
      <c r="H49" s="40"/>
      <c r="I49" s="94"/>
      <c r="J49" s="94"/>
      <c r="K49" s="94"/>
      <c r="L49" s="94"/>
      <c r="N49" s="40"/>
      <c r="O49" s="94"/>
      <c r="P49" s="94"/>
      <c r="Q49" s="94"/>
      <c r="R49" s="94"/>
      <c r="S49" s="107"/>
      <c r="T49" s="40"/>
      <c r="U49" s="94"/>
      <c r="V49" s="94"/>
      <c r="W49" s="94"/>
      <c r="X49" s="94"/>
      <c r="Z49" s="40"/>
      <c r="AA49" s="94"/>
      <c r="AB49" s="94"/>
      <c r="AC49" s="94"/>
      <c r="AD49" s="94"/>
      <c r="AE49" s="94"/>
      <c r="AF49" s="40"/>
      <c r="AG49" s="94"/>
      <c r="AH49" s="94"/>
      <c r="AI49" s="94"/>
      <c r="AJ49" s="94"/>
      <c r="AL49" s="40"/>
      <c r="AM49" s="94"/>
      <c r="AN49" s="94"/>
      <c r="AO49" s="94"/>
      <c r="AP49" s="94"/>
      <c r="AQ49" s="107"/>
      <c r="AR49" s="40"/>
      <c r="AS49" s="94"/>
      <c r="AT49" s="94"/>
      <c r="AU49" s="94"/>
      <c r="AV49" s="94"/>
      <c r="AX49" s="40"/>
      <c r="AY49" s="94"/>
      <c r="AZ49" s="94"/>
      <c r="BA49" s="94"/>
      <c r="BB49" s="94"/>
      <c r="BC49" s="94"/>
      <c r="BD49" s="40"/>
      <c r="BE49" s="94"/>
      <c r="BF49" s="94"/>
      <c r="BG49" s="94"/>
      <c r="BH49" s="94"/>
      <c r="BJ49" s="40"/>
      <c r="BK49" s="94"/>
      <c r="BL49" s="94"/>
      <c r="BM49" s="94"/>
      <c r="BN49" s="94"/>
      <c r="BO49" s="107"/>
      <c r="BP49" s="40"/>
      <c r="BQ49" s="94"/>
      <c r="BR49" s="94"/>
      <c r="BS49" s="94"/>
      <c r="BT49" s="94"/>
      <c r="BV49" s="40"/>
      <c r="BW49" s="94"/>
      <c r="BX49" s="94"/>
      <c r="BY49" s="94"/>
      <c r="BZ49" s="94"/>
      <c r="CA49" s="94"/>
      <c r="CB49" s="40"/>
      <c r="CC49" s="94"/>
      <c r="CD49" s="94"/>
      <c r="CE49" s="94"/>
      <c r="CF49" s="94"/>
      <c r="CH49" s="40"/>
      <c r="CI49" s="94"/>
      <c r="CJ49" s="94"/>
      <c r="CK49" s="94"/>
      <c r="CL49" s="94"/>
      <c r="CM49" s="107"/>
      <c r="CN49" s="40"/>
      <c r="CO49" s="94"/>
      <c r="CP49" s="94"/>
      <c r="CQ49" s="94"/>
      <c r="CR49" s="94"/>
      <c r="CT49" s="40"/>
      <c r="CU49" s="94"/>
      <c r="CV49" s="94"/>
      <c r="CW49" s="94"/>
      <c r="CX49" s="94"/>
      <c r="CY49" s="94"/>
      <c r="CZ49" s="40"/>
      <c r="DA49" s="94"/>
      <c r="DB49" s="94"/>
      <c r="DC49" s="94"/>
      <c r="DD49" s="94"/>
      <c r="DF49" s="40"/>
      <c r="DG49" s="94"/>
      <c r="DH49" s="94"/>
      <c r="DI49" s="94"/>
      <c r="DJ49" s="94"/>
      <c r="DK49" s="107"/>
      <c r="DL49" s="40"/>
      <c r="DM49" s="94"/>
      <c r="DN49" s="94"/>
      <c r="DO49" s="94"/>
      <c r="DP49" s="94"/>
    </row>
    <row r="50" spans="1:120" x14ac:dyDescent="0.2">
      <c r="A50" s="92" t="str">
        <f>name!B3</f>
        <v>All industries</v>
      </c>
      <c r="B50" s="43">
        <f t="shared" si="1"/>
        <v>2.7912372459239387</v>
      </c>
      <c r="C50" s="93">
        <v>4561.2992279926211</v>
      </c>
      <c r="D50" s="93">
        <v>431.97496524334053</v>
      </c>
      <c r="E50" s="93">
        <v>1445.5882710202891</v>
      </c>
      <c r="F50" s="93">
        <f t="shared" si="2"/>
        <v>1877.5632362636297</v>
      </c>
      <c r="G50" s="93"/>
      <c r="H50" s="43">
        <f t="shared" si="3"/>
        <v>2.6517730789267446</v>
      </c>
      <c r="I50" s="93">
        <v>774.77767553257945</v>
      </c>
      <c r="J50" s="93">
        <v>-90.9176985646708</v>
      </c>
      <c r="K50" s="93">
        <v>231.78692033646578</v>
      </c>
      <c r="L50" s="93">
        <f>SUM(J50:K50)</f>
        <v>140.86922177179497</v>
      </c>
      <c r="M50" s="92"/>
      <c r="N50" s="43">
        <f t="shared" si="5"/>
        <v>2.6893242464146816</v>
      </c>
      <c r="O50" s="93">
        <v>1810.6123702397726</v>
      </c>
      <c r="P50" s="93">
        <v>208.84741372398935</v>
      </c>
      <c r="Q50" s="93">
        <v>550.29225403969679</v>
      </c>
      <c r="R50" s="93">
        <f>SUM(P50:Q50)</f>
        <v>759.13966776368613</v>
      </c>
      <c r="S50" s="108"/>
      <c r="T50" s="43">
        <f t="shared" si="7"/>
        <v>2.9376202991175049</v>
      </c>
      <c r="U50" s="93">
        <v>1975.9091822202711</v>
      </c>
      <c r="V50" s="93">
        <v>314.04525008402186</v>
      </c>
      <c r="W50" s="93">
        <v>663.50909664412427</v>
      </c>
      <c r="X50" s="93">
        <f>SUM(V50:W50)</f>
        <v>977.55434672814613</v>
      </c>
      <c r="Y50" s="92" t="str">
        <f>A50</f>
        <v>All industries</v>
      </c>
      <c r="Z50" s="43">
        <f>IF(AA50&gt;0,((1+(AC50/AA50))^(1/($A$101-$A$100))-1)*100,0)</f>
        <v>2.9771972098236787</v>
      </c>
      <c r="AA50" s="93">
        <v>2141.7348734083043</v>
      </c>
      <c r="AB50" s="93">
        <v>328.18012130131888</v>
      </c>
      <c r="AC50" s="93">
        <v>730.21185757939747</v>
      </c>
      <c r="AD50" s="93">
        <f>SUM(AB50:AC50)</f>
        <v>1058.3919788807164</v>
      </c>
      <c r="AE50" s="93"/>
      <c r="AF50" s="43">
        <f>IF(AG50&gt;0,((1+(AI50/AG50))^(1/($A$101-$A$100))-1)*100,0)</f>
        <v>3.0280155732974823</v>
      </c>
      <c r="AG50" s="93">
        <v>114.36183531349347</v>
      </c>
      <c r="AH50" s="93">
        <v>10.806009020856356</v>
      </c>
      <c r="AI50" s="93">
        <v>39.749458273691218</v>
      </c>
      <c r="AJ50" s="93">
        <f>SUM(AH50:AI50)</f>
        <v>50.555467294547576</v>
      </c>
      <c r="AK50" s="92"/>
      <c r="AL50" s="43">
        <f>IF(AM50&gt;0,((1+(AO50/AM50))^(1/($A$101-$A$100))-1)*100,0)</f>
        <v>2.9663353480916088</v>
      </c>
      <c r="AM50" s="93">
        <v>484.03376220781502</v>
      </c>
      <c r="AN50" s="93">
        <v>80.752171418150368</v>
      </c>
      <c r="AO50" s="93">
        <v>164.34415782441963</v>
      </c>
      <c r="AP50" s="93">
        <f>SUM(AN50:AO50)</f>
        <v>245.09632924256999</v>
      </c>
      <c r="AQ50" s="108"/>
      <c r="AR50" s="43">
        <f>IF(AS50&gt;0,((1+(AU50/AS50))^(1/($A$101-$A$100))-1)*100,0)</f>
        <v>2.9768281396108875</v>
      </c>
      <c r="AS50" s="93">
        <v>1543.3392758869961</v>
      </c>
      <c r="AT50" s="93">
        <v>236.62194086231219</v>
      </c>
      <c r="AU50" s="93">
        <v>526.11824148128676</v>
      </c>
      <c r="AV50" s="93">
        <f>SUM(AT50:AU50)</f>
        <v>762.74018234359892</v>
      </c>
      <c r="AW50" s="92" t="str">
        <f>Y50</f>
        <v>All industries</v>
      </c>
      <c r="AX50" s="43">
        <f>IF(AY50&gt;0,((1+(BA50/AY50))^(1/($A$101-$A$100))-1)*100,0)</f>
        <v>2.5960689907792656</v>
      </c>
      <c r="AY50" s="93">
        <v>1169.4910110900296</v>
      </c>
      <c r="AZ50" s="93">
        <v>61.012733866251224</v>
      </c>
      <c r="BA50" s="93">
        <v>341.64688672572964</v>
      </c>
      <c r="BB50" s="93">
        <f>SUM(AZ50:BA50)</f>
        <v>402.65962059198085</v>
      </c>
      <c r="BC50" s="93"/>
      <c r="BD50" s="43">
        <f>IF(BE50&gt;0,((1+(BG50/BE50))^(1/($A$101-$A$100))-1)*100,0)</f>
        <v>2.5108134589674425</v>
      </c>
      <c r="BE50" s="93">
        <v>196.77997170605971</v>
      </c>
      <c r="BF50" s="93">
        <v>-19.19988351079143</v>
      </c>
      <c r="BG50" s="93">
        <v>55.380896948664599</v>
      </c>
      <c r="BH50" s="93">
        <f>SUM(BF50:BG50)</f>
        <v>36.181013437873169</v>
      </c>
      <c r="BI50" s="92"/>
      <c r="BJ50" s="43">
        <f>IF(BK50&gt;0,((1+(BM50/BK50))^(1/($A$101-$A$100))-1)*100,0)</f>
        <v>2.5531077119064882</v>
      </c>
      <c r="BK50" s="93">
        <v>650.12175377402275</v>
      </c>
      <c r="BL50" s="93">
        <v>42.192712487148434</v>
      </c>
      <c r="BM50" s="93">
        <v>186.41100647521165</v>
      </c>
      <c r="BN50" s="93">
        <f>SUM(BL50:BM50)</f>
        <v>228.60371896236009</v>
      </c>
      <c r="BO50" s="108"/>
      <c r="BP50" s="43">
        <f>IF(BQ50&gt;0,((1+(BS50/BQ50))^(1/($A$101-$A$100))-1)*100,0)</f>
        <v>2.7334678665663192</v>
      </c>
      <c r="BQ50" s="93">
        <v>322.58928560994713</v>
      </c>
      <c r="BR50" s="93">
        <v>38.019904889894228</v>
      </c>
      <c r="BS50" s="93">
        <v>99.854983301853494</v>
      </c>
      <c r="BT50" s="93">
        <f>SUM(BR50:BS50)</f>
        <v>137.87488819174771</v>
      </c>
      <c r="BU50" s="92" t="str">
        <f>AW50</f>
        <v>All industries</v>
      </c>
      <c r="BV50" s="43">
        <f>IF(BW50&gt;0,((1+(BY50/BW50))^(1/($A$101-$A$100))-1)*100,0)</f>
        <v>2.5889208699682698</v>
      </c>
      <c r="BW50" s="93">
        <v>786.26148565798121</v>
      </c>
      <c r="BX50" s="93">
        <v>-16.768227409449015</v>
      </c>
      <c r="BY50" s="93">
        <v>228.98528730973825</v>
      </c>
      <c r="BZ50" s="93">
        <f>SUM(BX50:BY50)</f>
        <v>212.21705990028923</v>
      </c>
      <c r="CA50" s="93"/>
      <c r="CB50" s="43">
        <f>IF(CC50&gt;0,((1+(CE50/CC50))^(1/($A$101-$A$100))-1)*100,0)</f>
        <v>2.5278948366694864</v>
      </c>
      <c r="CC50" s="93">
        <v>257.91842111045776</v>
      </c>
      <c r="CD50" s="93">
        <v>-52.179148361626908</v>
      </c>
      <c r="CE50" s="93">
        <v>73.138570554183204</v>
      </c>
      <c r="CF50" s="93">
        <f>SUM(CD50:CE50)</f>
        <v>20.959422192556296</v>
      </c>
      <c r="CG50" s="92"/>
      <c r="CH50" s="43">
        <f>IF(CI50&gt;0,((1+(CK50/CI50))^(1/($A$101-$A$100))-1)*100,0)</f>
        <v>2.5655949055339189</v>
      </c>
      <c r="CI50" s="93">
        <v>462.50112579230256</v>
      </c>
      <c r="CJ50" s="93">
        <v>18.263082416840735</v>
      </c>
      <c r="CK50" s="93">
        <v>133.33911166207648</v>
      </c>
      <c r="CL50" s="93">
        <f>SUM(CJ50:CK50)</f>
        <v>151.60219407891722</v>
      </c>
      <c r="CM50" s="108"/>
      <c r="CN50" s="43">
        <f>IF(CO50&gt;0,((1+(CQ50/CO50))^(1/($A$101-$A$100))-1)*100,0)</f>
        <v>2.9840981402702971</v>
      </c>
      <c r="CO50" s="93">
        <v>65.841938755220539</v>
      </c>
      <c r="CP50" s="93">
        <v>17.147838535337179</v>
      </c>
      <c r="CQ50" s="93">
        <v>22.507605093478684</v>
      </c>
      <c r="CR50" s="93">
        <f>SUM(CP50:CQ50)</f>
        <v>39.65544362881586</v>
      </c>
      <c r="CS50" s="92" t="str">
        <f>BU50</f>
        <v>All industries</v>
      </c>
      <c r="CT50" s="43">
        <f>IF(CU50&gt;0,((1+(CW50/CU50))^(1/($A$101-$A$100))-1)*100,0)</f>
        <v>2.7533233225370157</v>
      </c>
      <c r="CU50" s="93">
        <v>463.81185783630696</v>
      </c>
      <c r="CV50" s="93">
        <v>59.550337485219423</v>
      </c>
      <c r="CW50" s="93">
        <v>144.74423940542175</v>
      </c>
      <c r="CX50" s="93">
        <f>SUM(CV50:CW50)</f>
        <v>204.29457689064117</v>
      </c>
      <c r="CY50" s="93"/>
      <c r="CZ50" s="43">
        <f>IF(DA50&gt;0,((1+(DC50/DA50))^(1/($A$101-$A$100))-1)*100,0)</f>
        <v>2.7273559755584653</v>
      </c>
      <c r="DA50" s="93">
        <v>205.71744740256855</v>
      </c>
      <c r="DB50" s="93">
        <v>-30.344675713108767</v>
      </c>
      <c r="DC50" s="93">
        <v>63.517994559926827</v>
      </c>
      <c r="DD50" s="93">
        <f>SUM(DB50:DC50)</f>
        <v>33.173318846818063</v>
      </c>
      <c r="DE50" s="92"/>
      <c r="DF50" s="43">
        <f>IF(DG50&gt;0,((1+(DI50/DG50))^(1/($A$101-$A$100))-1)*100,0)</f>
        <v>2.7323553670193235</v>
      </c>
      <c r="DG50" s="93">
        <v>213.95572846563186</v>
      </c>
      <c r="DH50" s="93">
        <v>67.639447401849822</v>
      </c>
      <c r="DI50" s="93">
        <v>66.197978077989319</v>
      </c>
      <c r="DJ50" s="93">
        <f>SUM(DH50:DI50)</f>
        <v>133.83742547983914</v>
      </c>
      <c r="DK50" s="108"/>
      <c r="DL50" s="43">
        <f>IF(DM50&gt;0,((1+(DO50/DM50))^(1/($A$101-$A$100))-1)*100,0)</f>
        <v>2.9736201868302725</v>
      </c>
      <c r="DM50" s="93">
        <v>44.13868196810671</v>
      </c>
      <c r="DN50" s="93">
        <v>22.25556579647839</v>
      </c>
      <c r="DO50" s="93">
        <v>15.028266767505601</v>
      </c>
      <c r="DP50" s="93">
        <f>SUM(DN50:DO50)</f>
        <v>37.283832563983992</v>
      </c>
    </row>
    <row r="51" spans="1:120" x14ac:dyDescent="0.2">
      <c r="B51" s="94"/>
      <c r="C51" s="94"/>
      <c r="D51" s="94"/>
      <c r="E51" s="94"/>
      <c r="F51" s="94"/>
      <c r="G51" s="94"/>
      <c r="Z51" s="94"/>
      <c r="AA51" s="94"/>
      <c r="AB51" s="94"/>
      <c r="AC51" s="94"/>
      <c r="AD51" s="94"/>
      <c r="AE51" s="94"/>
      <c r="AX51" s="94"/>
      <c r="AY51" s="94"/>
      <c r="AZ51" s="94"/>
      <c r="BA51" s="94"/>
      <c r="BB51" s="94"/>
      <c r="BC51" s="94"/>
      <c r="BV51" s="94"/>
      <c r="BW51" s="94"/>
      <c r="BX51" s="94"/>
      <c r="BY51" s="94"/>
      <c r="BZ51" s="94"/>
      <c r="CA51" s="94"/>
      <c r="CT51" s="94"/>
      <c r="CU51" s="94"/>
      <c r="CV51" s="94"/>
      <c r="CW51" s="94"/>
      <c r="CX51" s="94"/>
      <c r="CY51" s="94"/>
    </row>
    <row r="52" spans="1:120" x14ac:dyDescent="0.2">
      <c r="A52" s="91" t="str">
        <f ca="1">CELL("filename")</f>
        <v>M:\IE\Projects\Nuffield via NFER AI and automation\Data\Results\Workbooks\LEPs\M3_LEP\[M3_LEP_MainTables.Main.xlsm]Manager</v>
      </c>
      <c r="B52" s="94"/>
      <c r="C52" s="94"/>
      <c r="D52" s="94"/>
      <c r="E52" s="94"/>
      <c r="F52" s="94"/>
      <c r="G52" s="94"/>
      <c r="Y52" s="91" t="str">
        <f ca="1">CELL("filename")</f>
        <v>M:\IE\Projects\Nuffield via NFER AI and automation\Data\Results\Workbooks\LEPs\M3_LEP\[M3_LEP_MainTables.Main.xlsm]Manager</v>
      </c>
      <c r="Z52" s="94"/>
      <c r="AA52" s="94"/>
      <c r="AB52" s="94"/>
      <c r="AC52" s="94"/>
      <c r="AD52" s="94"/>
      <c r="AE52" s="94"/>
      <c r="AW52" s="91" t="str">
        <f ca="1">CELL("filename")</f>
        <v>M:\IE\Projects\Nuffield via NFER AI and automation\Data\Results\Workbooks\LEPs\M3_LEP\[M3_LEP_MainTables.Main.xlsm]Manager</v>
      </c>
      <c r="AX52" s="94"/>
      <c r="AY52" s="94"/>
      <c r="AZ52" s="94"/>
      <c r="BA52" s="94"/>
      <c r="BB52" s="94"/>
      <c r="BC52" s="94"/>
      <c r="BU52" s="91" t="str">
        <f ca="1">CELL("filename")</f>
        <v>M:\IE\Projects\Nuffield via NFER AI and automation\Data\Results\Workbooks\LEPs\M3_LEP\[M3_LEP_MainTables.Main.xlsm]Manager</v>
      </c>
      <c r="BV52" s="94"/>
      <c r="BW52" s="94"/>
      <c r="BX52" s="94"/>
      <c r="BY52" s="94"/>
      <c r="BZ52" s="94"/>
      <c r="CA52" s="94"/>
      <c r="CS52" s="91" t="str">
        <f ca="1">CELL("filename")</f>
        <v>M:\IE\Projects\Nuffield via NFER AI and automation\Data\Results\Workbooks\LEPs\M3_LEP\[M3_LEP_MainTables.Main.xlsm]Manager</v>
      </c>
      <c r="CT52" s="94"/>
      <c r="CU52" s="94"/>
      <c r="CV52" s="94"/>
      <c r="CW52" s="94"/>
      <c r="CX52" s="94"/>
      <c r="CY52" s="94"/>
    </row>
    <row r="53" spans="1:120" ht="15.75" x14ac:dyDescent="0.25">
      <c r="A53" s="19" t="str">
        <f>CONCATENATE("Basic Table 5  Replacement Demand, ",A100,"-",A101,", by Industry Group and Qualification for ",name!$H$3)</f>
        <v>Basic Table 5  Replacement Demand, 2015-2025, by Industry Group and Qualification for M</v>
      </c>
      <c r="Y53" s="19" t="str">
        <f>CONCATENATE("Basic Table 5  Replacement Demand, ",A100,"-",A101,", by Industry Group and Qualification for ",name!$H$4)</f>
        <v>Basic Table 5  Replacement Demand, 2015-2025, by Industry Group and Qualification for F</v>
      </c>
      <c r="AW53" s="19" t="str">
        <f>CONCATENATE("Basic Table 5  Replacement Demand, ",A100,"-",A101,", by Industry Group and Qualification for ",name!$H$5)</f>
        <v xml:space="preserve">Basic Table 5  Replacement Demand, 2015-2025, by Industry Group and Qualification for </v>
      </c>
      <c r="BU53" s="19" t="str">
        <f>CONCATENATE("Basic Table 5  Replacement Demand, ",A100,"-",A101,", by Industry Group and Qualification for ",name!$H$6)</f>
        <v xml:space="preserve">Basic Table 5  Replacement Demand, 2015-2025, by Industry Group and Qualification for </v>
      </c>
      <c r="CS53" s="19" t="str">
        <f>CONCATENATE("Basic Table 5  Replacement Demand, ",A100,"-",A101,", by Industry Group and Qualification for ",name!$H$7)</f>
        <v xml:space="preserve">Basic Table 5  Replacement Demand, 2015-2025, by Industry Group and Qualification for </v>
      </c>
    </row>
    <row r="55" spans="1:120" x14ac:dyDescent="0.2">
      <c r="A55" s="92"/>
      <c r="B55" s="92"/>
      <c r="C55" s="92"/>
      <c r="D55" s="92"/>
      <c r="E55" s="92"/>
      <c r="F55" s="92"/>
      <c r="G55" s="92"/>
      <c r="H55" s="92"/>
      <c r="I55" s="92"/>
      <c r="J55" s="92"/>
      <c r="K55" s="92"/>
      <c r="L55" s="92"/>
      <c r="M55" s="92"/>
      <c r="N55" s="92"/>
      <c r="O55" s="92"/>
      <c r="P55" s="92"/>
      <c r="Q55" s="92"/>
      <c r="R55" s="92"/>
      <c r="S55" s="92"/>
      <c r="T55" s="92"/>
      <c r="U55" s="92"/>
      <c r="V55" s="92"/>
      <c r="W55" s="92"/>
      <c r="X55" s="116" t="str">
        <f>$X$3</f>
        <v>thousands</v>
      </c>
      <c r="Y55" s="92"/>
      <c r="Z55" s="92"/>
      <c r="AA55" s="92"/>
      <c r="AB55" s="92"/>
      <c r="AC55" s="92"/>
      <c r="AD55" s="92"/>
      <c r="AE55" s="92"/>
      <c r="AF55" s="92"/>
      <c r="AG55" s="92"/>
      <c r="AH55" s="92"/>
      <c r="AI55" s="92"/>
      <c r="AJ55" s="92"/>
      <c r="AK55" s="92"/>
      <c r="AL55" s="92"/>
      <c r="AM55" s="92"/>
      <c r="AN55" s="92"/>
      <c r="AO55" s="92"/>
      <c r="AP55" s="92"/>
      <c r="AQ55" s="92"/>
      <c r="AR55" s="92"/>
      <c r="AS55" s="92"/>
      <c r="AT55" s="92"/>
      <c r="AU55" s="92"/>
      <c r="AV55" s="116" t="str">
        <f>$X$3</f>
        <v>thousands</v>
      </c>
      <c r="AW55" s="92"/>
      <c r="AX55" s="92"/>
      <c r="AY55" s="92"/>
      <c r="AZ55" s="92"/>
      <c r="BA55" s="92"/>
      <c r="BB55" s="92"/>
      <c r="BC55" s="92"/>
      <c r="BD55" s="92"/>
      <c r="BE55" s="92"/>
      <c r="BF55" s="92"/>
      <c r="BG55" s="92"/>
      <c r="BH55" s="92"/>
      <c r="BI55" s="92"/>
      <c r="BJ55" s="92"/>
      <c r="BK55" s="92"/>
      <c r="BL55" s="92"/>
      <c r="BM55" s="92"/>
      <c r="BN55" s="92"/>
      <c r="BO55" s="92"/>
      <c r="BP55" s="92"/>
      <c r="BQ55" s="92"/>
      <c r="BR55" s="92"/>
      <c r="BS55" s="92"/>
      <c r="BT55" s="116" t="str">
        <f>$X$3</f>
        <v>thousands</v>
      </c>
      <c r="BU55" s="92"/>
      <c r="BV55" s="92"/>
      <c r="BW55" s="92"/>
      <c r="BX55" s="92"/>
      <c r="BY55" s="92"/>
      <c r="BZ55" s="92"/>
      <c r="CA55" s="92"/>
      <c r="CB55" s="92"/>
      <c r="CC55" s="92"/>
      <c r="CD55" s="92"/>
      <c r="CE55" s="92"/>
      <c r="CF55" s="92"/>
      <c r="CG55" s="92"/>
      <c r="CH55" s="92"/>
      <c r="CI55" s="92"/>
      <c r="CJ55" s="92"/>
      <c r="CK55" s="92"/>
      <c r="CL55" s="92"/>
      <c r="CM55" s="92"/>
      <c r="CN55" s="92"/>
      <c r="CO55" s="92"/>
      <c r="CP55" s="92"/>
      <c r="CQ55" s="92"/>
      <c r="CR55" s="116" t="str">
        <f>$X$3</f>
        <v>thousands</v>
      </c>
      <c r="CS55" s="92"/>
      <c r="CT55" s="92"/>
      <c r="CU55" s="92"/>
      <c r="CV55" s="92"/>
      <c r="CW55" s="92"/>
      <c r="CX55" s="92"/>
      <c r="CY55" s="92"/>
      <c r="CZ55" s="92"/>
      <c r="DA55" s="92"/>
      <c r="DB55" s="92"/>
      <c r="DC55" s="92"/>
      <c r="DD55" s="92"/>
      <c r="DE55" s="92"/>
      <c r="DF55" s="92"/>
      <c r="DG55" s="92"/>
      <c r="DH55" s="92"/>
      <c r="DI55" s="92"/>
      <c r="DJ55" s="92"/>
      <c r="DK55" s="92"/>
      <c r="DL55" s="92"/>
      <c r="DM55" s="92"/>
      <c r="DN55" s="92"/>
      <c r="DO55" s="92"/>
      <c r="DP55" s="116" t="str">
        <f>$X$3</f>
        <v>thousands</v>
      </c>
    </row>
    <row r="56" spans="1:120" x14ac:dyDescent="0.2">
      <c r="B56" s="385" t="str">
        <f>B4</f>
        <v>All qualifications</v>
      </c>
      <c r="C56" s="385"/>
      <c r="D56" s="385"/>
      <c r="E56" s="385"/>
      <c r="F56" s="385"/>
      <c r="G56" s="114"/>
      <c r="H56" s="385" t="str">
        <f>H4</f>
        <v>RQF8 Doctorate</v>
      </c>
      <c r="I56" s="385"/>
      <c r="J56" s="385"/>
      <c r="K56" s="385"/>
      <c r="L56" s="385"/>
      <c r="M56" s="114"/>
      <c r="N56" s="384" t="str">
        <f>N4</f>
        <v>RQF7 Other higher degree</v>
      </c>
      <c r="O56" s="384"/>
      <c r="P56" s="384"/>
      <c r="Q56" s="384"/>
      <c r="R56" s="384"/>
      <c r="S56" s="111"/>
      <c r="T56" s="384" t="str">
        <f>T4</f>
        <v>RQF6 First degree</v>
      </c>
      <c r="U56" s="384"/>
      <c r="V56" s="384"/>
      <c r="W56" s="384"/>
      <c r="X56" s="384"/>
      <c r="Z56" s="385" t="str">
        <f>Z4</f>
        <v>All qualifications</v>
      </c>
      <c r="AA56" s="385"/>
      <c r="AB56" s="385"/>
      <c r="AC56" s="385"/>
      <c r="AD56" s="385"/>
      <c r="AE56" s="114"/>
      <c r="AF56" s="385" t="str">
        <f>AF4</f>
        <v>RQF8 Doctorate</v>
      </c>
      <c r="AG56" s="385"/>
      <c r="AH56" s="385"/>
      <c r="AI56" s="385"/>
      <c r="AJ56" s="385"/>
      <c r="AK56" s="114"/>
      <c r="AL56" s="384" t="str">
        <f>AL4</f>
        <v>RQF7 Other higher degree</v>
      </c>
      <c r="AM56" s="384"/>
      <c r="AN56" s="384"/>
      <c r="AO56" s="384"/>
      <c r="AP56" s="384"/>
      <c r="AQ56" s="111"/>
      <c r="AR56" s="384" t="str">
        <f>AR4</f>
        <v>RQF6 First degree</v>
      </c>
      <c r="AS56" s="384"/>
      <c r="AT56" s="384"/>
      <c r="AU56" s="384"/>
      <c r="AV56" s="384"/>
      <c r="AX56" s="385" t="str">
        <f>AX4</f>
        <v>All qualifications</v>
      </c>
      <c r="AY56" s="385"/>
      <c r="AZ56" s="385"/>
      <c r="BA56" s="385"/>
      <c r="BB56" s="385"/>
      <c r="BC56" s="114"/>
      <c r="BD56" s="385" t="str">
        <f>BD4</f>
        <v>RQF8 Doctorate</v>
      </c>
      <c r="BE56" s="385"/>
      <c r="BF56" s="385"/>
      <c r="BG56" s="385"/>
      <c r="BH56" s="385"/>
      <c r="BI56" s="114"/>
      <c r="BJ56" s="384" t="str">
        <f>BJ4</f>
        <v>RQF7 Other higher degree</v>
      </c>
      <c r="BK56" s="384"/>
      <c r="BL56" s="384"/>
      <c r="BM56" s="384"/>
      <c r="BN56" s="384"/>
      <c r="BO56" s="111"/>
      <c r="BP56" s="384" t="str">
        <f>BP4</f>
        <v>RQF6 First degree</v>
      </c>
      <c r="BQ56" s="384"/>
      <c r="BR56" s="384"/>
      <c r="BS56" s="384"/>
      <c r="BT56" s="384"/>
      <c r="BV56" s="385" t="str">
        <f>BV4</f>
        <v>All qualifications</v>
      </c>
      <c r="BW56" s="385"/>
      <c r="BX56" s="385"/>
      <c r="BY56" s="385"/>
      <c r="BZ56" s="385"/>
      <c r="CA56" s="114"/>
      <c r="CB56" s="385" t="str">
        <f>CB4</f>
        <v>RQF8 Doctorate</v>
      </c>
      <c r="CC56" s="385"/>
      <c r="CD56" s="385"/>
      <c r="CE56" s="385"/>
      <c r="CF56" s="385"/>
      <c r="CG56" s="114"/>
      <c r="CH56" s="384" t="str">
        <f>CH4</f>
        <v>RQF7 Other higher degree</v>
      </c>
      <c r="CI56" s="384"/>
      <c r="CJ56" s="384"/>
      <c r="CK56" s="384"/>
      <c r="CL56" s="384"/>
      <c r="CM56" s="111"/>
      <c r="CN56" s="384" t="str">
        <f>CN4</f>
        <v>RQF6 First degree</v>
      </c>
      <c r="CO56" s="384"/>
      <c r="CP56" s="384"/>
      <c r="CQ56" s="384"/>
      <c r="CR56" s="384"/>
      <c r="CT56" s="385" t="str">
        <f>CT4</f>
        <v>All qualifications</v>
      </c>
      <c r="CU56" s="385"/>
      <c r="CV56" s="385"/>
      <c r="CW56" s="385"/>
      <c r="CX56" s="385"/>
      <c r="CY56" s="114"/>
      <c r="CZ56" s="385" t="str">
        <f>CZ4</f>
        <v>RQF8 Doctorate</v>
      </c>
      <c r="DA56" s="385"/>
      <c r="DB56" s="385"/>
      <c r="DC56" s="385"/>
      <c r="DD56" s="385"/>
      <c r="DE56" s="114"/>
      <c r="DF56" s="384" t="str">
        <f>DF4</f>
        <v>RQF7 Other higher degree</v>
      </c>
      <c r="DG56" s="384"/>
      <c r="DH56" s="384"/>
      <c r="DI56" s="384"/>
      <c r="DJ56" s="384"/>
      <c r="DK56" s="111"/>
      <c r="DL56" s="384" t="str">
        <f>DL4</f>
        <v>RQF6 First degree</v>
      </c>
      <c r="DM56" s="384"/>
      <c r="DN56" s="384"/>
      <c r="DO56" s="384"/>
      <c r="DP56" s="384"/>
    </row>
    <row r="58" spans="1:120" ht="38.25" x14ac:dyDescent="0.2">
      <c r="A58" s="113"/>
      <c r="B58" s="110" t="str">
        <f>B6</f>
        <v>RD p.a%</v>
      </c>
      <c r="C58" s="110" t="str">
        <f>C6</f>
        <v>2015 Level</v>
      </c>
      <c r="D58" s="110" t="str">
        <f>D6</f>
        <v>Net Change</v>
      </c>
      <c r="E58" s="110" t="str">
        <f>E6</f>
        <v>Replace-ment Demand</v>
      </c>
      <c r="F58" s="110" t="str">
        <f>F6</f>
        <v>Total Require-ment</v>
      </c>
      <c r="G58" s="109"/>
      <c r="H58" s="105" t="str">
        <f>B58</f>
        <v>RD p.a%</v>
      </c>
      <c r="I58" s="105" t="str">
        <f>C58</f>
        <v>2015 Level</v>
      </c>
      <c r="J58" s="105" t="str">
        <f>D58</f>
        <v>Net Change</v>
      </c>
      <c r="K58" s="105" t="str">
        <f>E58</f>
        <v>Replace-ment Demand</v>
      </c>
      <c r="L58" s="105" t="str">
        <f>F58</f>
        <v>Total Require-ment</v>
      </c>
      <c r="M58" s="104"/>
      <c r="N58" s="106" t="str">
        <f>H58</f>
        <v>RD p.a%</v>
      </c>
      <c r="O58" s="106" t="str">
        <f>I58</f>
        <v>2015 Level</v>
      </c>
      <c r="P58" s="106" t="str">
        <f>J58</f>
        <v>Net Change</v>
      </c>
      <c r="Q58" s="106" t="str">
        <f>K58</f>
        <v>Replace-ment Demand</v>
      </c>
      <c r="R58" s="106" t="str">
        <f>L58</f>
        <v>Total Require-ment</v>
      </c>
      <c r="S58" s="104"/>
      <c r="T58" s="106" t="str">
        <f>N58</f>
        <v>RD p.a%</v>
      </c>
      <c r="U58" s="106" t="str">
        <f>O58</f>
        <v>2015 Level</v>
      </c>
      <c r="V58" s="106" t="str">
        <f>P58</f>
        <v>Net Change</v>
      </c>
      <c r="W58" s="106" t="str">
        <f>Q58</f>
        <v>Replace-ment Demand</v>
      </c>
      <c r="X58" s="106" t="str">
        <f>R58</f>
        <v>Total Require-ment</v>
      </c>
      <c r="Y58" s="113"/>
      <c r="Z58" s="110" t="str">
        <f>Z6</f>
        <v>RD p.a%</v>
      </c>
      <c r="AA58" s="110" t="str">
        <f>AA6</f>
        <v>2015 Level</v>
      </c>
      <c r="AB58" s="110" t="str">
        <f>AB6</f>
        <v>Net Change</v>
      </c>
      <c r="AC58" s="110" t="str">
        <f>AC6</f>
        <v>Replace-ment Demand</v>
      </c>
      <c r="AD58" s="110" t="str">
        <f>AD6</f>
        <v>Total Require-ment</v>
      </c>
      <c r="AE58" s="109"/>
      <c r="AF58" s="105" t="str">
        <f>Z58</f>
        <v>RD p.a%</v>
      </c>
      <c r="AG58" s="105" t="str">
        <f>AA58</f>
        <v>2015 Level</v>
      </c>
      <c r="AH58" s="105" t="str">
        <f>AB58</f>
        <v>Net Change</v>
      </c>
      <c r="AI58" s="105" t="str">
        <f>AC58</f>
        <v>Replace-ment Demand</v>
      </c>
      <c r="AJ58" s="105" t="str">
        <f>AD58</f>
        <v>Total Require-ment</v>
      </c>
      <c r="AK58" s="104"/>
      <c r="AL58" s="106" t="str">
        <f>AF58</f>
        <v>RD p.a%</v>
      </c>
      <c r="AM58" s="106" t="str">
        <f>AG58</f>
        <v>2015 Level</v>
      </c>
      <c r="AN58" s="106" t="str">
        <f>AH58</f>
        <v>Net Change</v>
      </c>
      <c r="AO58" s="106" t="str">
        <f>AI58</f>
        <v>Replace-ment Demand</v>
      </c>
      <c r="AP58" s="106" t="str">
        <f>AJ58</f>
        <v>Total Require-ment</v>
      </c>
      <c r="AQ58" s="104"/>
      <c r="AR58" s="106" t="str">
        <f>AL58</f>
        <v>RD p.a%</v>
      </c>
      <c r="AS58" s="106" t="str">
        <f>AM58</f>
        <v>2015 Level</v>
      </c>
      <c r="AT58" s="106" t="str">
        <f>AN58</f>
        <v>Net Change</v>
      </c>
      <c r="AU58" s="106" t="str">
        <f>AO58</f>
        <v>Replace-ment Demand</v>
      </c>
      <c r="AV58" s="106" t="str">
        <f>AP58</f>
        <v>Total Require-ment</v>
      </c>
      <c r="AW58" s="113"/>
      <c r="AX58" s="110" t="str">
        <f>AX6</f>
        <v>RD p.a%</v>
      </c>
      <c r="AY58" s="110" t="str">
        <f>AY6</f>
        <v>2015 Level</v>
      </c>
      <c r="AZ58" s="110" t="str">
        <f>AZ6</f>
        <v>Net Change</v>
      </c>
      <c r="BA58" s="110" t="str">
        <f>BA6</f>
        <v>Replace-ment Demand</v>
      </c>
      <c r="BB58" s="110" t="str">
        <f>BB6</f>
        <v>Total Require-ment</v>
      </c>
      <c r="BC58" s="109"/>
      <c r="BD58" s="105" t="str">
        <f>AX58</f>
        <v>RD p.a%</v>
      </c>
      <c r="BE58" s="105" t="str">
        <f>AY58</f>
        <v>2015 Level</v>
      </c>
      <c r="BF58" s="105" t="str">
        <f>AZ58</f>
        <v>Net Change</v>
      </c>
      <c r="BG58" s="105" t="str">
        <f>BA58</f>
        <v>Replace-ment Demand</v>
      </c>
      <c r="BH58" s="105" t="str">
        <f>BB58</f>
        <v>Total Require-ment</v>
      </c>
      <c r="BI58" s="104"/>
      <c r="BJ58" s="106" t="str">
        <f>BD58</f>
        <v>RD p.a%</v>
      </c>
      <c r="BK58" s="106" t="str">
        <f>BE58</f>
        <v>2015 Level</v>
      </c>
      <c r="BL58" s="106" t="str">
        <f>BF58</f>
        <v>Net Change</v>
      </c>
      <c r="BM58" s="106" t="str">
        <f>BG58</f>
        <v>Replace-ment Demand</v>
      </c>
      <c r="BN58" s="106" t="str">
        <f>BH58</f>
        <v>Total Require-ment</v>
      </c>
      <c r="BO58" s="104"/>
      <c r="BP58" s="106" t="str">
        <f>BJ58</f>
        <v>RD p.a%</v>
      </c>
      <c r="BQ58" s="106" t="str">
        <f>BK58</f>
        <v>2015 Level</v>
      </c>
      <c r="BR58" s="106" t="str">
        <f>BL58</f>
        <v>Net Change</v>
      </c>
      <c r="BS58" s="106" t="str">
        <f>BM58</f>
        <v>Replace-ment Demand</v>
      </c>
      <c r="BT58" s="106" t="str">
        <f>BN58</f>
        <v>Total Require-ment</v>
      </c>
      <c r="BU58" s="113"/>
      <c r="BV58" s="110" t="str">
        <f>BV6</f>
        <v>RD p.a%</v>
      </c>
      <c r="BW58" s="110" t="str">
        <f>BW6</f>
        <v>2015 Level</v>
      </c>
      <c r="BX58" s="110" t="str">
        <f>BX6</f>
        <v>Net Change</v>
      </c>
      <c r="BY58" s="110" t="str">
        <f>BY6</f>
        <v>Replace-ment Demand</v>
      </c>
      <c r="BZ58" s="110" t="str">
        <f>BZ6</f>
        <v>Total Require-ment</v>
      </c>
      <c r="CA58" s="109"/>
      <c r="CB58" s="105" t="str">
        <f>BV58</f>
        <v>RD p.a%</v>
      </c>
      <c r="CC58" s="105" t="str">
        <f>BW58</f>
        <v>2015 Level</v>
      </c>
      <c r="CD58" s="105" t="str">
        <f>BX58</f>
        <v>Net Change</v>
      </c>
      <c r="CE58" s="105" t="str">
        <f>BY58</f>
        <v>Replace-ment Demand</v>
      </c>
      <c r="CF58" s="105" t="str">
        <f>BZ58</f>
        <v>Total Require-ment</v>
      </c>
      <c r="CG58" s="104"/>
      <c r="CH58" s="106" t="str">
        <f>CB58</f>
        <v>RD p.a%</v>
      </c>
      <c r="CI58" s="106" t="str">
        <f>CC58</f>
        <v>2015 Level</v>
      </c>
      <c r="CJ58" s="106" t="str">
        <f>CD58</f>
        <v>Net Change</v>
      </c>
      <c r="CK58" s="106" t="str">
        <f>CE58</f>
        <v>Replace-ment Demand</v>
      </c>
      <c r="CL58" s="106" t="str">
        <f>CF58</f>
        <v>Total Require-ment</v>
      </c>
      <c r="CM58" s="104"/>
      <c r="CN58" s="106" t="str">
        <f>CH58</f>
        <v>RD p.a%</v>
      </c>
      <c r="CO58" s="106" t="str">
        <f>CI58</f>
        <v>2015 Level</v>
      </c>
      <c r="CP58" s="106" t="str">
        <f>CJ58</f>
        <v>Net Change</v>
      </c>
      <c r="CQ58" s="106" t="str">
        <f>CK58</f>
        <v>Replace-ment Demand</v>
      </c>
      <c r="CR58" s="106" t="str">
        <f>CL58</f>
        <v>Total Require-ment</v>
      </c>
      <c r="CS58" s="113"/>
      <c r="CT58" s="110" t="str">
        <f>CT6</f>
        <v>RD p.a%</v>
      </c>
      <c r="CU58" s="110" t="str">
        <f>CU6</f>
        <v>2015 Level</v>
      </c>
      <c r="CV58" s="110" t="str">
        <f>CV6</f>
        <v>Net Change</v>
      </c>
      <c r="CW58" s="110" t="str">
        <f>CW6</f>
        <v>Replace-ment Demand</v>
      </c>
      <c r="CX58" s="110" t="str">
        <f>CX6</f>
        <v>Total Require-ment</v>
      </c>
      <c r="CY58" s="109"/>
      <c r="CZ58" s="105" t="str">
        <f>CT58</f>
        <v>RD p.a%</v>
      </c>
      <c r="DA58" s="105" t="str">
        <f>CU58</f>
        <v>2015 Level</v>
      </c>
      <c r="DB58" s="105" t="str">
        <f>CV58</f>
        <v>Net Change</v>
      </c>
      <c r="DC58" s="105" t="str">
        <f>CW58</f>
        <v>Replace-ment Demand</v>
      </c>
      <c r="DD58" s="105" t="str">
        <f>CX58</f>
        <v>Total Require-ment</v>
      </c>
      <c r="DE58" s="104"/>
      <c r="DF58" s="106" t="str">
        <f>CZ58</f>
        <v>RD p.a%</v>
      </c>
      <c r="DG58" s="106" t="str">
        <f>DA58</f>
        <v>2015 Level</v>
      </c>
      <c r="DH58" s="106" t="str">
        <f>DB58</f>
        <v>Net Change</v>
      </c>
      <c r="DI58" s="106" t="str">
        <f>DC58</f>
        <v>Replace-ment Demand</v>
      </c>
      <c r="DJ58" s="106" t="str">
        <f>DD58</f>
        <v>Total Require-ment</v>
      </c>
      <c r="DK58" s="104"/>
      <c r="DL58" s="106" t="str">
        <f>DF58</f>
        <v>RD p.a%</v>
      </c>
      <c r="DM58" s="106" t="str">
        <f>DG58</f>
        <v>2015 Level</v>
      </c>
      <c r="DN58" s="106" t="str">
        <f>DH58</f>
        <v>Net Change</v>
      </c>
      <c r="DO58" s="106" t="str">
        <f>DI58</f>
        <v>Replace-ment Demand</v>
      </c>
      <c r="DP58" s="106" t="str">
        <f>DJ58</f>
        <v>Total Require-ment</v>
      </c>
    </row>
    <row r="60" spans="1:120" x14ac:dyDescent="0.2">
      <c r="A60" s="91" t="e">
        <f>name!#REF!</f>
        <v>#REF!</v>
      </c>
      <c r="B60" s="40" t="e">
        <f t="shared" ref="B60:B77" si="44">IF(C60&gt;0,((1+(E60/C60))^(1/($A$101-$A$100))-1)*100,0)</f>
        <v>#VALUE!</v>
      </c>
      <c r="C60" s="94" t="e">
        <f t="array" ref="C60:C75">MMULT(aggregation!$B$3:$W$8,C8:C48)</f>
        <v>#VALUE!</v>
      </c>
      <c r="D60" s="94" t="e">
        <f t="array" ref="D60:D75">MMULT(aggregation!$B$3:$W$8,D8:D48)</f>
        <v>#VALUE!</v>
      </c>
      <c r="E60" s="94" t="e">
        <f t="array" ref="E60:E75">MMULT(aggregation!$B$3:$W$8,E8:E48)</f>
        <v>#VALUE!</v>
      </c>
      <c r="F60" s="94" t="e">
        <f t="array" ref="F60:F75">MMULT(aggregation!$B$3:$W$8,F8:F48)</f>
        <v>#VALUE!</v>
      </c>
      <c r="H60" s="40" t="e">
        <f t="shared" ref="H60:H77" si="45">IF(I60&gt;0,((1+(K60/I60))^(1/($A$101-$A$100))-1)*100,0)</f>
        <v>#VALUE!</v>
      </c>
      <c r="I60" s="94" t="e">
        <f t="array" ref="I60:I75">MMULT(aggregation!$B$3:$W$8,I8:I48)</f>
        <v>#VALUE!</v>
      </c>
      <c r="J60" s="94" t="e">
        <f t="array" ref="J60:J75">MMULT(aggregation!$B$3:$W$8,J8:J48)</f>
        <v>#VALUE!</v>
      </c>
      <c r="K60" s="94" t="e">
        <f t="array" ref="K60:K75">MMULT(aggregation!$B$3:$W$8,K8:K48)</f>
        <v>#VALUE!</v>
      </c>
      <c r="L60" s="94" t="e">
        <f t="array" ref="L60:L75">MMULT(aggregation!$B$3:$W$8,L8:L48)</f>
        <v>#VALUE!</v>
      </c>
      <c r="N60" s="40" t="e">
        <f t="shared" ref="N60:N77" si="46">IF(O60&gt;0,((1+(Q60/O60))^(1/($A$101-$A$100))-1)*100,0)</f>
        <v>#VALUE!</v>
      </c>
      <c r="O60" s="94" t="e">
        <f t="array" ref="O60:O75">MMULT(aggregation!$B$3:$W$8,O8:O48)</f>
        <v>#VALUE!</v>
      </c>
      <c r="P60" s="94" t="e">
        <f t="array" ref="P60:P75">MMULT(aggregation!$B$3:$W$8,P8:P48)</f>
        <v>#VALUE!</v>
      </c>
      <c r="Q60" s="94" t="e">
        <f t="array" ref="Q60:Q75">MMULT(aggregation!$B$3:$W$8,Q8:Q48)</f>
        <v>#VALUE!</v>
      </c>
      <c r="R60" s="94" t="e">
        <f t="array" ref="R60:R75">MMULT(aggregation!$B$3:$W$8,R8:R48)</f>
        <v>#VALUE!</v>
      </c>
      <c r="S60" s="94"/>
      <c r="T60" s="40" t="e">
        <f t="shared" ref="T60:T77" si="47">IF(U60&gt;0,((1+(W60/U60))^(1/($A$101-$A$100))-1)*100,0)</f>
        <v>#VALUE!</v>
      </c>
      <c r="U60" s="94" t="e">
        <f t="array" ref="U60:U75">MMULT(aggregation!$B$3:$W$8,U8:U48)</f>
        <v>#VALUE!</v>
      </c>
      <c r="V60" s="94" t="e">
        <f t="array" ref="V60:V75">MMULT(aggregation!$B$3:$W$8,V8:V48)</f>
        <v>#VALUE!</v>
      </c>
      <c r="W60" s="94" t="e">
        <f t="array" ref="W60:W75">MMULT(aggregation!$B$3:$W$8,W8:W48)</f>
        <v>#VALUE!</v>
      </c>
      <c r="X60" s="94" t="e">
        <f t="array" ref="X60:X75">MMULT(aggregation!$B$3:$W$8,X8:X48)</f>
        <v>#VALUE!</v>
      </c>
      <c r="Y60" s="91" t="e">
        <f>A60</f>
        <v>#REF!</v>
      </c>
      <c r="Z60" s="40" t="e">
        <f t="shared" ref="Z60:Z75" si="48">IF(AA60&gt;0,((1+(AC60/AA60))^(1/($A$101-$A$100))-1)*100,0)</f>
        <v>#VALUE!</v>
      </c>
      <c r="AA60" s="94" t="e">
        <f t="array" ref="AA60:AA75">MMULT(aggregation!$B$3:$W$8,AA8:AA48)</f>
        <v>#VALUE!</v>
      </c>
      <c r="AB60" s="94" t="e">
        <f t="array" ref="AB60:AB75">MMULT(aggregation!$B$3:$W$8,AB8:AB48)</f>
        <v>#VALUE!</v>
      </c>
      <c r="AC60" s="94" t="e">
        <f t="array" ref="AC60:AC75">MMULT(aggregation!$B$3:$W$8,AC8:AC48)</f>
        <v>#VALUE!</v>
      </c>
      <c r="AD60" s="94" t="e">
        <f t="array" ref="AD60:AD75">MMULT(aggregation!$B$3:$W$8,AD8:AD48)</f>
        <v>#VALUE!</v>
      </c>
      <c r="AF60" s="40" t="e">
        <f t="shared" ref="AF60:AF75" si="49">IF(AG60&gt;0,((1+(AI60/AG60))^(1/($A$101-$A$100))-1)*100,0)</f>
        <v>#VALUE!</v>
      </c>
      <c r="AG60" s="94" t="e">
        <f t="array" ref="AG60:AG75">MMULT(aggregation!$B$3:$W$8,AG8:AG48)</f>
        <v>#VALUE!</v>
      </c>
      <c r="AH60" s="94" t="e">
        <f t="array" ref="AH60:AH75">MMULT(aggregation!$B$3:$W$8,AH8:AH48)</f>
        <v>#VALUE!</v>
      </c>
      <c r="AI60" s="94" t="e">
        <f t="array" ref="AI60:AI75">MMULT(aggregation!$B$3:$W$8,AI8:AI48)</f>
        <v>#VALUE!</v>
      </c>
      <c r="AJ60" s="94" t="e">
        <f t="array" ref="AJ60:AJ75">MMULT(aggregation!$B$3:$W$8,AJ8:AJ48)</f>
        <v>#VALUE!</v>
      </c>
      <c r="AL60" s="40" t="e">
        <f t="shared" ref="AL60:AL75" si="50">IF(AM60&gt;0,((1+(AO60/AM60))^(1/($A$101-$A$100))-1)*100,0)</f>
        <v>#VALUE!</v>
      </c>
      <c r="AM60" s="94" t="e">
        <f t="array" ref="AM60:AM75">MMULT(aggregation!$B$3:$W$8,AM8:AM48)</f>
        <v>#VALUE!</v>
      </c>
      <c r="AN60" s="94" t="e">
        <f t="array" ref="AN60:AN75">MMULT(aggregation!$B$3:$W$8,AN8:AN48)</f>
        <v>#VALUE!</v>
      </c>
      <c r="AO60" s="94" t="e">
        <f t="array" ref="AO60:AO75">MMULT(aggregation!$B$3:$W$8,AO8:AO48)</f>
        <v>#VALUE!</v>
      </c>
      <c r="AP60" s="94" t="e">
        <f t="array" ref="AP60:AP75">MMULT(aggregation!$B$3:$W$8,AP8:AP48)</f>
        <v>#VALUE!</v>
      </c>
      <c r="AQ60" s="94"/>
      <c r="AR60" s="40" t="e">
        <f t="shared" ref="AR60:AR75" si="51">IF(AS60&gt;0,((1+(AU60/AS60))^(1/($A$101-$A$100))-1)*100,0)</f>
        <v>#VALUE!</v>
      </c>
      <c r="AS60" s="94" t="e">
        <f t="array" ref="AS60:AS75">MMULT(aggregation!$B$3:$W$8,AS8:AS48)</f>
        <v>#VALUE!</v>
      </c>
      <c r="AT60" s="94" t="e">
        <f t="array" ref="AT60:AT75">MMULT(aggregation!$B$3:$W$8,AT8:AT48)</f>
        <v>#VALUE!</v>
      </c>
      <c r="AU60" s="94" t="e">
        <f t="array" ref="AU60:AU75">MMULT(aggregation!$B$3:$W$8,AU8:AU48)</f>
        <v>#VALUE!</v>
      </c>
      <c r="AV60" s="94" t="e">
        <f t="array" ref="AV60:AV75">MMULT(aggregation!$B$3:$W$8,AV8:AV48)</f>
        <v>#VALUE!</v>
      </c>
      <c r="AW60" s="91" t="e">
        <f>Y60</f>
        <v>#REF!</v>
      </c>
      <c r="AX60" s="40" t="e">
        <f t="shared" ref="AX60:AX75" si="52">IF(AY60&gt;0,((1+(BA60/AY60))^(1/($A$101-$A$100))-1)*100,0)</f>
        <v>#VALUE!</v>
      </c>
      <c r="AY60" s="94" t="e">
        <f t="array" ref="AY60:AY75">MMULT(aggregation!$B$3:$W$8,AY8:AY48)</f>
        <v>#VALUE!</v>
      </c>
      <c r="AZ60" s="94" t="e">
        <f t="array" ref="AZ60:AZ75">MMULT(aggregation!$B$3:$W$8,AZ8:AZ48)</f>
        <v>#VALUE!</v>
      </c>
      <c r="BA60" s="94" t="e">
        <f t="array" ref="BA60:BA75">MMULT(aggregation!$B$3:$W$8,BA8:BA48)</f>
        <v>#VALUE!</v>
      </c>
      <c r="BB60" s="94" t="e">
        <f t="array" ref="BB60:BB75">MMULT(aggregation!$B$3:$W$8,BB8:BB48)</f>
        <v>#VALUE!</v>
      </c>
      <c r="BD60" s="40" t="e">
        <f t="shared" ref="BD60:BD75" si="53">IF(BE60&gt;0,((1+(BG60/BE60))^(1/($A$101-$A$100))-1)*100,0)</f>
        <v>#VALUE!</v>
      </c>
      <c r="BE60" s="94" t="e">
        <f t="array" ref="BE60:BE75">MMULT(aggregation!$B$3:$W$8,BE8:BE48)</f>
        <v>#VALUE!</v>
      </c>
      <c r="BF60" s="94" t="e">
        <f t="array" ref="BF60:BF75">MMULT(aggregation!$B$3:$W$8,BF8:BF48)</f>
        <v>#VALUE!</v>
      </c>
      <c r="BG60" s="94" t="e">
        <f t="array" ref="BG60:BG75">MMULT(aggregation!$B$3:$W$8,BG8:BG48)</f>
        <v>#VALUE!</v>
      </c>
      <c r="BH60" s="94" t="e">
        <f t="array" ref="BH60:BH75">MMULT(aggregation!$B$3:$W$8,BH8:BH48)</f>
        <v>#VALUE!</v>
      </c>
      <c r="BJ60" s="40" t="e">
        <f t="shared" ref="BJ60:BJ75" si="54">IF(BK60&gt;0,((1+(BM60/BK60))^(1/($A$101-$A$100))-1)*100,0)</f>
        <v>#VALUE!</v>
      </c>
      <c r="BK60" s="94" t="e">
        <f t="array" ref="BK60:BK75">MMULT(aggregation!$B$3:$W$8,BK8:BK48)</f>
        <v>#VALUE!</v>
      </c>
      <c r="BL60" s="94" t="e">
        <f t="array" ref="BL60:BL75">MMULT(aggregation!$B$3:$W$8,BL8:BL48)</f>
        <v>#VALUE!</v>
      </c>
      <c r="BM60" s="94" t="e">
        <f t="array" ref="BM60:BM75">MMULT(aggregation!$B$3:$W$8,BM8:BM48)</f>
        <v>#VALUE!</v>
      </c>
      <c r="BN60" s="94" t="e">
        <f t="array" ref="BN60:BN75">MMULT(aggregation!$B$3:$W$8,BN8:BN48)</f>
        <v>#VALUE!</v>
      </c>
      <c r="BO60" s="94"/>
      <c r="BP60" s="40" t="e">
        <f t="shared" ref="BP60:BP75" si="55">IF(BQ60&gt;0,((1+(BS60/BQ60))^(1/($A$101-$A$100))-1)*100,0)</f>
        <v>#VALUE!</v>
      </c>
      <c r="BQ60" s="94" t="e">
        <f t="array" ref="BQ60:BQ75">MMULT(aggregation!$B$3:$W$8,BQ8:BQ48)</f>
        <v>#VALUE!</v>
      </c>
      <c r="BR60" s="94" t="e">
        <f t="array" ref="BR60:BR75">MMULT(aggregation!$B$3:$W$8,BR8:BR48)</f>
        <v>#VALUE!</v>
      </c>
      <c r="BS60" s="94" t="e">
        <f t="array" ref="BS60:BS75">MMULT(aggregation!$B$3:$W$8,BS8:BS48)</f>
        <v>#VALUE!</v>
      </c>
      <c r="BT60" s="94" t="e">
        <f t="array" ref="BT60:BT75">MMULT(aggregation!$B$3:$W$8,BT8:BT48)</f>
        <v>#VALUE!</v>
      </c>
      <c r="BU60" s="91" t="e">
        <f>AW60</f>
        <v>#REF!</v>
      </c>
      <c r="BV60" s="40" t="e">
        <f t="shared" ref="BV60:BV75" si="56">IF(BW60&gt;0,((1+(BY60/BW60))^(1/($A$101-$A$100))-1)*100,0)</f>
        <v>#VALUE!</v>
      </c>
      <c r="BW60" s="94" t="e">
        <f t="array" ref="BW60:BW75">MMULT(aggregation!$B$3:$W$8,BW8:BW48)</f>
        <v>#VALUE!</v>
      </c>
      <c r="BX60" s="94" t="e">
        <f t="array" ref="BX60:BX75">MMULT(aggregation!$B$3:$W$8,BX8:BX48)</f>
        <v>#VALUE!</v>
      </c>
      <c r="BY60" s="94" t="e">
        <f t="array" ref="BY60:BY75">MMULT(aggregation!$B$3:$W$8,BY8:BY48)</f>
        <v>#VALUE!</v>
      </c>
      <c r="BZ60" s="94" t="e">
        <f t="array" ref="BZ60:BZ75">MMULT(aggregation!$B$3:$W$8,BZ8:BZ48)</f>
        <v>#VALUE!</v>
      </c>
      <c r="CB60" s="40" t="e">
        <f t="shared" ref="CB60:CB75" si="57">IF(CC60&gt;0,((1+(CE60/CC60))^(1/($A$101-$A$100))-1)*100,0)</f>
        <v>#VALUE!</v>
      </c>
      <c r="CC60" s="94" t="e">
        <f t="array" ref="CC60:CC75">MMULT(aggregation!$B$3:$W$8,CC8:CC48)</f>
        <v>#VALUE!</v>
      </c>
      <c r="CD60" s="94" t="e">
        <f t="array" ref="CD60:CD75">MMULT(aggregation!$B$3:$W$8,CD8:CD48)</f>
        <v>#VALUE!</v>
      </c>
      <c r="CE60" s="94" t="e">
        <f t="array" ref="CE60:CE75">MMULT(aggregation!$B$3:$W$8,CE8:CE48)</f>
        <v>#VALUE!</v>
      </c>
      <c r="CF60" s="94" t="e">
        <f t="array" ref="CF60:CF75">MMULT(aggregation!$B$3:$W$8,CF8:CF48)</f>
        <v>#VALUE!</v>
      </c>
      <c r="CH60" s="40" t="e">
        <f t="shared" ref="CH60:CH75" si="58">IF(CI60&gt;0,((1+(CK60/CI60))^(1/($A$101-$A$100))-1)*100,0)</f>
        <v>#VALUE!</v>
      </c>
      <c r="CI60" s="94" t="e">
        <f t="array" ref="CI60:CI75">MMULT(aggregation!$B$3:$W$8,CI8:CI48)</f>
        <v>#VALUE!</v>
      </c>
      <c r="CJ60" s="94" t="e">
        <f t="array" ref="CJ60:CJ75">MMULT(aggregation!$B$3:$W$8,CJ8:CJ48)</f>
        <v>#VALUE!</v>
      </c>
      <c r="CK60" s="94" t="e">
        <f t="array" ref="CK60:CK75">MMULT(aggregation!$B$3:$W$8,CK8:CK48)</f>
        <v>#VALUE!</v>
      </c>
      <c r="CL60" s="94" t="e">
        <f t="array" ref="CL60:CL75">MMULT(aggregation!$B$3:$W$8,CL8:CL48)</f>
        <v>#VALUE!</v>
      </c>
      <c r="CM60" s="94"/>
      <c r="CN60" s="40" t="e">
        <f t="shared" ref="CN60:CN75" si="59">IF(CO60&gt;0,((1+(CQ60/CO60))^(1/($A$101-$A$100))-1)*100,0)</f>
        <v>#VALUE!</v>
      </c>
      <c r="CO60" s="94" t="e">
        <f t="array" ref="CO60:CO75">MMULT(aggregation!$B$3:$W$8,CO8:CO48)</f>
        <v>#VALUE!</v>
      </c>
      <c r="CP60" s="94" t="e">
        <f t="array" ref="CP60:CP75">MMULT(aggregation!$B$3:$W$8,CP8:CP48)</f>
        <v>#VALUE!</v>
      </c>
      <c r="CQ60" s="94" t="e">
        <f t="array" ref="CQ60:CQ75">MMULT(aggregation!$B$3:$W$8,CQ8:CQ48)</f>
        <v>#VALUE!</v>
      </c>
      <c r="CR60" s="94" t="e">
        <f t="array" ref="CR60:CR75">MMULT(aggregation!$B$3:$W$8,CR8:CR48)</f>
        <v>#VALUE!</v>
      </c>
      <c r="CS60" s="91" t="e">
        <f>BU60</f>
        <v>#REF!</v>
      </c>
      <c r="CT60" s="40" t="e">
        <f t="shared" ref="CT60:CT75" si="60">IF(CU60&gt;0,((1+(CW60/CU60))^(1/($A$101-$A$100))-1)*100,0)</f>
        <v>#VALUE!</v>
      </c>
      <c r="CU60" s="94" t="e">
        <f t="array" ref="CU60:CU75">MMULT(aggregation!$B$3:$W$8,CU8:CU48)</f>
        <v>#VALUE!</v>
      </c>
      <c r="CV60" s="94" t="e">
        <f t="array" ref="CV60:CV75">MMULT(aggregation!$B$3:$W$8,CV8:CV48)</f>
        <v>#VALUE!</v>
      </c>
      <c r="CW60" s="94" t="e">
        <f t="array" ref="CW60:CW75">MMULT(aggregation!$B$3:$W$8,CW8:CW48)</f>
        <v>#VALUE!</v>
      </c>
      <c r="CX60" s="94" t="e">
        <f t="array" ref="CX60:CX75">MMULT(aggregation!$B$3:$W$8,CX8:CX48)</f>
        <v>#VALUE!</v>
      </c>
      <c r="CZ60" s="40" t="e">
        <f t="shared" ref="CZ60:CZ75" si="61">IF(DA60&gt;0,((1+(DC60/DA60))^(1/($A$101-$A$100))-1)*100,0)</f>
        <v>#VALUE!</v>
      </c>
      <c r="DA60" s="94" t="e">
        <f t="array" ref="DA60:DA75">MMULT(aggregation!$B$3:$W$8,DA8:DA48)</f>
        <v>#VALUE!</v>
      </c>
      <c r="DB60" s="94" t="e">
        <f t="array" ref="DB60:DB75">MMULT(aggregation!$B$3:$W$8,DB8:DB48)</f>
        <v>#VALUE!</v>
      </c>
      <c r="DC60" s="94" t="e">
        <f t="array" ref="DC60:DC75">MMULT(aggregation!$B$3:$W$8,DC8:DC48)</f>
        <v>#VALUE!</v>
      </c>
      <c r="DD60" s="94" t="e">
        <f t="array" ref="DD60:DD75">MMULT(aggregation!$B$3:$W$8,DD8:DD48)</f>
        <v>#VALUE!</v>
      </c>
      <c r="DF60" s="40" t="e">
        <f t="shared" ref="DF60:DF75" si="62">IF(DG60&gt;0,((1+(DI60/DG60))^(1/($A$101-$A$100))-1)*100,0)</f>
        <v>#VALUE!</v>
      </c>
      <c r="DG60" s="94" t="e">
        <f t="array" ref="DG60:DG75">MMULT(aggregation!$B$3:$W$8,DG8:DG48)</f>
        <v>#VALUE!</v>
      </c>
      <c r="DH60" s="94" t="e">
        <f t="array" ref="DH60:DH75">MMULT(aggregation!$B$3:$W$8,DH8:DH48)</f>
        <v>#VALUE!</v>
      </c>
      <c r="DI60" s="94" t="e">
        <f t="array" ref="DI60:DI75">MMULT(aggregation!$B$3:$W$8,DI8:DI48)</f>
        <v>#VALUE!</v>
      </c>
      <c r="DJ60" s="94" t="e">
        <f t="array" ref="DJ60:DJ75">MMULT(aggregation!$B$3:$W$8,DJ8:DJ48)</f>
        <v>#VALUE!</v>
      </c>
      <c r="DK60" s="94"/>
      <c r="DL60" s="40" t="e">
        <f t="shared" ref="DL60:DL75" si="63">IF(DM60&gt;0,((1+(DO60/DM60))^(1/($A$101-$A$100))-1)*100,0)</f>
        <v>#VALUE!</v>
      </c>
      <c r="DM60" s="94" t="e">
        <f t="array" ref="DM60:DM75">MMULT(aggregation!$B$3:$W$8,DM8:DM48)</f>
        <v>#VALUE!</v>
      </c>
      <c r="DN60" s="94" t="e">
        <f t="array" ref="DN60:DN75">MMULT(aggregation!$B$3:$W$8,DN8:DN48)</f>
        <v>#VALUE!</v>
      </c>
      <c r="DO60" s="94" t="e">
        <f t="array" ref="DO60:DO75">MMULT(aggregation!$B$3:$W$8,DO8:DO48)</f>
        <v>#VALUE!</v>
      </c>
      <c r="DP60" s="94" t="e">
        <f t="array" ref="DP60:DP75">MMULT(aggregation!$B$3:$W$8,DP8:DP48)</f>
        <v>#VALUE!</v>
      </c>
    </row>
    <row r="61" spans="1:120" x14ac:dyDescent="0.2">
      <c r="A61" s="91" t="e">
        <f>name!#REF!</f>
        <v>#REF!</v>
      </c>
      <c r="B61" s="40" t="e">
        <f t="shared" si="44"/>
        <v>#VALUE!</v>
      </c>
      <c r="C61" s="94" t="e">
        <v>#VALUE!</v>
      </c>
      <c r="D61" s="94" t="e">
        <v>#VALUE!</v>
      </c>
      <c r="E61" s="94" t="e">
        <v>#VALUE!</v>
      </c>
      <c r="F61" s="94" t="e">
        <v>#VALUE!</v>
      </c>
      <c r="H61" s="40" t="e">
        <f t="shared" si="45"/>
        <v>#VALUE!</v>
      </c>
      <c r="I61" s="94" t="e">
        <v>#VALUE!</v>
      </c>
      <c r="J61" s="94" t="e">
        <v>#VALUE!</v>
      </c>
      <c r="K61" s="94" t="e">
        <v>#VALUE!</v>
      </c>
      <c r="L61" s="94" t="e">
        <v>#VALUE!</v>
      </c>
      <c r="N61" s="40" t="e">
        <f t="shared" si="46"/>
        <v>#VALUE!</v>
      </c>
      <c r="O61" s="94" t="e">
        <v>#VALUE!</v>
      </c>
      <c r="P61" s="94" t="e">
        <v>#VALUE!</v>
      </c>
      <c r="Q61" s="94" t="e">
        <v>#VALUE!</v>
      </c>
      <c r="R61" s="94" t="e">
        <v>#VALUE!</v>
      </c>
      <c r="S61" s="94"/>
      <c r="T61" s="40" t="e">
        <f t="shared" si="47"/>
        <v>#VALUE!</v>
      </c>
      <c r="U61" s="94" t="e">
        <v>#VALUE!</v>
      </c>
      <c r="V61" s="94" t="e">
        <v>#VALUE!</v>
      </c>
      <c r="W61" s="94" t="e">
        <v>#VALUE!</v>
      </c>
      <c r="X61" s="94" t="e">
        <v>#VALUE!</v>
      </c>
      <c r="Y61" s="91" t="e">
        <f t="shared" ref="Y61:Y75" si="64">A61</f>
        <v>#REF!</v>
      </c>
      <c r="Z61" s="40" t="e">
        <f t="shared" si="48"/>
        <v>#VALUE!</v>
      </c>
      <c r="AA61" s="94" t="e">
        <v>#VALUE!</v>
      </c>
      <c r="AB61" s="94" t="e">
        <v>#VALUE!</v>
      </c>
      <c r="AC61" s="94" t="e">
        <v>#VALUE!</v>
      </c>
      <c r="AD61" s="94" t="e">
        <v>#VALUE!</v>
      </c>
      <c r="AF61" s="40" t="e">
        <f t="shared" si="49"/>
        <v>#VALUE!</v>
      </c>
      <c r="AG61" s="94" t="e">
        <v>#VALUE!</v>
      </c>
      <c r="AH61" s="94" t="e">
        <v>#VALUE!</v>
      </c>
      <c r="AI61" s="94" t="e">
        <v>#VALUE!</v>
      </c>
      <c r="AJ61" s="94" t="e">
        <v>#VALUE!</v>
      </c>
      <c r="AL61" s="40" t="e">
        <f t="shared" si="50"/>
        <v>#VALUE!</v>
      </c>
      <c r="AM61" s="94" t="e">
        <v>#VALUE!</v>
      </c>
      <c r="AN61" s="94" t="e">
        <v>#VALUE!</v>
      </c>
      <c r="AO61" s="94" t="e">
        <v>#VALUE!</v>
      </c>
      <c r="AP61" s="94" t="e">
        <v>#VALUE!</v>
      </c>
      <c r="AQ61" s="94"/>
      <c r="AR61" s="40" t="e">
        <f t="shared" si="51"/>
        <v>#VALUE!</v>
      </c>
      <c r="AS61" s="94" t="e">
        <v>#VALUE!</v>
      </c>
      <c r="AT61" s="94" t="e">
        <v>#VALUE!</v>
      </c>
      <c r="AU61" s="94" t="e">
        <v>#VALUE!</v>
      </c>
      <c r="AV61" s="94" t="e">
        <v>#VALUE!</v>
      </c>
      <c r="AW61" s="91" t="e">
        <f t="shared" ref="AW61:AW75" si="65">Y61</f>
        <v>#REF!</v>
      </c>
      <c r="AX61" s="40" t="e">
        <f t="shared" si="52"/>
        <v>#VALUE!</v>
      </c>
      <c r="AY61" s="94" t="e">
        <v>#VALUE!</v>
      </c>
      <c r="AZ61" s="94" t="e">
        <v>#VALUE!</v>
      </c>
      <c r="BA61" s="94" t="e">
        <v>#VALUE!</v>
      </c>
      <c r="BB61" s="94" t="e">
        <v>#VALUE!</v>
      </c>
      <c r="BD61" s="40" t="e">
        <f t="shared" si="53"/>
        <v>#VALUE!</v>
      </c>
      <c r="BE61" s="94" t="e">
        <v>#VALUE!</v>
      </c>
      <c r="BF61" s="94" t="e">
        <v>#VALUE!</v>
      </c>
      <c r="BG61" s="94" t="e">
        <v>#VALUE!</v>
      </c>
      <c r="BH61" s="94" t="e">
        <v>#VALUE!</v>
      </c>
      <c r="BJ61" s="40" t="e">
        <f t="shared" si="54"/>
        <v>#VALUE!</v>
      </c>
      <c r="BK61" s="94" t="e">
        <v>#VALUE!</v>
      </c>
      <c r="BL61" s="94" t="e">
        <v>#VALUE!</v>
      </c>
      <c r="BM61" s="94" t="e">
        <v>#VALUE!</v>
      </c>
      <c r="BN61" s="94" t="e">
        <v>#VALUE!</v>
      </c>
      <c r="BO61" s="94"/>
      <c r="BP61" s="40" t="e">
        <f t="shared" si="55"/>
        <v>#VALUE!</v>
      </c>
      <c r="BQ61" s="94" t="e">
        <v>#VALUE!</v>
      </c>
      <c r="BR61" s="94" t="e">
        <v>#VALUE!</v>
      </c>
      <c r="BS61" s="94" t="e">
        <v>#VALUE!</v>
      </c>
      <c r="BT61" s="94" t="e">
        <v>#VALUE!</v>
      </c>
      <c r="BU61" s="91" t="e">
        <f t="shared" ref="BU61:BU75" si="66">AW61</f>
        <v>#REF!</v>
      </c>
      <c r="BV61" s="40" t="e">
        <f t="shared" si="56"/>
        <v>#VALUE!</v>
      </c>
      <c r="BW61" s="94" t="e">
        <v>#VALUE!</v>
      </c>
      <c r="BX61" s="94" t="e">
        <v>#VALUE!</v>
      </c>
      <c r="BY61" s="94" t="e">
        <v>#VALUE!</v>
      </c>
      <c r="BZ61" s="94" t="e">
        <v>#VALUE!</v>
      </c>
      <c r="CB61" s="40" t="e">
        <f t="shared" si="57"/>
        <v>#VALUE!</v>
      </c>
      <c r="CC61" s="94" t="e">
        <v>#VALUE!</v>
      </c>
      <c r="CD61" s="94" t="e">
        <v>#VALUE!</v>
      </c>
      <c r="CE61" s="94" t="e">
        <v>#VALUE!</v>
      </c>
      <c r="CF61" s="94" t="e">
        <v>#VALUE!</v>
      </c>
      <c r="CH61" s="40" t="e">
        <f t="shared" si="58"/>
        <v>#VALUE!</v>
      </c>
      <c r="CI61" s="94" t="e">
        <v>#VALUE!</v>
      </c>
      <c r="CJ61" s="94" t="e">
        <v>#VALUE!</v>
      </c>
      <c r="CK61" s="94" t="e">
        <v>#VALUE!</v>
      </c>
      <c r="CL61" s="94" t="e">
        <v>#VALUE!</v>
      </c>
      <c r="CM61" s="94"/>
      <c r="CN61" s="40" t="e">
        <f t="shared" si="59"/>
        <v>#VALUE!</v>
      </c>
      <c r="CO61" s="94" t="e">
        <v>#VALUE!</v>
      </c>
      <c r="CP61" s="94" t="e">
        <v>#VALUE!</v>
      </c>
      <c r="CQ61" s="94" t="e">
        <v>#VALUE!</v>
      </c>
      <c r="CR61" s="94" t="e">
        <v>#VALUE!</v>
      </c>
      <c r="CS61" s="91" t="e">
        <f t="shared" ref="CS61:CS75" si="67">BU61</f>
        <v>#REF!</v>
      </c>
      <c r="CT61" s="40" t="e">
        <f t="shared" si="60"/>
        <v>#VALUE!</v>
      </c>
      <c r="CU61" s="94" t="e">
        <v>#VALUE!</v>
      </c>
      <c r="CV61" s="94" t="e">
        <v>#VALUE!</v>
      </c>
      <c r="CW61" s="94" t="e">
        <v>#VALUE!</v>
      </c>
      <c r="CX61" s="94" t="e">
        <v>#VALUE!</v>
      </c>
      <c r="CZ61" s="40" t="e">
        <f t="shared" si="61"/>
        <v>#VALUE!</v>
      </c>
      <c r="DA61" s="94" t="e">
        <v>#VALUE!</v>
      </c>
      <c r="DB61" s="94" t="e">
        <v>#VALUE!</v>
      </c>
      <c r="DC61" s="94" t="e">
        <v>#VALUE!</v>
      </c>
      <c r="DD61" s="94" t="e">
        <v>#VALUE!</v>
      </c>
      <c r="DF61" s="40" t="e">
        <f t="shared" si="62"/>
        <v>#VALUE!</v>
      </c>
      <c r="DG61" s="94" t="e">
        <v>#VALUE!</v>
      </c>
      <c r="DH61" s="94" t="e">
        <v>#VALUE!</v>
      </c>
      <c r="DI61" s="94" t="e">
        <v>#VALUE!</v>
      </c>
      <c r="DJ61" s="94" t="e">
        <v>#VALUE!</v>
      </c>
      <c r="DK61" s="94"/>
      <c r="DL61" s="40" t="e">
        <f t="shared" si="63"/>
        <v>#VALUE!</v>
      </c>
      <c r="DM61" s="94" t="e">
        <v>#VALUE!</v>
      </c>
      <c r="DN61" s="94" t="e">
        <v>#VALUE!</v>
      </c>
      <c r="DO61" s="94" t="e">
        <v>#VALUE!</v>
      </c>
      <c r="DP61" s="94" t="e">
        <v>#VALUE!</v>
      </c>
    </row>
    <row r="62" spans="1:120" x14ac:dyDescent="0.2">
      <c r="A62" s="91" t="e">
        <f>name!#REF!</f>
        <v>#REF!</v>
      </c>
      <c r="B62" s="40" t="e">
        <f t="shared" si="44"/>
        <v>#VALUE!</v>
      </c>
      <c r="C62" s="94" t="e">
        <v>#VALUE!</v>
      </c>
      <c r="D62" s="94" t="e">
        <v>#VALUE!</v>
      </c>
      <c r="E62" s="94" t="e">
        <v>#VALUE!</v>
      </c>
      <c r="F62" s="94" t="e">
        <v>#VALUE!</v>
      </c>
      <c r="H62" s="40" t="e">
        <f t="shared" si="45"/>
        <v>#VALUE!</v>
      </c>
      <c r="I62" s="94" t="e">
        <v>#VALUE!</v>
      </c>
      <c r="J62" s="94" t="e">
        <v>#VALUE!</v>
      </c>
      <c r="K62" s="94" t="e">
        <v>#VALUE!</v>
      </c>
      <c r="L62" s="94" t="e">
        <v>#VALUE!</v>
      </c>
      <c r="N62" s="40" t="e">
        <f t="shared" si="46"/>
        <v>#VALUE!</v>
      </c>
      <c r="O62" s="94" t="e">
        <v>#VALUE!</v>
      </c>
      <c r="P62" s="94" t="e">
        <v>#VALUE!</v>
      </c>
      <c r="Q62" s="94" t="e">
        <v>#VALUE!</v>
      </c>
      <c r="R62" s="94" t="e">
        <v>#VALUE!</v>
      </c>
      <c r="S62" s="94"/>
      <c r="T62" s="40" t="e">
        <f t="shared" si="47"/>
        <v>#VALUE!</v>
      </c>
      <c r="U62" s="94" t="e">
        <v>#VALUE!</v>
      </c>
      <c r="V62" s="94" t="e">
        <v>#VALUE!</v>
      </c>
      <c r="W62" s="94" t="e">
        <v>#VALUE!</v>
      </c>
      <c r="X62" s="94" t="e">
        <v>#VALUE!</v>
      </c>
      <c r="Y62" s="91" t="e">
        <f t="shared" si="64"/>
        <v>#REF!</v>
      </c>
      <c r="Z62" s="40" t="e">
        <f t="shared" si="48"/>
        <v>#VALUE!</v>
      </c>
      <c r="AA62" s="94" t="e">
        <v>#VALUE!</v>
      </c>
      <c r="AB62" s="94" t="e">
        <v>#VALUE!</v>
      </c>
      <c r="AC62" s="94" t="e">
        <v>#VALUE!</v>
      </c>
      <c r="AD62" s="94" t="e">
        <v>#VALUE!</v>
      </c>
      <c r="AF62" s="40" t="e">
        <f t="shared" si="49"/>
        <v>#VALUE!</v>
      </c>
      <c r="AG62" s="94" t="e">
        <v>#VALUE!</v>
      </c>
      <c r="AH62" s="94" t="e">
        <v>#VALUE!</v>
      </c>
      <c r="AI62" s="94" t="e">
        <v>#VALUE!</v>
      </c>
      <c r="AJ62" s="94" t="e">
        <v>#VALUE!</v>
      </c>
      <c r="AL62" s="40" t="e">
        <f t="shared" si="50"/>
        <v>#VALUE!</v>
      </c>
      <c r="AM62" s="94" t="e">
        <v>#VALUE!</v>
      </c>
      <c r="AN62" s="94" t="e">
        <v>#VALUE!</v>
      </c>
      <c r="AO62" s="94" t="e">
        <v>#VALUE!</v>
      </c>
      <c r="AP62" s="94" t="e">
        <v>#VALUE!</v>
      </c>
      <c r="AQ62" s="94"/>
      <c r="AR62" s="40" t="e">
        <f t="shared" si="51"/>
        <v>#VALUE!</v>
      </c>
      <c r="AS62" s="94" t="e">
        <v>#VALUE!</v>
      </c>
      <c r="AT62" s="94" t="e">
        <v>#VALUE!</v>
      </c>
      <c r="AU62" s="94" t="e">
        <v>#VALUE!</v>
      </c>
      <c r="AV62" s="94" t="e">
        <v>#VALUE!</v>
      </c>
      <c r="AW62" s="91" t="e">
        <f t="shared" si="65"/>
        <v>#REF!</v>
      </c>
      <c r="AX62" s="40" t="e">
        <f t="shared" si="52"/>
        <v>#VALUE!</v>
      </c>
      <c r="AY62" s="94" t="e">
        <v>#VALUE!</v>
      </c>
      <c r="AZ62" s="94" t="e">
        <v>#VALUE!</v>
      </c>
      <c r="BA62" s="94" t="e">
        <v>#VALUE!</v>
      </c>
      <c r="BB62" s="94" t="e">
        <v>#VALUE!</v>
      </c>
      <c r="BD62" s="40" t="e">
        <f t="shared" si="53"/>
        <v>#VALUE!</v>
      </c>
      <c r="BE62" s="94" t="e">
        <v>#VALUE!</v>
      </c>
      <c r="BF62" s="94" t="e">
        <v>#VALUE!</v>
      </c>
      <c r="BG62" s="94" t="e">
        <v>#VALUE!</v>
      </c>
      <c r="BH62" s="94" t="e">
        <v>#VALUE!</v>
      </c>
      <c r="BJ62" s="40" t="e">
        <f t="shared" si="54"/>
        <v>#VALUE!</v>
      </c>
      <c r="BK62" s="94" t="e">
        <v>#VALUE!</v>
      </c>
      <c r="BL62" s="94" t="e">
        <v>#VALUE!</v>
      </c>
      <c r="BM62" s="94" t="e">
        <v>#VALUE!</v>
      </c>
      <c r="BN62" s="94" t="e">
        <v>#VALUE!</v>
      </c>
      <c r="BO62" s="94"/>
      <c r="BP62" s="40" t="e">
        <f t="shared" si="55"/>
        <v>#VALUE!</v>
      </c>
      <c r="BQ62" s="94" t="e">
        <v>#VALUE!</v>
      </c>
      <c r="BR62" s="94" t="e">
        <v>#VALUE!</v>
      </c>
      <c r="BS62" s="94" t="e">
        <v>#VALUE!</v>
      </c>
      <c r="BT62" s="94" t="e">
        <v>#VALUE!</v>
      </c>
      <c r="BU62" s="91" t="e">
        <f t="shared" si="66"/>
        <v>#REF!</v>
      </c>
      <c r="BV62" s="40" t="e">
        <f t="shared" si="56"/>
        <v>#VALUE!</v>
      </c>
      <c r="BW62" s="94" t="e">
        <v>#VALUE!</v>
      </c>
      <c r="BX62" s="94" t="e">
        <v>#VALUE!</v>
      </c>
      <c r="BY62" s="94" t="e">
        <v>#VALUE!</v>
      </c>
      <c r="BZ62" s="94" t="e">
        <v>#VALUE!</v>
      </c>
      <c r="CB62" s="40" t="e">
        <f t="shared" si="57"/>
        <v>#VALUE!</v>
      </c>
      <c r="CC62" s="94" t="e">
        <v>#VALUE!</v>
      </c>
      <c r="CD62" s="94" t="e">
        <v>#VALUE!</v>
      </c>
      <c r="CE62" s="94" t="e">
        <v>#VALUE!</v>
      </c>
      <c r="CF62" s="94" t="e">
        <v>#VALUE!</v>
      </c>
      <c r="CH62" s="40" t="e">
        <f t="shared" si="58"/>
        <v>#VALUE!</v>
      </c>
      <c r="CI62" s="94" t="e">
        <v>#VALUE!</v>
      </c>
      <c r="CJ62" s="94" t="e">
        <v>#VALUE!</v>
      </c>
      <c r="CK62" s="94" t="e">
        <v>#VALUE!</v>
      </c>
      <c r="CL62" s="94" t="e">
        <v>#VALUE!</v>
      </c>
      <c r="CM62" s="94"/>
      <c r="CN62" s="40" t="e">
        <f t="shared" si="59"/>
        <v>#VALUE!</v>
      </c>
      <c r="CO62" s="94" t="e">
        <v>#VALUE!</v>
      </c>
      <c r="CP62" s="94" t="e">
        <v>#VALUE!</v>
      </c>
      <c r="CQ62" s="94" t="e">
        <v>#VALUE!</v>
      </c>
      <c r="CR62" s="94" t="e">
        <v>#VALUE!</v>
      </c>
      <c r="CS62" s="91" t="e">
        <f t="shared" si="67"/>
        <v>#REF!</v>
      </c>
      <c r="CT62" s="40" t="e">
        <f t="shared" si="60"/>
        <v>#VALUE!</v>
      </c>
      <c r="CU62" s="94" t="e">
        <v>#VALUE!</v>
      </c>
      <c r="CV62" s="94" t="e">
        <v>#VALUE!</v>
      </c>
      <c r="CW62" s="94" t="e">
        <v>#VALUE!</v>
      </c>
      <c r="CX62" s="94" t="e">
        <v>#VALUE!</v>
      </c>
      <c r="CZ62" s="40" t="e">
        <f t="shared" si="61"/>
        <v>#VALUE!</v>
      </c>
      <c r="DA62" s="94" t="e">
        <v>#VALUE!</v>
      </c>
      <c r="DB62" s="94" t="e">
        <v>#VALUE!</v>
      </c>
      <c r="DC62" s="94" t="e">
        <v>#VALUE!</v>
      </c>
      <c r="DD62" s="94" t="e">
        <v>#VALUE!</v>
      </c>
      <c r="DF62" s="40" t="e">
        <f t="shared" si="62"/>
        <v>#VALUE!</v>
      </c>
      <c r="DG62" s="94" t="e">
        <v>#VALUE!</v>
      </c>
      <c r="DH62" s="94" t="e">
        <v>#VALUE!</v>
      </c>
      <c r="DI62" s="94" t="e">
        <v>#VALUE!</v>
      </c>
      <c r="DJ62" s="94" t="e">
        <v>#VALUE!</v>
      </c>
      <c r="DK62" s="94"/>
      <c r="DL62" s="40" t="e">
        <f t="shared" si="63"/>
        <v>#VALUE!</v>
      </c>
      <c r="DM62" s="94" t="e">
        <v>#VALUE!</v>
      </c>
      <c r="DN62" s="94" t="e">
        <v>#VALUE!</v>
      </c>
      <c r="DO62" s="94" t="e">
        <v>#VALUE!</v>
      </c>
      <c r="DP62" s="94" t="e">
        <v>#VALUE!</v>
      </c>
    </row>
    <row r="63" spans="1:120" x14ac:dyDescent="0.2">
      <c r="A63" s="91" t="e">
        <f>name!#REF!</f>
        <v>#REF!</v>
      </c>
      <c r="B63" s="40" t="e">
        <f t="shared" si="44"/>
        <v>#VALUE!</v>
      </c>
      <c r="C63" s="94" t="e">
        <v>#VALUE!</v>
      </c>
      <c r="D63" s="94" t="e">
        <v>#VALUE!</v>
      </c>
      <c r="E63" s="94" t="e">
        <v>#VALUE!</v>
      </c>
      <c r="F63" s="94" t="e">
        <v>#VALUE!</v>
      </c>
      <c r="H63" s="40" t="e">
        <f t="shared" si="45"/>
        <v>#VALUE!</v>
      </c>
      <c r="I63" s="94" t="e">
        <v>#VALUE!</v>
      </c>
      <c r="J63" s="94" t="e">
        <v>#VALUE!</v>
      </c>
      <c r="K63" s="94" t="e">
        <v>#VALUE!</v>
      </c>
      <c r="L63" s="94" t="e">
        <v>#VALUE!</v>
      </c>
      <c r="N63" s="40" t="e">
        <f t="shared" si="46"/>
        <v>#VALUE!</v>
      </c>
      <c r="O63" s="94" t="e">
        <v>#VALUE!</v>
      </c>
      <c r="P63" s="94" t="e">
        <v>#VALUE!</v>
      </c>
      <c r="Q63" s="94" t="e">
        <v>#VALUE!</v>
      </c>
      <c r="R63" s="94" t="e">
        <v>#VALUE!</v>
      </c>
      <c r="S63" s="94"/>
      <c r="T63" s="40" t="e">
        <f t="shared" si="47"/>
        <v>#VALUE!</v>
      </c>
      <c r="U63" s="94" t="e">
        <v>#VALUE!</v>
      </c>
      <c r="V63" s="94" t="e">
        <v>#VALUE!</v>
      </c>
      <c r="W63" s="94" t="e">
        <v>#VALUE!</v>
      </c>
      <c r="X63" s="94" t="e">
        <v>#VALUE!</v>
      </c>
      <c r="Y63" s="91" t="e">
        <f t="shared" si="64"/>
        <v>#REF!</v>
      </c>
      <c r="Z63" s="40" t="e">
        <f t="shared" si="48"/>
        <v>#VALUE!</v>
      </c>
      <c r="AA63" s="94" t="e">
        <v>#VALUE!</v>
      </c>
      <c r="AB63" s="94" t="e">
        <v>#VALUE!</v>
      </c>
      <c r="AC63" s="94" t="e">
        <v>#VALUE!</v>
      </c>
      <c r="AD63" s="94" t="e">
        <v>#VALUE!</v>
      </c>
      <c r="AF63" s="40" t="e">
        <f t="shared" si="49"/>
        <v>#VALUE!</v>
      </c>
      <c r="AG63" s="94" t="e">
        <v>#VALUE!</v>
      </c>
      <c r="AH63" s="94" t="e">
        <v>#VALUE!</v>
      </c>
      <c r="AI63" s="94" t="e">
        <v>#VALUE!</v>
      </c>
      <c r="AJ63" s="94" t="e">
        <v>#VALUE!</v>
      </c>
      <c r="AL63" s="40" t="e">
        <f t="shared" si="50"/>
        <v>#VALUE!</v>
      </c>
      <c r="AM63" s="94" t="e">
        <v>#VALUE!</v>
      </c>
      <c r="AN63" s="94" t="e">
        <v>#VALUE!</v>
      </c>
      <c r="AO63" s="94" t="e">
        <v>#VALUE!</v>
      </c>
      <c r="AP63" s="94" t="e">
        <v>#VALUE!</v>
      </c>
      <c r="AQ63" s="94"/>
      <c r="AR63" s="40" t="e">
        <f t="shared" si="51"/>
        <v>#VALUE!</v>
      </c>
      <c r="AS63" s="94" t="e">
        <v>#VALUE!</v>
      </c>
      <c r="AT63" s="94" t="e">
        <v>#VALUE!</v>
      </c>
      <c r="AU63" s="94" t="e">
        <v>#VALUE!</v>
      </c>
      <c r="AV63" s="94" t="e">
        <v>#VALUE!</v>
      </c>
      <c r="AW63" s="91" t="e">
        <f t="shared" si="65"/>
        <v>#REF!</v>
      </c>
      <c r="AX63" s="40" t="e">
        <f t="shared" si="52"/>
        <v>#VALUE!</v>
      </c>
      <c r="AY63" s="94" t="e">
        <v>#VALUE!</v>
      </c>
      <c r="AZ63" s="94" t="e">
        <v>#VALUE!</v>
      </c>
      <c r="BA63" s="94" t="e">
        <v>#VALUE!</v>
      </c>
      <c r="BB63" s="94" t="e">
        <v>#VALUE!</v>
      </c>
      <c r="BD63" s="40" t="e">
        <f t="shared" si="53"/>
        <v>#VALUE!</v>
      </c>
      <c r="BE63" s="94" t="e">
        <v>#VALUE!</v>
      </c>
      <c r="BF63" s="94" t="e">
        <v>#VALUE!</v>
      </c>
      <c r="BG63" s="94" t="e">
        <v>#VALUE!</v>
      </c>
      <c r="BH63" s="94" t="e">
        <v>#VALUE!</v>
      </c>
      <c r="BJ63" s="40" t="e">
        <f t="shared" si="54"/>
        <v>#VALUE!</v>
      </c>
      <c r="BK63" s="94" t="e">
        <v>#VALUE!</v>
      </c>
      <c r="BL63" s="94" t="e">
        <v>#VALUE!</v>
      </c>
      <c r="BM63" s="94" t="e">
        <v>#VALUE!</v>
      </c>
      <c r="BN63" s="94" t="e">
        <v>#VALUE!</v>
      </c>
      <c r="BO63" s="94"/>
      <c r="BP63" s="40" t="e">
        <f t="shared" si="55"/>
        <v>#VALUE!</v>
      </c>
      <c r="BQ63" s="94" t="e">
        <v>#VALUE!</v>
      </c>
      <c r="BR63" s="94" t="e">
        <v>#VALUE!</v>
      </c>
      <c r="BS63" s="94" t="e">
        <v>#VALUE!</v>
      </c>
      <c r="BT63" s="94" t="e">
        <v>#VALUE!</v>
      </c>
      <c r="BU63" s="91" t="e">
        <f t="shared" si="66"/>
        <v>#REF!</v>
      </c>
      <c r="BV63" s="40" t="e">
        <f t="shared" si="56"/>
        <v>#VALUE!</v>
      </c>
      <c r="BW63" s="94" t="e">
        <v>#VALUE!</v>
      </c>
      <c r="BX63" s="94" t="e">
        <v>#VALUE!</v>
      </c>
      <c r="BY63" s="94" t="e">
        <v>#VALUE!</v>
      </c>
      <c r="BZ63" s="94" t="e">
        <v>#VALUE!</v>
      </c>
      <c r="CB63" s="40" t="e">
        <f t="shared" si="57"/>
        <v>#VALUE!</v>
      </c>
      <c r="CC63" s="94" t="e">
        <v>#VALUE!</v>
      </c>
      <c r="CD63" s="94" t="e">
        <v>#VALUE!</v>
      </c>
      <c r="CE63" s="94" t="e">
        <v>#VALUE!</v>
      </c>
      <c r="CF63" s="94" t="e">
        <v>#VALUE!</v>
      </c>
      <c r="CH63" s="40" t="e">
        <f t="shared" si="58"/>
        <v>#VALUE!</v>
      </c>
      <c r="CI63" s="94" t="e">
        <v>#VALUE!</v>
      </c>
      <c r="CJ63" s="94" t="e">
        <v>#VALUE!</v>
      </c>
      <c r="CK63" s="94" t="e">
        <v>#VALUE!</v>
      </c>
      <c r="CL63" s="94" t="e">
        <v>#VALUE!</v>
      </c>
      <c r="CM63" s="94"/>
      <c r="CN63" s="40" t="e">
        <f t="shared" si="59"/>
        <v>#VALUE!</v>
      </c>
      <c r="CO63" s="94" t="e">
        <v>#VALUE!</v>
      </c>
      <c r="CP63" s="94" t="e">
        <v>#VALUE!</v>
      </c>
      <c r="CQ63" s="94" t="e">
        <v>#VALUE!</v>
      </c>
      <c r="CR63" s="94" t="e">
        <v>#VALUE!</v>
      </c>
      <c r="CS63" s="91" t="e">
        <f t="shared" si="67"/>
        <v>#REF!</v>
      </c>
      <c r="CT63" s="40" t="e">
        <f t="shared" si="60"/>
        <v>#VALUE!</v>
      </c>
      <c r="CU63" s="94" t="e">
        <v>#VALUE!</v>
      </c>
      <c r="CV63" s="94" t="e">
        <v>#VALUE!</v>
      </c>
      <c r="CW63" s="94" t="e">
        <v>#VALUE!</v>
      </c>
      <c r="CX63" s="94" t="e">
        <v>#VALUE!</v>
      </c>
      <c r="CZ63" s="40" t="e">
        <f t="shared" si="61"/>
        <v>#VALUE!</v>
      </c>
      <c r="DA63" s="94" t="e">
        <v>#VALUE!</v>
      </c>
      <c r="DB63" s="94" t="e">
        <v>#VALUE!</v>
      </c>
      <c r="DC63" s="94" t="e">
        <v>#VALUE!</v>
      </c>
      <c r="DD63" s="94" t="e">
        <v>#VALUE!</v>
      </c>
      <c r="DF63" s="40" t="e">
        <f t="shared" si="62"/>
        <v>#VALUE!</v>
      </c>
      <c r="DG63" s="94" t="e">
        <v>#VALUE!</v>
      </c>
      <c r="DH63" s="94" t="e">
        <v>#VALUE!</v>
      </c>
      <c r="DI63" s="94" t="e">
        <v>#VALUE!</v>
      </c>
      <c r="DJ63" s="94" t="e">
        <v>#VALUE!</v>
      </c>
      <c r="DK63" s="94"/>
      <c r="DL63" s="40" t="e">
        <f t="shared" si="63"/>
        <v>#VALUE!</v>
      </c>
      <c r="DM63" s="94" t="e">
        <v>#VALUE!</v>
      </c>
      <c r="DN63" s="94" t="e">
        <v>#VALUE!</v>
      </c>
      <c r="DO63" s="94" t="e">
        <v>#VALUE!</v>
      </c>
      <c r="DP63" s="94" t="e">
        <v>#VALUE!</v>
      </c>
    </row>
    <row r="64" spans="1:120" x14ac:dyDescent="0.2">
      <c r="A64" s="91" t="e">
        <f>name!#REF!</f>
        <v>#REF!</v>
      </c>
      <c r="B64" s="40" t="e">
        <f t="shared" si="44"/>
        <v>#VALUE!</v>
      </c>
      <c r="C64" s="94" t="e">
        <v>#VALUE!</v>
      </c>
      <c r="D64" s="94" t="e">
        <v>#VALUE!</v>
      </c>
      <c r="E64" s="94" t="e">
        <v>#VALUE!</v>
      </c>
      <c r="F64" s="94" t="e">
        <v>#VALUE!</v>
      </c>
      <c r="H64" s="40" t="e">
        <f t="shared" si="45"/>
        <v>#VALUE!</v>
      </c>
      <c r="I64" s="94" t="e">
        <v>#VALUE!</v>
      </c>
      <c r="J64" s="94" t="e">
        <v>#VALUE!</v>
      </c>
      <c r="K64" s="94" t="e">
        <v>#VALUE!</v>
      </c>
      <c r="L64" s="94" t="e">
        <v>#VALUE!</v>
      </c>
      <c r="N64" s="40" t="e">
        <f t="shared" si="46"/>
        <v>#VALUE!</v>
      </c>
      <c r="O64" s="94" t="e">
        <v>#VALUE!</v>
      </c>
      <c r="P64" s="94" t="e">
        <v>#VALUE!</v>
      </c>
      <c r="Q64" s="94" t="e">
        <v>#VALUE!</v>
      </c>
      <c r="R64" s="94" t="e">
        <v>#VALUE!</v>
      </c>
      <c r="S64" s="94"/>
      <c r="T64" s="40" t="e">
        <f t="shared" si="47"/>
        <v>#VALUE!</v>
      </c>
      <c r="U64" s="94" t="e">
        <v>#VALUE!</v>
      </c>
      <c r="V64" s="94" t="e">
        <v>#VALUE!</v>
      </c>
      <c r="W64" s="94" t="e">
        <v>#VALUE!</v>
      </c>
      <c r="X64" s="94" t="e">
        <v>#VALUE!</v>
      </c>
      <c r="Y64" s="91" t="e">
        <f t="shared" si="64"/>
        <v>#REF!</v>
      </c>
      <c r="Z64" s="40" t="e">
        <f t="shared" si="48"/>
        <v>#VALUE!</v>
      </c>
      <c r="AA64" s="94" t="e">
        <v>#VALUE!</v>
      </c>
      <c r="AB64" s="94" t="e">
        <v>#VALUE!</v>
      </c>
      <c r="AC64" s="94" t="e">
        <v>#VALUE!</v>
      </c>
      <c r="AD64" s="94" t="e">
        <v>#VALUE!</v>
      </c>
      <c r="AF64" s="40" t="e">
        <f t="shared" si="49"/>
        <v>#VALUE!</v>
      </c>
      <c r="AG64" s="94" t="e">
        <v>#VALUE!</v>
      </c>
      <c r="AH64" s="94" t="e">
        <v>#VALUE!</v>
      </c>
      <c r="AI64" s="94" t="e">
        <v>#VALUE!</v>
      </c>
      <c r="AJ64" s="94" t="e">
        <v>#VALUE!</v>
      </c>
      <c r="AL64" s="40" t="e">
        <f t="shared" si="50"/>
        <v>#VALUE!</v>
      </c>
      <c r="AM64" s="94" t="e">
        <v>#VALUE!</v>
      </c>
      <c r="AN64" s="94" t="e">
        <v>#VALUE!</v>
      </c>
      <c r="AO64" s="94" t="e">
        <v>#VALUE!</v>
      </c>
      <c r="AP64" s="94" t="e">
        <v>#VALUE!</v>
      </c>
      <c r="AQ64" s="94"/>
      <c r="AR64" s="40" t="e">
        <f t="shared" si="51"/>
        <v>#VALUE!</v>
      </c>
      <c r="AS64" s="94" t="e">
        <v>#VALUE!</v>
      </c>
      <c r="AT64" s="94" t="e">
        <v>#VALUE!</v>
      </c>
      <c r="AU64" s="94" t="e">
        <v>#VALUE!</v>
      </c>
      <c r="AV64" s="94" t="e">
        <v>#VALUE!</v>
      </c>
      <c r="AW64" s="91" t="e">
        <f t="shared" si="65"/>
        <v>#REF!</v>
      </c>
      <c r="AX64" s="40" t="e">
        <f t="shared" si="52"/>
        <v>#VALUE!</v>
      </c>
      <c r="AY64" s="94" t="e">
        <v>#VALUE!</v>
      </c>
      <c r="AZ64" s="94" t="e">
        <v>#VALUE!</v>
      </c>
      <c r="BA64" s="94" t="e">
        <v>#VALUE!</v>
      </c>
      <c r="BB64" s="94" t="e">
        <v>#VALUE!</v>
      </c>
      <c r="BD64" s="40" t="e">
        <f t="shared" si="53"/>
        <v>#VALUE!</v>
      </c>
      <c r="BE64" s="94" t="e">
        <v>#VALUE!</v>
      </c>
      <c r="BF64" s="94" t="e">
        <v>#VALUE!</v>
      </c>
      <c r="BG64" s="94" t="e">
        <v>#VALUE!</v>
      </c>
      <c r="BH64" s="94" t="e">
        <v>#VALUE!</v>
      </c>
      <c r="BJ64" s="40" t="e">
        <f t="shared" si="54"/>
        <v>#VALUE!</v>
      </c>
      <c r="BK64" s="94" t="e">
        <v>#VALUE!</v>
      </c>
      <c r="BL64" s="94" t="e">
        <v>#VALUE!</v>
      </c>
      <c r="BM64" s="94" t="e">
        <v>#VALUE!</v>
      </c>
      <c r="BN64" s="94" t="e">
        <v>#VALUE!</v>
      </c>
      <c r="BO64" s="94"/>
      <c r="BP64" s="40" t="e">
        <f t="shared" si="55"/>
        <v>#VALUE!</v>
      </c>
      <c r="BQ64" s="94" t="e">
        <v>#VALUE!</v>
      </c>
      <c r="BR64" s="94" t="e">
        <v>#VALUE!</v>
      </c>
      <c r="BS64" s="94" t="e">
        <v>#VALUE!</v>
      </c>
      <c r="BT64" s="94" t="e">
        <v>#VALUE!</v>
      </c>
      <c r="BU64" s="91" t="e">
        <f t="shared" si="66"/>
        <v>#REF!</v>
      </c>
      <c r="BV64" s="40" t="e">
        <f t="shared" si="56"/>
        <v>#VALUE!</v>
      </c>
      <c r="BW64" s="94" t="e">
        <v>#VALUE!</v>
      </c>
      <c r="BX64" s="94" t="e">
        <v>#VALUE!</v>
      </c>
      <c r="BY64" s="94" t="e">
        <v>#VALUE!</v>
      </c>
      <c r="BZ64" s="94" t="e">
        <v>#VALUE!</v>
      </c>
      <c r="CB64" s="40" t="e">
        <f t="shared" si="57"/>
        <v>#VALUE!</v>
      </c>
      <c r="CC64" s="94" t="e">
        <v>#VALUE!</v>
      </c>
      <c r="CD64" s="94" t="e">
        <v>#VALUE!</v>
      </c>
      <c r="CE64" s="94" t="e">
        <v>#VALUE!</v>
      </c>
      <c r="CF64" s="94" t="e">
        <v>#VALUE!</v>
      </c>
      <c r="CH64" s="40" t="e">
        <f t="shared" si="58"/>
        <v>#VALUE!</v>
      </c>
      <c r="CI64" s="94" t="e">
        <v>#VALUE!</v>
      </c>
      <c r="CJ64" s="94" t="e">
        <v>#VALUE!</v>
      </c>
      <c r="CK64" s="94" t="e">
        <v>#VALUE!</v>
      </c>
      <c r="CL64" s="94" t="e">
        <v>#VALUE!</v>
      </c>
      <c r="CM64" s="94"/>
      <c r="CN64" s="40" t="e">
        <f t="shared" si="59"/>
        <v>#VALUE!</v>
      </c>
      <c r="CO64" s="94" t="e">
        <v>#VALUE!</v>
      </c>
      <c r="CP64" s="94" t="e">
        <v>#VALUE!</v>
      </c>
      <c r="CQ64" s="94" t="e">
        <v>#VALUE!</v>
      </c>
      <c r="CR64" s="94" t="e">
        <v>#VALUE!</v>
      </c>
      <c r="CS64" s="91" t="e">
        <f t="shared" si="67"/>
        <v>#REF!</v>
      </c>
      <c r="CT64" s="40" t="e">
        <f t="shared" si="60"/>
        <v>#VALUE!</v>
      </c>
      <c r="CU64" s="94" t="e">
        <v>#VALUE!</v>
      </c>
      <c r="CV64" s="94" t="e">
        <v>#VALUE!</v>
      </c>
      <c r="CW64" s="94" t="e">
        <v>#VALUE!</v>
      </c>
      <c r="CX64" s="94" t="e">
        <v>#VALUE!</v>
      </c>
      <c r="CZ64" s="40" t="e">
        <f t="shared" si="61"/>
        <v>#VALUE!</v>
      </c>
      <c r="DA64" s="94" t="e">
        <v>#VALUE!</v>
      </c>
      <c r="DB64" s="94" t="e">
        <v>#VALUE!</v>
      </c>
      <c r="DC64" s="94" t="e">
        <v>#VALUE!</v>
      </c>
      <c r="DD64" s="94" t="e">
        <v>#VALUE!</v>
      </c>
      <c r="DF64" s="40" t="e">
        <f t="shared" si="62"/>
        <v>#VALUE!</v>
      </c>
      <c r="DG64" s="94" t="e">
        <v>#VALUE!</v>
      </c>
      <c r="DH64" s="94" t="e">
        <v>#VALUE!</v>
      </c>
      <c r="DI64" s="94" t="e">
        <v>#VALUE!</v>
      </c>
      <c r="DJ64" s="94" t="e">
        <v>#VALUE!</v>
      </c>
      <c r="DK64" s="94"/>
      <c r="DL64" s="40" t="e">
        <f t="shared" si="63"/>
        <v>#VALUE!</v>
      </c>
      <c r="DM64" s="94" t="e">
        <v>#VALUE!</v>
      </c>
      <c r="DN64" s="94" t="e">
        <v>#VALUE!</v>
      </c>
      <c r="DO64" s="94" t="e">
        <v>#VALUE!</v>
      </c>
      <c r="DP64" s="94" t="e">
        <v>#VALUE!</v>
      </c>
    </row>
    <row r="65" spans="1:120" x14ac:dyDescent="0.2">
      <c r="A65" s="91" t="e">
        <f>name!#REF!</f>
        <v>#REF!</v>
      </c>
      <c r="B65" s="40" t="e">
        <f t="shared" si="44"/>
        <v>#VALUE!</v>
      </c>
      <c r="C65" s="94" t="e">
        <v>#VALUE!</v>
      </c>
      <c r="D65" s="94" t="e">
        <v>#VALUE!</v>
      </c>
      <c r="E65" s="94" t="e">
        <v>#VALUE!</v>
      </c>
      <c r="F65" s="94" t="e">
        <v>#VALUE!</v>
      </c>
      <c r="H65" s="40" t="e">
        <f t="shared" si="45"/>
        <v>#VALUE!</v>
      </c>
      <c r="I65" s="94" t="e">
        <v>#VALUE!</v>
      </c>
      <c r="J65" s="94" t="e">
        <v>#VALUE!</v>
      </c>
      <c r="K65" s="94" t="e">
        <v>#VALUE!</v>
      </c>
      <c r="L65" s="94" t="e">
        <v>#VALUE!</v>
      </c>
      <c r="N65" s="40" t="e">
        <f t="shared" si="46"/>
        <v>#VALUE!</v>
      </c>
      <c r="O65" s="94" t="e">
        <v>#VALUE!</v>
      </c>
      <c r="P65" s="94" t="e">
        <v>#VALUE!</v>
      </c>
      <c r="Q65" s="94" t="e">
        <v>#VALUE!</v>
      </c>
      <c r="R65" s="94" t="e">
        <v>#VALUE!</v>
      </c>
      <c r="S65" s="94"/>
      <c r="T65" s="40" t="e">
        <f t="shared" si="47"/>
        <v>#VALUE!</v>
      </c>
      <c r="U65" s="94" t="e">
        <v>#VALUE!</v>
      </c>
      <c r="V65" s="94" t="e">
        <v>#VALUE!</v>
      </c>
      <c r="W65" s="94" t="e">
        <v>#VALUE!</v>
      </c>
      <c r="X65" s="94" t="e">
        <v>#VALUE!</v>
      </c>
      <c r="Y65" s="91" t="e">
        <f t="shared" si="64"/>
        <v>#REF!</v>
      </c>
      <c r="Z65" s="40" t="e">
        <f t="shared" si="48"/>
        <v>#VALUE!</v>
      </c>
      <c r="AA65" s="94" t="e">
        <v>#VALUE!</v>
      </c>
      <c r="AB65" s="94" t="e">
        <v>#VALUE!</v>
      </c>
      <c r="AC65" s="94" t="e">
        <v>#VALUE!</v>
      </c>
      <c r="AD65" s="94" t="e">
        <v>#VALUE!</v>
      </c>
      <c r="AF65" s="40" t="e">
        <f t="shared" si="49"/>
        <v>#VALUE!</v>
      </c>
      <c r="AG65" s="94" t="e">
        <v>#VALUE!</v>
      </c>
      <c r="AH65" s="94" t="e">
        <v>#VALUE!</v>
      </c>
      <c r="AI65" s="94" t="e">
        <v>#VALUE!</v>
      </c>
      <c r="AJ65" s="94" t="e">
        <v>#VALUE!</v>
      </c>
      <c r="AL65" s="40" t="e">
        <f t="shared" si="50"/>
        <v>#VALUE!</v>
      </c>
      <c r="AM65" s="94" t="e">
        <v>#VALUE!</v>
      </c>
      <c r="AN65" s="94" t="e">
        <v>#VALUE!</v>
      </c>
      <c r="AO65" s="94" t="e">
        <v>#VALUE!</v>
      </c>
      <c r="AP65" s="94" t="e">
        <v>#VALUE!</v>
      </c>
      <c r="AQ65" s="94"/>
      <c r="AR65" s="40" t="e">
        <f t="shared" si="51"/>
        <v>#VALUE!</v>
      </c>
      <c r="AS65" s="94" t="e">
        <v>#VALUE!</v>
      </c>
      <c r="AT65" s="94" t="e">
        <v>#VALUE!</v>
      </c>
      <c r="AU65" s="94" t="e">
        <v>#VALUE!</v>
      </c>
      <c r="AV65" s="94" t="e">
        <v>#VALUE!</v>
      </c>
      <c r="AW65" s="91" t="e">
        <f t="shared" si="65"/>
        <v>#REF!</v>
      </c>
      <c r="AX65" s="40" t="e">
        <f t="shared" si="52"/>
        <v>#VALUE!</v>
      </c>
      <c r="AY65" s="94" t="e">
        <v>#VALUE!</v>
      </c>
      <c r="AZ65" s="94" t="e">
        <v>#VALUE!</v>
      </c>
      <c r="BA65" s="94" t="e">
        <v>#VALUE!</v>
      </c>
      <c r="BB65" s="94" t="e">
        <v>#VALUE!</v>
      </c>
      <c r="BD65" s="40" t="e">
        <f t="shared" si="53"/>
        <v>#VALUE!</v>
      </c>
      <c r="BE65" s="94" t="e">
        <v>#VALUE!</v>
      </c>
      <c r="BF65" s="94" t="e">
        <v>#VALUE!</v>
      </c>
      <c r="BG65" s="94" t="e">
        <v>#VALUE!</v>
      </c>
      <c r="BH65" s="94" t="e">
        <v>#VALUE!</v>
      </c>
      <c r="BJ65" s="40" t="e">
        <f t="shared" si="54"/>
        <v>#VALUE!</v>
      </c>
      <c r="BK65" s="94" t="e">
        <v>#VALUE!</v>
      </c>
      <c r="BL65" s="94" t="e">
        <v>#VALUE!</v>
      </c>
      <c r="BM65" s="94" t="e">
        <v>#VALUE!</v>
      </c>
      <c r="BN65" s="94" t="e">
        <v>#VALUE!</v>
      </c>
      <c r="BO65" s="94"/>
      <c r="BP65" s="40" t="e">
        <f t="shared" si="55"/>
        <v>#VALUE!</v>
      </c>
      <c r="BQ65" s="94" t="e">
        <v>#VALUE!</v>
      </c>
      <c r="BR65" s="94" t="e">
        <v>#VALUE!</v>
      </c>
      <c r="BS65" s="94" t="e">
        <v>#VALUE!</v>
      </c>
      <c r="BT65" s="94" t="e">
        <v>#VALUE!</v>
      </c>
      <c r="BU65" s="91" t="e">
        <f t="shared" si="66"/>
        <v>#REF!</v>
      </c>
      <c r="BV65" s="40" t="e">
        <f t="shared" si="56"/>
        <v>#VALUE!</v>
      </c>
      <c r="BW65" s="94" t="e">
        <v>#VALUE!</v>
      </c>
      <c r="BX65" s="94" t="e">
        <v>#VALUE!</v>
      </c>
      <c r="BY65" s="94" t="e">
        <v>#VALUE!</v>
      </c>
      <c r="BZ65" s="94" t="e">
        <v>#VALUE!</v>
      </c>
      <c r="CB65" s="40" t="e">
        <f t="shared" si="57"/>
        <v>#VALUE!</v>
      </c>
      <c r="CC65" s="94" t="e">
        <v>#VALUE!</v>
      </c>
      <c r="CD65" s="94" t="e">
        <v>#VALUE!</v>
      </c>
      <c r="CE65" s="94" t="e">
        <v>#VALUE!</v>
      </c>
      <c r="CF65" s="94" t="e">
        <v>#VALUE!</v>
      </c>
      <c r="CH65" s="40" t="e">
        <f t="shared" si="58"/>
        <v>#VALUE!</v>
      </c>
      <c r="CI65" s="94" t="e">
        <v>#VALUE!</v>
      </c>
      <c r="CJ65" s="94" t="e">
        <v>#VALUE!</v>
      </c>
      <c r="CK65" s="94" t="e">
        <v>#VALUE!</v>
      </c>
      <c r="CL65" s="94" t="e">
        <v>#VALUE!</v>
      </c>
      <c r="CM65" s="94"/>
      <c r="CN65" s="40" t="e">
        <f t="shared" si="59"/>
        <v>#VALUE!</v>
      </c>
      <c r="CO65" s="94" t="e">
        <v>#VALUE!</v>
      </c>
      <c r="CP65" s="94" t="e">
        <v>#VALUE!</v>
      </c>
      <c r="CQ65" s="94" t="e">
        <v>#VALUE!</v>
      </c>
      <c r="CR65" s="94" t="e">
        <v>#VALUE!</v>
      </c>
      <c r="CS65" s="91" t="e">
        <f t="shared" si="67"/>
        <v>#REF!</v>
      </c>
      <c r="CT65" s="40" t="e">
        <f t="shared" si="60"/>
        <v>#VALUE!</v>
      </c>
      <c r="CU65" s="94" t="e">
        <v>#VALUE!</v>
      </c>
      <c r="CV65" s="94" t="e">
        <v>#VALUE!</v>
      </c>
      <c r="CW65" s="94" t="e">
        <v>#VALUE!</v>
      </c>
      <c r="CX65" s="94" t="e">
        <v>#VALUE!</v>
      </c>
      <c r="CZ65" s="40" t="e">
        <f t="shared" si="61"/>
        <v>#VALUE!</v>
      </c>
      <c r="DA65" s="94" t="e">
        <v>#VALUE!</v>
      </c>
      <c r="DB65" s="94" t="e">
        <v>#VALUE!</v>
      </c>
      <c r="DC65" s="94" t="e">
        <v>#VALUE!</v>
      </c>
      <c r="DD65" s="94" t="e">
        <v>#VALUE!</v>
      </c>
      <c r="DF65" s="40" t="e">
        <f t="shared" si="62"/>
        <v>#VALUE!</v>
      </c>
      <c r="DG65" s="94" t="e">
        <v>#VALUE!</v>
      </c>
      <c r="DH65" s="94" t="e">
        <v>#VALUE!</v>
      </c>
      <c r="DI65" s="94" t="e">
        <v>#VALUE!</v>
      </c>
      <c r="DJ65" s="94" t="e">
        <v>#VALUE!</v>
      </c>
      <c r="DK65" s="94"/>
      <c r="DL65" s="40" t="e">
        <f t="shared" si="63"/>
        <v>#VALUE!</v>
      </c>
      <c r="DM65" s="94" t="e">
        <v>#VALUE!</v>
      </c>
      <c r="DN65" s="94" t="e">
        <v>#VALUE!</v>
      </c>
      <c r="DO65" s="94" t="e">
        <v>#VALUE!</v>
      </c>
      <c r="DP65" s="94" t="e">
        <v>#VALUE!</v>
      </c>
    </row>
    <row r="66" spans="1:120" x14ac:dyDescent="0.2">
      <c r="A66" s="91" t="e">
        <f>name!#REF!</f>
        <v>#REF!</v>
      </c>
      <c r="B66" s="40" t="e">
        <f t="shared" si="44"/>
        <v>#VALUE!</v>
      </c>
      <c r="C66" s="94" t="e">
        <v>#VALUE!</v>
      </c>
      <c r="D66" s="94" t="e">
        <v>#VALUE!</v>
      </c>
      <c r="E66" s="94" t="e">
        <v>#VALUE!</v>
      </c>
      <c r="F66" s="94" t="e">
        <v>#VALUE!</v>
      </c>
      <c r="H66" s="40" t="e">
        <f t="shared" si="45"/>
        <v>#VALUE!</v>
      </c>
      <c r="I66" s="94" t="e">
        <v>#VALUE!</v>
      </c>
      <c r="J66" s="94" t="e">
        <v>#VALUE!</v>
      </c>
      <c r="K66" s="94" t="e">
        <v>#VALUE!</v>
      </c>
      <c r="L66" s="94" t="e">
        <v>#VALUE!</v>
      </c>
      <c r="N66" s="40" t="e">
        <f t="shared" si="46"/>
        <v>#VALUE!</v>
      </c>
      <c r="O66" s="94" t="e">
        <v>#VALUE!</v>
      </c>
      <c r="P66" s="94" t="e">
        <v>#VALUE!</v>
      </c>
      <c r="Q66" s="94" t="e">
        <v>#VALUE!</v>
      </c>
      <c r="R66" s="94" t="e">
        <v>#VALUE!</v>
      </c>
      <c r="S66" s="94"/>
      <c r="T66" s="40" t="e">
        <f t="shared" si="47"/>
        <v>#VALUE!</v>
      </c>
      <c r="U66" s="94" t="e">
        <v>#VALUE!</v>
      </c>
      <c r="V66" s="94" t="e">
        <v>#VALUE!</v>
      </c>
      <c r="W66" s="94" t="e">
        <v>#VALUE!</v>
      </c>
      <c r="X66" s="94" t="e">
        <v>#VALUE!</v>
      </c>
      <c r="Y66" s="91" t="e">
        <f t="shared" si="64"/>
        <v>#REF!</v>
      </c>
      <c r="Z66" s="40" t="e">
        <f t="shared" si="48"/>
        <v>#VALUE!</v>
      </c>
      <c r="AA66" s="94" t="e">
        <v>#VALUE!</v>
      </c>
      <c r="AB66" s="94" t="e">
        <v>#VALUE!</v>
      </c>
      <c r="AC66" s="94" t="e">
        <v>#VALUE!</v>
      </c>
      <c r="AD66" s="94" t="e">
        <v>#VALUE!</v>
      </c>
      <c r="AF66" s="40" t="e">
        <f t="shared" si="49"/>
        <v>#VALUE!</v>
      </c>
      <c r="AG66" s="94" t="e">
        <v>#VALUE!</v>
      </c>
      <c r="AH66" s="94" t="e">
        <v>#VALUE!</v>
      </c>
      <c r="AI66" s="94" t="e">
        <v>#VALUE!</v>
      </c>
      <c r="AJ66" s="94" t="e">
        <v>#VALUE!</v>
      </c>
      <c r="AL66" s="40" t="e">
        <f t="shared" si="50"/>
        <v>#VALUE!</v>
      </c>
      <c r="AM66" s="94" t="e">
        <v>#VALUE!</v>
      </c>
      <c r="AN66" s="94" t="e">
        <v>#VALUE!</v>
      </c>
      <c r="AO66" s="94" t="e">
        <v>#VALUE!</v>
      </c>
      <c r="AP66" s="94" t="e">
        <v>#VALUE!</v>
      </c>
      <c r="AQ66" s="94"/>
      <c r="AR66" s="40" t="e">
        <f t="shared" si="51"/>
        <v>#VALUE!</v>
      </c>
      <c r="AS66" s="94" t="e">
        <v>#VALUE!</v>
      </c>
      <c r="AT66" s="94" t="e">
        <v>#VALUE!</v>
      </c>
      <c r="AU66" s="94" t="e">
        <v>#VALUE!</v>
      </c>
      <c r="AV66" s="94" t="e">
        <v>#VALUE!</v>
      </c>
      <c r="AW66" s="91" t="e">
        <f t="shared" si="65"/>
        <v>#REF!</v>
      </c>
      <c r="AX66" s="40" t="e">
        <f t="shared" si="52"/>
        <v>#VALUE!</v>
      </c>
      <c r="AY66" s="94" t="e">
        <v>#VALUE!</v>
      </c>
      <c r="AZ66" s="94" t="e">
        <v>#VALUE!</v>
      </c>
      <c r="BA66" s="94" t="e">
        <v>#VALUE!</v>
      </c>
      <c r="BB66" s="94" t="e">
        <v>#VALUE!</v>
      </c>
      <c r="BD66" s="40" t="e">
        <f t="shared" si="53"/>
        <v>#VALUE!</v>
      </c>
      <c r="BE66" s="94" t="e">
        <v>#VALUE!</v>
      </c>
      <c r="BF66" s="94" t="e">
        <v>#VALUE!</v>
      </c>
      <c r="BG66" s="94" t="e">
        <v>#VALUE!</v>
      </c>
      <c r="BH66" s="94" t="e">
        <v>#VALUE!</v>
      </c>
      <c r="BJ66" s="40" t="e">
        <f t="shared" si="54"/>
        <v>#VALUE!</v>
      </c>
      <c r="BK66" s="94" t="e">
        <v>#VALUE!</v>
      </c>
      <c r="BL66" s="94" t="e">
        <v>#VALUE!</v>
      </c>
      <c r="BM66" s="94" t="e">
        <v>#VALUE!</v>
      </c>
      <c r="BN66" s="94" t="e">
        <v>#VALUE!</v>
      </c>
      <c r="BO66" s="94"/>
      <c r="BP66" s="40" t="e">
        <f t="shared" si="55"/>
        <v>#VALUE!</v>
      </c>
      <c r="BQ66" s="94" t="e">
        <v>#VALUE!</v>
      </c>
      <c r="BR66" s="94" t="e">
        <v>#VALUE!</v>
      </c>
      <c r="BS66" s="94" t="e">
        <v>#VALUE!</v>
      </c>
      <c r="BT66" s="94" t="e">
        <v>#VALUE!</v>
      </c>
      <c r="BU66" s="91" t="e">
        <f t="shared" si="66"/>
        <v>#REF!</v>
      </c>
      <c r="BV66" s="40" t="e">
        <f t="shared" si="56"/>
        <v>#VALUE!</v>
      </c>
      <c r="BW66" s="94" t="e">
        <v>#VALUE!</v>
      </c>
      <c r="BX66" s="94" t="e">
        <v>#VALUE!</v>
      </c>
      <c r="BY66" s="94" t="e">
        <v>#VALUE!</v>
      </c>
      <c r="BZ66" s="94" t="e">
        <v>#VALUE!</v>
      </c>
      <c r="CB66" s="40" t="e">
        <f t="shared" si="57"/>
        <v>#VALUE!</v>
      </c>
      <c r="CC66" s="94" t="e">
        <v>#VALUE!</v>
      </c>
      <c r="CD66" s="94" t="e">
        <v>#VALUE!</v>
      </c>
      <c r="CE66" s="94" t="e">
        <v>#VALUE!</v>
      </c>
      <c r="CF66" s="94" t="e">
        <v>#VALUE!</v>
      </c>
      <c r="CH66" s="40" t="e">
        <f t="shared" si="58"/>
        <v>#VALUE!</v>
      </c>
      <c r="CI66" s="94" t="e">
        <v>#VALUE!</v>
      </c>
      <c r="CJ66" s="94" t="e">
        <v>#VALUE!</v>
      </c>
      <c r="CK66" s="94" t="e">
        <v>#VALUE!</v>
      </c>
      <c r="CL66" s="94" t="e">
        <v>#VALUE!</v>
      </c>
      <c r="CM66" s="94"/>
      <c r="CN66" s="40" t="e">
        <f t="shared" si="59"/>
        <v>#VALUE!</v>
      </c>
      <c r="CO66" s="94" t="e">
        <v>#VALUE!</v>
      </c>
      <c r="CP66" s="94" t="e">
        <v>#VALUE!</v>
      </c>
      <c r="CQ66" s="94" t="e">
        <v>#VALUE!</v>
      </c>
      <c r="CR66" s="94" t="e">
        <v>#VALUE!</v>
      </c>
      <c r="CS66" s="91" t="e">
        <f t="shared" si="67"/>
        <v>#REF!</v>
      </c>
      <c r="CT66" s="40" t="e">
        <f t="shared" si="60"/>
        <v>#VALUE!</v>
      </c>
      <c r="CU66" s="94" t="e">
        <v>#VALUE!</v>
      </c>
      <c r="CV66" s="94" t="e">
        <v>#VALUE!</v>
      </c>
      <c r="CW66" s="94" t="e">
        <v>#VALUE!</v>
      </c>
      <c r="CX66" s="94" t="e">
        <v>#VALUE!</v>
      </c>
      <c r="CZ66" s="40" t="e">
        <f t="shared" si="61"/>
        <v>#VALUE!</v>
      </c>
      <c r="DA66" s="94" t="e">
        <v>#VALUE!</v>
      </c>
      <c r="DB66" s="94" t="e">
        <v>#VALUE!</v>
      </c>
      <c r="DC66" s="94" t="e">
        <v>#VALUE!</v>
      </c>
      <c r="DD66" s="94" t="e">
        <v>#VALUE!</v>
      </c>
      <c r="DF66" s="40" t="e">
        <f t="shared" si="62"/>
        <v>#VALUE!</v>
      </c>
      <c r="DG66" s="94" t="e">
        <v>#VALUE!</v>
      </c>
      <c r="DH66" s="94" t="e">
        <v>#VALUE!</v>
      </c>
      <c r="DI66" s="94" t="e">
        <v>#VALUE!</v>
      </c>
      <c r="DJ66" s="94" t="e">
        <v>#VALUE!</v>
      </c>
      <c r="DK66" s="94"/>
      <c r="DL66" s="40" t="e">
        <f t="shared" si="63"/>
        <v>#VALUE!</v>
      </c>
      <c r="DM66" s="94" t="e">
        <v>#VALUE!</v>
      </c>
      <c r="DN66" s="94" t="e">
        <v>#VALUE!</v>
      </c>
      <c r="DO66" s="94" t="e">
        <v>#VALUE!</v>
      </c>
      <c r="DP66" s="94" t="e">
        <v>#VALUE!</v>
      </c>
    </row>
    <row r="67" spans="1:120" x14ac:dyDescent="0.2">
      <c r="A67" s="91" t="e">
        <f>name!#REF!</f>
        <v>#REF!</v>
      </c>
      <c r="B67" s="40" t="e">
        <f t="shared" si="44"/>
        <v>#VALUE!</v>
      </c>
      <c r="C67" s="94" t="e">
        <v>#VALUE!</v>
      </c>
      <c r="D67" s="94" t="e">
        <v>#VALUE!</v>
      </c>
      <c r="E67" s="94" t="e">
        <v>#VALUE!</v>
      </c>
      <c r="F67" s="94" t="e">
        <v>#VALUE!</v>
      </c>
      <c r="H67" s="40" t="e">
        <f t="shared" si="45"/>
        <v>#VALUE!</v>
      </c>
      <c r="I67" s="94" t="e">
        <v>#VALUE!</v>
      </c>
      <c r="J67" s="94" t="e">
        <v>#VALUE!</v>
      </c>
      <c r="K67" s="94" t="e">
        <v>#VALUE!</v>
      </c>
      <c r="L67" s="94" t="e">
        <v>#VALUE!</v>
      </c>
      <c r="N67" s="40" t="e">
        <f t="shared" si="46"/>
        <v>#VALUE!</v>
      </c>
      <c r="O67" s="94" t="e">
        <v>#VALUE!</v>
      </c>
      <c r="P67" s="94" t="e">
        <v>#VALUE!</v>
      </c>
      <c r="Q67" s="94" t="e">
        <v>#VALUE!</v>
      </c>
      <c r="R67" s="94" t="e">
        <v>#VALUE!</v>
      </c>
      <c r="S67" s="94"/>
      <c r="T67" s="40" t="e">
        <f t="shared" si="47"/>
        <v>#VALUE!</v>
      </c>
      <c r="U67" s="94" t="e">
        <v>#VALUE!</v>
      </c>
      <c r="V67" s="94" t="e">
        <v>#VALUE!</v>
      </c>
      <c r="W67" s="94" t="e">
        <v>#VALUE!</v>
      </c>
      <c r="X67" s="94" t="e">
        <v>#VALUE!</v>
      </c>
      <c r="Y67" s="91" t="e">
        <f t="shared" si="64"/>
        <v>#REF!</v>
      </c>
      <c r="Z67" s="40" t="e">
        <f t="shared" si="48"/>
        <v>#VALUE!</v>
      </c>
      <c r="AA67" s="94" t="e">
        <v>#VALUE!</v>
      </c>
      <c r="AB67" s="94" t="e">
        <v>#VALUE!</v>
      </c>
      <c r="AC67" s="94" t="e">
        <v>#VALUE!</v>
      </c>
      <c r="AD67" s="94" t="e">
        <v>#VALUE!</v>
      </c>
      <c r="AF67" s="40" t="e">
        <f t="shared" si="49"/>
        <v>#VALUE!</v>
      </c>
      <c r="AG67" s="94" t="e">
        <v>#VALUE!</v>
      </c>
      <c r="AH67" s="94" t="e">
        <v>#VALUE!</v>
      </c>
      <c r="AI67" s="94" t="e">
        <v>#VALUE!</v>
      </c>
      <c r="AJ67" s="94" t="e">
        <v>#VALUE!</v>
      </c>
      <c r="AL67" s="40" t="e">
        <f t="shared" si="50"/>
        <v>#VALUE!</v>
      </c>
      <c r="AM67" s="94" t="e">
        <v>#VALUE!</v>
      </c>
      <c r="AN67" s="94" t="e">
        <v>#VALUE!</v>
      </c>
      <c r="AO67" s="94" t="e">
        <v>#VALUE!</v>
      </c>
      <c r="AP67" s="94" t="e">
        <v>#VALUE!</v>
      </c>
      <c r="AQ67" s="94"/>
      <c r="AR67" s="40" t="e">
        <f t="shared" si="51"/>
        <v>#VALUE!</v>
      </c>
      <c r="AS67" s="94" t="e">
        <v>#VALUE!</v>
      </c>
      <c r="AT67" s="94" t="e">
        <v>#VALUE!</v>
      </c>
      <c r="AU67" s="94" t="e">
        <v>#VALUE!</v>
      </c>
      <c r="AV67" s="94" t="e">
        <v>#VALUE!</v>
      </c>
      <c r="AW67" s="91" t="e">
        <f t="shared" si="65"/>
        <v>#REF!</v>
      </c>
      <c r="AX67" s="40" t="e">
        <f t="shared" si="52"/>
        <v>#VALUE!</v>
      </c>
      <c r="AY67" s="94" t="e">
        <v>#VALUE!</v>
      </c>
      <c r="AZ67" s="94" t="e">
        <v>#VALUE!</v>
      </c>
      <c r="BA67" s="94" t="e">
        <v>#VALUE!</v>
      </c>
      <c r="BB67" s="94" t="e">
        <v>#VALUE!</v>
      </c>
      <c r="BD67" s="40" t="e">
        <f t="shared" si="53"/>
        <v>#VALUE!</v>
      </c>
      <c r="BE67" s="94" t="e">
        <v>#VALUE!</v>
      </c>
      <c r="BF67" s="94" t="e">
        <v>#VALUE!</v>
      </c>
      <c r="BG67" s="94" t="e">
        <v>#VALUE!</v>
      </c>
      <c r="BH67" s="94" t="e">
        <v>#VALUE!</v>
      </c>
      <c r="BJ67" s="40" t="e">
        <f t="shared" si="54"/>
        <v>#VALUE!</v>
      </c>
      <c r="BK67" s="94" t="e">
        <v>#VALUE!</v>
      </c>
      <c r="BL67" s="94" t="e">
        <v>#VALUE!</v>
      </c>
      <c r="BM67" s="94" t="e">
        <v>#VALUE!</v>
      </c>
      <c r="BN67" s="94" t="e">
        <v>#VALUE!</v>
      </c>
      <c r="BO67" s="94"/>
      <c r="BP67" s="40" t="e">
        <f t="shared" si="55"/>
        <v>#VALUE!</v>
      </c>
      <c r="BQ67" s="94" t="e">
        <v>#VALUE!</v>
      </c>
      <c r="BR67" s="94" t="e">
        <v>#VALUE!</v>
      </c>
      <c r="BS67" s="94" t="e">
        <v>#VALUE!</v>
      </c>
      <c r="BT67" s="94" t="e">
        <v>#VALUE!</v>
      </c>
      <c r="BU67" s="91" t="e">
        <f t="shared" si="66"/>
        <v>#REF!</v>
      </c>
      <c r="BV67" s="40" t="e">
        <f t="shared" si="56"/>
        <v>#VALUE!</v>
      </c>
      <c r="BW67" s="94" t="e">
        <v>#VALUE!</v>
      </c>
      <c r="BX67" s="94" t="e">
        <v>#VALUE!</v>
      </c>
      <c r="BY67" s="94" t="e">
        <v>#VALUE!</v>
      </c>
      <c r="BZ67" s="94" t="e">
        <v>#VALUE!</v>
      </c>
      <c r="CB67" s="40" t="e">
        <f t="shared" si="57"/>
        <v>#VALUE!</v>
      </c>
      <c r="CC67" s="94" t="e">
        <v>#VALUE!</v>
      </c>
      <c r="CD67" s="94" t="e">
        <v>#VALUE!</v>
      </c>
      <c r="CE67" s="94" t="e">
        <v>#VALUE!</v>
      </c>
      <c r="CF67" s="94" t="e">
        <v>#VALUE!</v>
      </c>
      <c r="CH67" s="40" t="e">
        <f t="shared" si="58"/>
        <v>#VALUE!</v>
      </c>
      <c r="CI67" s="94" t="e">
        <v>#VALUE!</v>
      </c>
      <c r="CJ67" s="94" t="e">
        <v>#VALUE!</v>
      </c>
      <c r="CK67" s="94" t="e">
        <v>#VALUE!</v>
      </c>
      <c r="CL67" s="94" t="e">
        <v>#VALUE!</v>
      </c>
      <c r="CM67" s="94"/>
      <c r="CN67" s="40" t="e">
        <f t="shared" si="59"/>
        <v>#VALUE!</v>
      </c>
      <c r="CO67" s="94" t="e">
        <v>#VALUE!</v>
      </c>
      <c r="CP67" s="94" t="e">
        <v>#VALUE!</v>
      </c>
      <c r="CQ67" s="94" t="e">
        <v>#VALUE!</v>
      </c>
      <c r="CR67" s="94" t="e">
        <v>#VALUE!</v>
      </c>
      <c r="CS67" s="91" t="e">
        <f t="shared" si="67"/>
        <v>#REF!</v>
      </c>
      <c r="CT67" s="40" t="e">
        <f t="shared" si="60"/>
        <v>#VALUE!</v>
      </c>
      <c r="CU67" s="94" t="e">
        <v>#VALUE!</v>
      </c>
      <c r="CV67" s="94" t="e">
        <v>#VALUE!</v>
      </c>
      <c r="CW67" s="94" t="e">
        <v>#VALUE!</v>
      </c>
      <c r="CX67" s="94" t="e">
        <v>#VALUE!</v>
      </c>
      <c r="CZ67" s="40" t="e">
        <f t="shared" si="61"/>
        <v>#VALUE!</v>
      </c>
      <c r="DA67" s="94" t="e">
        <v>#VALUE!</v>
      </c>
      <c r="DB67" s="94" t="e">
        <v>#VALUE!</v>
      </c>
      <c r="DC67" s="94" t="e">
        <v>#VALUE!</v>
      </c>
      <c r="DD67" s="94" t="e">
        <v>#VALUE!</v>
      </c>
      <c r="DF67" s="40" t="e">
        <f t="shared" si="62"/>
        <v>#VALUE!</v>
      </c>
      <c r="DG67" s="94" t="e">
        <v>#VALUE!</v>
      </c>
      <c r="DH67" s="94" t="e">
        <v>#VALUE!</v>
      </c>
      <c r="DI67" s="94" t="e">
        <v>#VALUE!</v>
      </c>
      <c r="DJ67" s="94" t="e">
        <v>#VALUE!</v>
      </c>
      <c r="DK67" s="94"/>
      <c r="DL67" s="40" t="e">
        <f t="shared" si="63"/>
        <v>#VALUE!</v>
      </c>
      <c r="DM67" s="94" t="e">
        <v>#VALUE!</v>
      </c>
      <c r="DN67" s="94" t="e">
        <v>#VALUE!</v>
      </c>
      <c r="DO67" s="94" t="e">
        <v>#VALUE!</v>
      </c>
      <c r="DP67" s="94" t="e">
        <v>#VALUE!</v>
      </c>
    </row>
    <row r="68" spans="1:120" x14ac:dyDescent="0.2">
      <c r="A68" s="91" t="e">
        <f>name!#REF!</f>
        <v>#REF!</v>
      </c>
      <c r="B68" s="40" t="e">
        <f t="shared" si="44"/>
        <v>#VALUE!</v>
      </c>
      <c r="C68" s="94" t="e">
        <v>#VALUE!</v>
      </c>
      <c r="D68" s="94" t="e">
        <v>#VALUE!</v>
      </c>
      <c r="E68" s="94" t="e">
        <v>#VALUE!</v>
      </c>
      <c r="F68" s="94" t="e">
        <v>#VALUE!</v>
      </c>
      <c r="H68" s="40" t="e">
        <f t="shared" si="45"/>
        <v>#VALUE!</v>
      </c>
      <c r="I68" s="94" t="e">
        <v>#VALUE!</v>
      </c>
      <c r="J68" s="94" t="e">
        <v>#VALUE!</v>
      </c>
      <c r="K68" s="94" t="e">
        <v>#VALUE!</v>
      </c>
      <c r="L68" s="94" t="e">
        <v>#VALUE!</v>
      </c>
      <c r="N68" s="40" t="e">
        <f t="shared" si="46"/>
        <v>#VALUE!</v>
      </c>
      <c r="O68" s="94" t="e">
        <v>#VALUE!</v>
      </c>
      <c r="P68" s="94" t="e">
        <v>#VALUE!</v>
      </c>
      <c r="Q68" s="94" t="e">
        <v>#VALUE!</v>
      </c>
      <c r="R68" s="94" t="e">
        <v>#VALUE!</v>
      </c>
      <c r="S68" s="94"/>
      <c r="T68" s="40" t="e">
        <f t="shared" si="47"/>
        <v>#VALUE!</v>
      </c>
      <c r="U68" s="94" t="e">
        <v>#VALUE!</v>
      </c>
      <c r="V68" s="94" t="e">
        <v>#VALUE!</v>
      </c>
      <c r="W68" s="94" t="e">
        <v>#VALUE!</v>
      </c>
      <c r="X68" s="94" t="e">
        <v>#VALUE!</v>
      </c>
      <c r="Y68" s="91" t="e">
        <f t="shared" si="64"/>
        <v>#REF!</v>
      </c>
      <c r="Z68" s="40" t="e">
        <f t="shared" si="48"/>
        <v>#VALUE!</v>
      </c>
      <c r="AA68" s="94" t="e">
        <v>#VALUE!</v>
      </c>
      <c r="AB68" s="94" t="e">
        <v>#VALUE!</v>
      </c>
      <c r="AC68" s="94" t="e">
        <v>#VALUE!</v>
      </c>
      <c r="AD68" s="94" t="e">
        <v>#VALUE!</v>
      </c>
      <c r="AF68" s="40" t="e">
        <f t="shared" si="49"/>
        <v>#VALUE!</v>
      </c>
      <c r="AG68" s="94" t="e">
        <v>#VALUE!</v>
      </c>
      <c r="AH68" s="94" t="e">
        <v>#VALUE!</v>
      </c>
      <c r="AI68" s="94" t="e">
        <v>#VALUE!</v>
      </c>
      <c r="AJ68" s="94" t="e">
        <v>#VALUE!</v>
      </c>
      <c r="AL68" s="40" t="e">
        <f t="shared" si="50"/>
        <v>#VALUE!</v>
      </c>
      <c r="AM68" s="94" t="e">
        <v>#VALUE!</v>
      </c>
      <c r="AN68" s="94" t="e">
        <v>#VALUE!</v>
      </c>
      <c r="AO68" s="94" t="e">
        <v>#VALUE!</v>
      </c>
      <c r="AP68" s="94" t="e">
        <v>#VALUE!</v>
      </c>
      <c r="AQ68" s="94"/>
      <c r="AR68" s="40" t="e">
        <f t="shared" si="51"/>
        <v>#VALUE!</v>
      </c>
      <c r="AS68" s="94" t="e">
        <v>#VALUE!</v>
      </c>
      <c r="AT68" s="94" t="e">
        <v>#VALUE!</v>
      </c>
      <c r="AU68" s="94" t="e">
        <v>#VALUE!</v>
      </c>
      <c r="AV68" s="94" t="e">
        <v>#VALUE!</v>
      </c>
      <c r="AW68" s="91" t="e">
        <f t="shared" si="65"/>
        <v>#REF!</v>
      </c>
      <c r="AX68" s="40" t="e">
        <f t="shared" si="52"/>
        <v>#VALUE!</v>
      </c>
      <c r="AY68" s="94" t="e">
        <v>#VALUE!</v>
      </c>
      <c r="AZ68" s="94" t="e">
        <v>#VALUE!</v>
      </c>
      <c r="BA68" s="94" t="e">
        <v>#VALUE!</v>
      </c>
      <c r="BB68" s="94" t="e">
        <v>#VALUE!</v>
      </c>
      <c r="BD68" s="40" t="e">
        <f t="shared" si="53"/>
        <v>#VALUE!</v>
      </c>
      <c r="BE68" s="94" t="e">
        <v>#VALUE!</v>
      </c>
      <c r="BF68" s="94" t="e">
        <v>#VALUE!</v>
      </c>
      <c r="BG68" s="94" t="e">
        <v>#VALUE!</v>
      </c>
      <c r="BH68" s="94" t="e">
        <v>#VALUE!</v>
      </c>
      <c r="BJ68" s="40" t="e">
        <f t="shared" si="54"/>
        <v>#VALUE!</v>
      </c>
      <c r="BK68" s="94" t="e">
        <v>#VALUE!</v>
      </c>
      <c r="BL68" s="94" t="e">
        <v>#VALUE!</v>
      </c>
      <c r="BM68" s="94" t="e">
        <v>#VALUE!</v>
      </c>
      <c r="BN68" s="94" t="e">
        <v>#VALUE!</v>
      </c>
      <c r="BO68" s="94"/>
      <c r="BP68" s="40" t="e">
        <f t="shared" si="55"/>
        <v>#VALUE!</v>
      </c>
      <c r="BQ68" s="94" t="e">
        <v>#VALUE!</v>
      </c>
      <c r="BR68" s="94" t="e">
        <v>#VALUE!</v>
      </c>
      <c r="BS68" s="94" t="e">
        <v>#VALUE!</v>
      </c>
      <c r="BT68" s="94" t="e">
        <v>#VALUE!</v>
      </c>
      <c r="BU68" s="91" t="e">
        <f t="shared" si="66"/>
        <v>#REF!</v>
      </c>
      <c r="BV68" s="40" t="e">
        <f t="shared" si="56"/>
        <v>#VALUE!</v>
      </c>
      <c r="BW68" s="94" t="e">
        <v>#VALUE!</v>
      </c>
      <c r="BX68" s="94" t="e">
        <v>#VALUE!</v>
      </c>
      <c r="BY68" s="94" t="e">
        <v>#VALUE!</v>
      </c>
      <c r="BZ68" s="94" t="e">
        <v>#VALUE!</v>
      </c>
      <c r="CB68" s="40" t="e">
        <f t="shared" si="57"/>
        <v>#VALUE!</v>
      </c>
      <c r="CC68" s="94" t="e">
        <v>#VALUE!</v>
      </c>
      <c r="CD68" s="94" t="e">
        <v>#VALUE!</v>
      </c>
      <c r="CE68" s="94" t="e">
        <v>#VALUE!</v>
      </c>
      <c r="CF68" s="94" t="e">
        <v>#VALUE!</v>
      </c>
      <c r="CH68" s="40" t="e">
        <f t="shared" si="58"/>
        <v>#VALUE!</v>
      </c>
      <c r="CI68" s="94" t="e">
        <v>#VALUE!</v>
      </c>
      <c r="CJ68" s="94" t="e">
        <v>#VALUE!</v>
      </c>
      <c r="CK68" s="94" t="e">
        <v>#VALUE!</v>
      </c>
      <c r="CL68" s="94" t="e">
        <v>#VALUE!</v>
      </c>
      <c r="CM68" s="94"/>
      <c r="CN68" s="40" t="e">
        <f t="shared" si="59"/>
        <v>#VALUE!</v>
      </c>
      <c r="CO68" s="94" t="e">
        <v>#VALUE!</v>
      </c>
      <c r="CP68" s="94" t="e">
        <v>#VALUE!</v>
      </c>
      <c r="CQ68" s="94" t="e">
        <v>#VALUE!</v>
      </c>
      <c r="CR68" s="94" t="e">
        <v>#VALUE!</v>
      </c>
      <c r="CS68" s="91" t="e">
        <f t="shared" si="67"/>
        <v>#REF!</v>
      </c>
      <c r="CT68" s="40" t="e">
        <f t="shared" si="60"/>
        <v>#VALUE!</v>
      </c>
      <c r="CU68" s="94" t="e">
        <v>#VALUE!</v>
      </c>
      <c r="CV68" s="94" t="e">
        <v>#VALUE!</v>
      </c>
      <c r="CW68" s="94" t="e">
        <v>#VALUE!</v>
      </c>
      <c r="CX68" s="94" t="e">
        <v>#VALUE!</v>
      </c>
      <c r="CZ68" s="40" t="e">
        <f t="shared" si="61"/>
        <v>#VALUE!</v>
      </c>
      <c r="DA68" s="94" t="e">
        <v>#VALUE!</v>
      </c>
      <c r="DB68" s="94" t="e">
        <v>#VALUE!</v>
      </c>
      <c r="DC68" s="94" t="e">
        <v>#VALUE!</v>
      </c>
      <c r="DD68" s="94" t="e">
        <v>#VALUE!</v>
      </c>
      <c r="DF68" s="40" t="e">
        <f t="shared" si="62"/>
        <v>#VALUE!</v>
      </c>
      <c r="DG68" s="94" t="e">
        <v>#VALUE!</v>
      </c>
      <c r="DH68" s="94" t="e">
        <v>#VALUE!</v>
      </c>
      <c r="DI68" s="94" t="e">
        <v>#VALUE!</v>
      </c>
      <c r="DJ68" s="94" t="e">
        <v>#VALUE!</v>
      </c>
      <c r="DK68" s="94"/>
      <c r="DL68" s="40" t="e">
        <f t="shared" si="63"/>
        <v>#VALUE!</v>
      </c>
      <c r="DM68" s="94" t="e">
        <v>#VALUE!</v>
      </c>
      <c r="DN68" s="94" t="e">
        <v>#VALUE!</v>
      </c>
      <c r="DO68" s="94" t="e">
        <v>#VALUE!</v>
      </c>
      <c r="DP68" s="94" t="e">
        <v>#VALUE!</v>
      </c>
    </row>
    <row r="69" spans="1:120" x14ac:dyDescent="0.2">
      <c r="A69" s="91" t="e">
        <f>name!#REF!</f>
        <v>#REF!</v>
      </c>
      <c r="B69" s="40" t="e">
        <f t="shared" si="44"/>
        <v>#VALUE!</v>
      </c>
      <c r="C69" s="94" t="e">
        <v>#VALUE!</v>
      </c>
      <c r="D69" s="94" t="e">
        <v>#VALUE!</v>
      </c>
      <c r="E69" s="94" t="e">
        <v>#VALUE!</v>
      </c>
      <c r="F69" s="94" t="e">
        <v>#VALUE!</v>
      </c>
      <c r="H69" s="40" t="e">
        <f t="shared" si="45"/>
        <v>#VALUE!</v>
      </c>
      <c r="I69" s="94" t="e">
        <v>#VALUE!</v>
      </c>
      <c r="J69" s="94" t="e">
        <v>#VALUE!</v>
      </c>
      <c r="K69" s="94" t="e">
        <v>#VALUE!</v>
      </c>
      <c r="L69" s="94" t="e">
        <v>#VALUE!</v>
      </c>
      <c r="N69" s="40" t="e">
        <f t="shared" si="46"/>
        <v>#VALUE!</v>
      </c>
      <c r="O69" s="94" t="e">
        <v>#VALUE!</v>
      </c>
      <c r="P69" s="94" t="e">
        <v>#VALUE!</v>
      </c>
      <c r="Q69" s="94" t="e">
        <v>#VALUE!</v>
      </c>
      <c r="R69" s="94" t="e">
        <v>#VALUE!</v>
      </c>
      <c r="S69" s="94"/>
      <c r="T69" s="40" t="e">
        <f t="shared" si="47"/>
        <v>#VALUE!</v>
      </c>
      <c r="U69" s="94" t="e">
        <v>#VALUE!</v>
      </c>
      <c r="V69" s="94" t="e">
        <v>#VALUE!</v>
      </c>
      <c r="W69" s="94" t="e">
        <v>#VALUE!</v>
      </c>
      <c r="X69" s="94" t="e">
        <v>#VALUE!</v>
      </c>
      <c r="Y69" s="91" t="e">
        <f t="shared" si="64"/>
        <v>#REF!</v>
      </c>
      <c r="Z69" s="40" t="e">
        <f t="shared" si="48"/>
        <v>#VALUE!</v>
      </c>
      <c r="AA69" s="94" t="e">
        <v>#VALUE!</v>
      </c>
      <c r="AB69" s="94" t="e">
        <v>#VALUE!</v>
      </c>
      <c r="AC69" s="94" t="e">
        <v>#VALUE!</v>
      </c>
      <c r="AD69" s="94" t="e">
        <v>#VALUE!</v>
      </c>
      <c r="AF69" s="40" t="e">
        <f t="shared" si="49"/>
        <v>#VALUE!</v>
      </c>
      <c r="AG69" s="94" t="e">
        <v>#VALUE!</v>
      </c>
      <c r="AH69" s="94" t="e">
        <v>#VALUE!</v>
      </c>
      <c r="AI69" s="94" t="e">
        <v>#VALUE!</v>
      </c>
      <c r="AJ69" s="94" t="e">
        <v>#VALUE!</v>
      </c>
      <c r="AL69" s="40" t="e">
        <f t="shared" si="50"/>
        <v>#VALUE!</v>
      </c>
      <c r="AM69" s="94" t="e">
        <v>#VALUE!</v>
      </c>
      <c r="AN69" s="94" t="e">
        <v>#VALUE!</v>
      </c>
      <c r="AO69" s="94" t="e">
        <v>#VALUE!</v>
      </c>
      <c r="AP69" s="94" t="e">
        <v>#VALUE!</v>
      </c>
      <c r="AQ69" s="94"/>
      <c r="AR69" s="40" t="e">
        <f t="shared" si="51"/>
        <v>#VALUE!</v>
      </c>
      <c r="AS69" s="94" t="e">
        <v>#VALUE!</v>
      </c>
      <c r="AT69" s="94" t="e">
        <v>#VALUE!</v>
      </c>
      <c r="AU69" s="94" t="e">
        <v>#VALUE!</v>
      </c>
      <c r="AV69" s="94" t="e">
        <v>#VALUE!</v>
      </c>
      <c r="AW69" s="91" t="e">
        <f t="shared" si="65"/>
        <v>#REF!</v>
      </c>
      <c r="AX69" s="40" t="e">
        <f t="shared" si="52"/>
        <v>#VALUE!</v>
      </c>
      <c r="AY69" s="94" t="e">
        <v>#VALUE!</v>
      </c>
      <c r="AZ69" s="94" t="e">
        <v>#VALUE!</v>
      </c>
      <c r="BA69" s="94" t="e">
        <v>#VALUE!</v>
      </c>
      <c r="BB69" s="94" t="e">
        <v>#VALUE!</v>
      </c>
      <c r="BD69" s="40" t="e">
        <f t="shared" si="53"/>
        <v>#VALUE!</v>
      </c>
      <c r="BE69" s="94" t="e">
        <v>#VALUE!</v>
      </c>
      <c r="BF69" s="94" t="e">
        <v>#VALUE!</v>
      </c>
      <c r="BG69" s="94" t="e">
        <v>#VALUE!</v>
      </c>
      <c r="BH69" s="94" t="e">
        <v>#VALUE!</v>
      </c>
      <c r="BJ69" s="40" t="e">
        <f t="shared" si="54"/>
        <v>#VALUE!</v>
      </c>
      <c r="BK69" s="94" t="e">
        <v>#VALUE!</v>
      </c>
      <c r="BL69" s="94" t="e">
        <v>#VALUE!</v>
      </c>
      <c r="BM69" s="94" t="e">
        <v>#VALUE!</v>
      </c>
      <c r="BN69" s="94" t="e">
        <v>#VALUE!</v>
      </c>
      <c r="BO69" s="94"/>
      <c r="BP69" s="40" t="e">
        <f t="shared" si="55"/>
        <v>#VALUE!</v>
      </c>
      <c r="BQ69" s="94" t="e">
        <v>#VALUE!</v>
      </c>
      <c r="BR69" s="94" t="e">
        <v>#VALUE!</v>
      </c>
      <c r="BS69" s="94" t="e">
        <v>#VALUE!</v>
      </c>
      <c r="BT69" s="94" t="e">
        <v>#VALUE!</v>
      </c>
      <c r="BU69" s="91" t="e">
        <f t="shared" si="66"/>
        <v>#REF!</v>
      </c>
      <c r="BV69" s="40" t="e">
        <f t="shared" si="56"/>
        <v>#VALUE!</v>
      </c>
      <c r="BW69" s="94" t="e">
        <v>#VALUE!</v>
      </c>
      <c r="BX69" s="94" t="e">
        <v>#VALUE!</v>
      </c>
      <c r="BY69" s="94" t="e">
        <v>#VALUE!</v>
      </c>
      <c r="BZ69" s="94" t="e">
        <v>#VALUE!</v>
      </c>
      <c r="CB69" s="40" t="e">
        <f t="shared" si="57"/>
        <v>#VALUE!</v>
      </c>
      <c r="CC69" s="94" t="e">
        <v>#VALUE!</v>
      </c>
      <c r="CD69" s="94" t="e">
        <v>#VALUE!</v>
      </c>
      <c r="CE69" s="94" t="e">
        <v>#VALUE!</v>
      </c>
      <c r="CF69" s="94" t="e">
        <v>#VALUE!</v>
      </c>
      <c r="CH69" s="40" t="e">
        <f t="shared" si="58"/>
        <v>#VALUE!</v>
      </c>
      <c r="CI69" s="94" t="e">
        <v>#VALUE!</v>
      </c>
      <c r="CJ69" s="94" t="e">
        <v>#VALUE!</v>
      </c>
      <c r="CK69" s="94" t="e">
        <v>#VALUE!</v>
      </c>
      <c r="CL69" s="94" t="e">
        <v>#VALUE!</v>
      </c>
      <c r="CM69" s="94"/>
      <c r="CN69" s="40" t="e">
        <f t="shared" si="59"/>
        <v>#VALUE!</v>
      </c>
      <c r="CO69" s="94" t="e">
        <v>#VALUE!</v>
      </c>
      <c r="CP69" s="94" t="e">
        <v>#VALUE!</v>
      </c>
      <c r="CQ69" s="94" t="e">
        <v>#VALUE!</v>
      </c>
      <c r="CR69" s="94" t="e">
        <v>#VALUE!</v>
      </c>
      <c r="CS69" s="91" t="e">
        <f t="shared" si="67"/>
        <v>#REF!</v>
      </c>
      <c r="CT69" s="40" t="e">
        <f t="shared" si="60"/>
        <v>#VALUE!</v>
      </c>
      <c r="CU69" s="94" t="e">
        <v>#VALUE!</v>
      </c>
      <c r="CV69" s="94" t="e">
        <v>#VALUE!</v>
      </c>
      <c r="CW69" s="94" t="e">
        <v>#VALUE!</v>
      </c>
      <c r="CX69" s="94" t="e">
        <v>#VALUE!</v>
      </c>
      <c r="CZ69" s="40" t="e">
        <f t="shared" si="61"/>
        <v>#VALUE!</v>
      </c>
      <c r="DA69" s="94" t="e">
        <v>#VALUE!</v>
      </c>
      <c r="DB69" s="94" t="e">
        <v>#VALUE!</v>
      </c>
      <c r="DC69" s="94" t="e">
        <v>#VALUE!</v>
      </c>
      <c r="DD69" s="94" t="e">
        <v>#VALUE!</v>
      </c>
      <c r="DF69" s="40" t="e">
        <f t="shared" si="62"/>
        <v>#VALUE!</v>
      </c>
      <c r="DG69" s="94" t="e">
        <v>#VALUE!</v>
      </c>
      <c r="DH69" s="94" t="e">
        <v>#VALUE!</v>
      </c>
      <c r="DI69" s="94" t="e">
        <v>#VALUE!</v>
      </c>
      <c r="DJ69" s="94" t="e">
        <v>#VALUE!</v>
      </c>
      <c r="DK69" s="94"/>
      <c r="DL69" s="40" t="e">
        <f t="shared" si="63"/>
        <v>#VALUE!</v>
      </c>
      <c r="DM69" s="94" t="e">
        <v>#VALUE!</v>
      </c>
      <c r="DN69" s="94" t="e">
        <v>#VALUE!</v>
      </c>
      <c r="DO69" s="94" t="e">
        <v>#VALUE!</v>
      </c>
      <c r="DP69" s="94" t="e">
        <v>#VALUE!</v>
      </c>
    </row>
    <row r="70" spans="1:120" x14ac:dyDescent="0.2">
      <c r="A70" s="91" t="e">
        <f>name!#REF!</f>
        <v>#REF!</v>
      </c>
      <c r="B70" s="40" t="e">
        <f t="shared" si="44"/>
        <v>#VALUE!</v>
      </c>
      <c r="C70" s="94" t="e">
        <v>#VALUE!</v>
      </c>
      <c r="D70" s="94" t="e">
        <v>#VALUE!</v>
      </c>
      <c r="E70" s="94" t="e">
        <v>#VALUE!</v>
      </c>
      <c r="F70" s="94" t="e">
        <v>#VALUE!</v>
      </c>
      <c r="H70" s="40" t="e">
        <f t="shared" si="45"/>
        <v>#VALUE!</v>
      </c>
      <c r="I70" s="94" t="e">
        <v>#VALUE!</v>
      </c>
      <c r="J70" s="94" t="e">
        <v>#VALUE!</v>
      </c>
      <c r="K70" s="94" t="e">
        <v>#VALUE!</v>
      </c>
      <c r="L70" s="94" t="e">
        <v>#VALUE!</v>
      </c>
      <c r="N70" s="40" t="e">
        <f t="shared" si="46"/>
        <v>#VALUE!</v>
      </c>
      <c r="O70" s="94" t="e">
        <v>#VALUE!</v>
      </c>
      <c r="P70" s="94" t="e">
        <v>#VALUE!</v>
      </c>
      <c r="Q70" s="94" t="e">
        <v>#VALUE!</v>
      </c>
      <c r="R70" s="94" t="e">
        <v>#VALUE!</v>
      </c>
      <c r="S70" s="94"/>
      <c r="T70" s="40" t="e">
        <f t="shared" si="47"/>
        <v>#VALUE!</v>
      </c>
      <c r="U70" s="94" t="e">
        <v>#VALUE!</v>
      </c>
      <c r="V70" s="94" t="e">
        <v>#VALUE!</v>
      </c>
      <c r="W70" s="94" t="e">
        <v>#VALUE!</v>
      </c>
      <c r="X70" s="94" t="e">
        <v>#VALUE!</v>
      </c>
      <c r="Y70" s="91" t="e">
        <f t="shared" si="64"/>
        <v>#REF!</v>
      </c>
      <c r="Z70" s="40" t="e">
        <f t="shared" si="48"/>
        <v>#VALUE!</v>
      </c>
      <c r="AA70" s="94" t="e">
        <v>#VALUE!</v>
      </c>
      <c r="AB70" s="94" t="e">
        <v>#VALUE!</v>
      </c>
      <c r="AC70" s="94" t="e">
        <v>#VALUE!</v>
      </c>
      <c r="AD70" s="94" t="e">
        <v>#VALUE!</v>
      </c>
      <c r="AF70" s="40" t="e">
        <f t="shared" si="49"/>
        <v>#VALUE!</v>
      </c>
      <c r="AG70" s="94" t="e">
        <v>#VALUE!</v>
      </c>
      <c r="AH70" s="94" t="e">
        <v>#VALUE!</v>
      </c>
      <c r="AI70" s="94" t="e">
        <v>#VALUE!</v>
      </c>
      <c r="AJ70" s="94" t="e">
        <v>#VALUE!</v>
      </c>
      <c r="AL70" s="40" t="e">
        <f t="shared" si="50"/>
        <v>#VALUE!</v>
      </c>
      <c r="AM70" s="94" t="e">
        <v>#VALUE!</v>
      </c>
      <c r="AN70" s="94" t="e">
        <v>#VALUE!</v>
      </c>
      <c r="AO70" s="94" t="e">
        <v>#VALUE!</v>
      </c>
      <c r="AP70" s="94" t="e">
        <v>#VALUE!</v>
      </c>
      <c r="AQ70" s="94"/>
      <c r="AR70" s="40" t="e">
        <f t="shared" si="51"/>
        <v>#VALUE!</v>
      </c>
      <c r="AS70" s="94" t="e">
        <v>#VALUE!</v>
      </c>
      <c r="AT70" s="94" t="e">
        <v>#VALUE!</v>
      </c>
      <c r="AU70" s="94" t="e">
        <v>#VALUE!</v>
      </c>
      <c r="AV70" s="94" t="e">
        <v>#VALUE!</v>
      </c>
      <c r="AW70" s="91" t="e">
        <f t="shared" si="65"/>
        <v>#REF!</v>
      </c>
      <c r="AX70" s="40" t="e">
        <f t="shared" si="52"/>
        <v>#VALUE!</v>
      </c>
      <c r="AY70" s="94" t="e">
        <v>#VALUE!</v>
      </c>
      <c r="AZ70" s="94" t="e">
        <v>#VALUE!</v>
      </c>
      <c r="BA70" s="94" t="e">
        <v>#VALUE!</v>
      </c>
      <c r="BB70" s="94" t="e">
        <v>#VALUE!</v>
      </c>
      <c r="BD70" s="40" t="e">
        <f t="shared" si="53"/>
        <v>#VALUE!</v>
      </c>
      <c r="BE70" s="94" t="e">
        <v>#VALUE!</v>
      </c>
      <c r="BF70" s="94" t="e">
        <v>#VALUE!</v>
      </c>
      <c r="BG70" s="94" t="e">
        <v>#VALUE!</v>
      </c>
      <c r="BH70" s="94" t="e">
        <v>#VALUE!</v>
      </c>
      <c r="BJ70" s="40" t="e">
        <f t="shared" si="54"/>
        <v>#VALUE!</v>
      </c>
      <c r="BK70" s="94" t="e">
        <v>#VALUE!</v>
      </c>
      <c r="BL70" s="94" t="e">
        <v>#VALUE!</v>
      </c>
      <c r="BM70" s="94" t="e">
        <v>#VALUE!</v>
      </c>
      <c r="BN70" s="94" t="e">
        <v>#VALUE!</v>
      </c>
      <c r="BO70" s="94"/>
      <c r="BP70" s="40" t="e">
        <f t="shared" si="55"/>
        <v>#VALUE!</v>
      </c>
      <c r="BQ70" s="94" t="e">
        <v>#VALUE!</v>
      </c>
      <c r="BR70" s="94" t="e">
        <v>#VALUE!</v>
      </c>
      <c r="BS70" s="94" t="e">
        <v>#VALUE!</v>
      </c>
      <c r="BT70" s="94" t="e">
        <v>#VALUE!</v>
      </c>
      <c r="BU70" s="91" t="e">
        <f t="shared" si="66"/>
        <v>#REF!</v>
      </c>
      <c r="BV70" s="40" t="e">
        <f t="shared" si="56"/>
        <v>#VALUE!</v>
      </c>
      <c r="BW70" s="94" t="e">
        <v>#VALUE!</v>
      </c>
      <c r="BX70" s="94" t="e">
        <v>#VALUE!</v>
      </c>
      <c r="BY70" s="94" t="e">
        <v>#VALUE!</v>
      </c>
      <c r="BZ70" s="94" t="e">
        <v>#VALUE!</v>
      </c>
      <c r="CB70" s="40" t="e">
        <f t="shared" si="57"/>
        <v>#VALUE!</v>
      </c>
      <c r="CC70" s="94" t="e">
        <v>#VALUE!</v>
      </c>
      <c r="CD70" s="94" t="e">
        <v>#VALUE!</v>
      </c>
      <c r="CE70" s="94" t="e">
        <v>#VALUE!</v>
      </c>
      <c r="CF70" s="94" t="e">
        <v>#VALUE!</v>
      </c>
      <c r="CH70" s="40" t="e">
        <f t="shared" si="58"/>
        <v>#VALUE!</v>
      </c>
      <c r="CI70" s="94" t="e">
        <v>#VALUE!</v>
      </c>
      <c r="CJ70" s="94" t="e">
        <v>#VALUE!</v>
      </c>
      <c r="CK70" s="94" t="e">
        <v>#VALUE!</v>
      </c>
      <c r="CL70" s="94" t="e">
        <v>#VALUE!</v>
      </c>
      <c r="CM70" s="94"/>
      <c r="CN70" s="40" t="e">
        <f t="shared" si="59"/>
        <v>#VALUE!</v>
      </c>
      <c r="CO70" s="94" t="e">
        <v>#VALUE!</v>
      </c>
      <c r="CP70" s="94" t="e">
        <v>#VALUE!</v>
      </c>
      <c r="CQ70" s="94" t="e">
        <v>#VALUE!</v>
      </c>
      <c r="CR70" s="94" t="e">
        <v>#VALUE!</v>
      </c>
      <c r="CS70" s="91" t="e">
        <f t="shared" si="67"/>
        <v>#REF!</v>
      </c>
      <c r="CT70" s="40" t="e">
        <f t="shared" si="60"/>
        <v>#VALUE!</v>
      </c>
      <c r="CU70" s="94" t="e">
        <v>#VALUE!</v>
      </c>
      <c r="CV70" s="94" t="e">
        <v>#VALUE!</v>
      </c>
      <c r="CW70" s="94" t="e">
        <v>#VALUE!</v>
      </c>
      <c r="CX70" s="94" t="e">
        <v>#VALUE!</v>
      </c>
      <c r="CZ70" s="40" t="e">
        <f t="shared" si="61"/>
        <v>#VALUE!</v>
      </c>
      <c r="DA70" s="94" t="e">
        <v>#VALUE!</v>
      </c>
      <c r="DB70" s="94" t="e">
        <v>#VALUE!</v>
      </c>
      <c r="DC70" s="94" t="e">
        <v>#VALUE!</v>
      </c>
      <c r="DD70" s="94" t="e">
        <v>#VALUE!</v>
      </c>
      <c r="DF70" s="40" t="e">
        <f t="shared" si="62"/>
        <v>#VALUE!</v>
      </c>
      <c r="DG70" s="94" t="e">
        <v>#VALUE!</v>
      </c>
      <c r="DH70" s="94" t="e">
        <v>#VALUE!</v>
      </c>
      <c r="DI70" s="94" t="e">
        <v>#VALUE!</v>
      </c>
      <c r="DJ70" s="94" t="e">
        <v>#VALUE!</v>
      </c>
      <c r="DK70" s="94"/>
      <c r="DL70" s="40" t="e">
        <f t="shared" si="63"/>
        <v>#VALUE!</v>
      </c>
      <c r="DM70" s="94" t="e">
        <v>#VALUE!</v>
      </c>
      <c r="DN70" s="94" t="e">
        <v>#VALUE!</v>
      </c>
      <c r="DO70" s="94" t="e">
        <v>#VALUE!</v>
      </c>
      <c r="DP70" s="94" t="e">
        <v>#VALUE!</v>
      </c>
    </row>
    <row r="71" spans="1:120" x14ac:dyDescent="0.2">
      <c r="A71" s="91" t="e">
        <f>name!#REF!</f>
        <v>#REF!</v>
      </c>
      <c r="B71" s="40" t="e">
        <f t="shared" si="44"/>
        <v>#VALUE!</v>
      </c>
      <c r="C71" s="94" t="e">
        <v>#VALUE!</v>
      </c>
      <c r="D71" s="94" t="e">
        <v>#VALUE!</v>
      </c>
      <c r="E71" s="94" t="e">
        <v>#VALUE!</v>
      </c>
      <c r="F71" s="94" t="e">
        <v>#VALUE!</v>
      </c>
      <c r="H71" s="40" t="e">
        <f t="shared" si="45"/>
        <v>#VALUE!</v>
      </c>
      <c r="I71" s="94" t="e">
        <v>#VALUE!</v>
      </c>
      <c r="J71" s="94" t="e">
        <v>#VALUE!</v>
      </c>
      <c r="K71" s="94" t="e">
        <v>#VALUE!</v>
      </c>
      <c r="L71" s="94" t="e">
        <v>#VALUE!</v>
      </c>
      <c r="N71" s="40" t="e">
        <f t="shared" si="46"/>
        <v>#VALUE!</v>
      </c>
      <c r="O71" s="94" t="e">
        <v>#VALUE!</v>
      </c>
      <c r="P71" s="94" t="e">
        <v>#VALUE!</v>
      </c>
      <c r="Q71" s="94" t="e">
        <v>#VALUE!</v>
      </c>
      <c r="R71" s="94" t="e">
        <v>#VALUE!</v>
      </c>
      <c r="S71" s="94"/>
      <c r="T71" s="40" t="e">
        <f t="shared" si="47"/>
        <v>#VALUE!</v>
      </c>
      <c r="U71" s="94" t="e">
        <v>#VALUE!</v>
      </c>
      <c r="V71" s="94" t="e">
        <v>#VALUE!</v>
      </c>
      <c r="W71" s="94" t="e">
        <v>#VALUE!</v>
      </c>
      <c r="X71" s="94" t="e">
        <v>#VALUE!</v>
      </c>
      <c r="Y71" s="91" t="e">
        <f t="shared" si="64"/>
        <v>#REF!</v>
      </c>
      <c r="Z71" s="40" t="e">
        <f t="shared" si="48"/>
        <v>#VALUE!</v>
      </c>
      <c r="AA71" s="94" t="e">
        <v>#VALUE!</v>
      </c>
      <c r="AB71" s="94" t="e">
        <v>#VALUE!</v>
      </c>
      <c r="AC71" s="94" t="e">
        <v>#VALUE!</v>
      </c>
      <c r="AD71" s="94" t="e">
        <v>#VALUE!</v>
      </c>
      <c r="AF71" s="40" t="e">
        <f t="shared" si="49"/>
        <v>#VALUE!</v>
      </c>
      <c r="AG71" s="94" t="e">
        <v>#VALUE!</v>
      </c>
      <c r="AH71" s="94" t="e">
        <v>#VALUE!</v>
      </c>
      <c r="AI71" s="94" t="e">
        <v>#VALUE!</v>
      </c>
      <c r="AJ71" s="94" t="e">
        <v>#VALUE!</v>
      </c>
      <c r="AL71" s="40" t="e">
        <f t="shared" si="50"/>
        <v>#VALUE!</v>
      </c>
      <c r="AM71" s="94" t="e">
        <v>#VALUE!</v>
      </c>
      <c r="AN71" s="94" t="e">
        <v>#VALUE!</v>
      </c>
      <c r="AO71" s="94" t="e">
        <v>#VALUE!</v>
      </c>
      <c r="AP71" s="94" t="e">
        <v>#VALUE!</v>
      </c>
      <c r="AQ71" s="94"/>
      <c r="AR71" s="40" t="e">
        <f t="shared" si="51"/>
        <v>#VALUE!</v>
      </c>
      <c r="AS71" s="94" t="e">
        <v>#VALUE!</v>
      </c>
      <c r="AT71" s="94" t="e">
        <v>#VALUE!</v>
      </c>
      <c r="AU71" s="94" t="e">
        <v>#VALUE!</v>
      </c>
      <c r="AV71" s="94" t="e">
        <v>#VALUE!</v>
      </c>
      <c r="AW71" s="91" t="e">
        <f t="shared" si="65"/>
        <v>#REF!</v>
      </c>
      <c r="AX71" s="40" t="e">
        <f t="shared" si="52"/>
        <v>#VALUE!</v>
      </c>
      <c r="AY71" s="94" t="e">
        <v>#VALUE!</v>
      </c>
      <c r="AZ71" s="94" t="e">
        <v>#VALUE!</v>
      </c>
      <c r="BA71" s="94" t="e">
        <v>#VALUE!</v>
      </c>
      <c r="BB71" s="94" t="e">
        <v>#VALUE!</v>
      </c>
      <c r="BD71" s="40" t="e">
        <f t="shared" si="53"/>
        <v>#VALUE!</v>
      </c>
      <c r="BE71" s="94" t="e">
        <v>#VALUE!</v>
      </c>
      <c r="BF71" s="94" t="e">
        <v>#VALUE!</v>
      </c>
      <c r="BG71" s="94" t="e">
        <v>#VALUE!</v>
      </c>
      <c r="BH71" s="94" t="e">
        <v>#VALUE!</v>
      </c>
      <c r="BJ71" s="40" t="e">
        <f t="shared" si="54"/>
        <v>#VALUE!</v>
      </c>
      <c r="BK71" s="94" t="e">
        <v>#VALUE!</v>
      </c>
      <c r="BL71" s="94" t="e">
        <v>#VALUE!</v>
      </c>
      <c r="BM71" s="94" t="e">
        <v>#VALUE!</v>
      </c>
      <c r="BN71" s="94" t="e">
        <v>#VALUE!</v>
      </c>
      <c r="BO71" s="94"/>
      <c r="BP71" s="40" t="e">
        <f t="shared" si="55"/>
        <v>#VALUE!</v>
      </c>
      <c r="BQ71" s="94" t="e">
        <v>#VALUE!</v>
      </c>
      <c r="BR71" s="94" t="e">
        <v>#VALUE!</v>
      </c>
      <c r="BS71" s="94" t="e">
        <v>#VALUE!</v>
      </c>
      <c r="BT71" s="94" t="e">
        <v>#VALUE!</v>
      </c>
      <c r="BU71" s="91" t="e">
        <f t="shared" si="66"/>
        <v>#REF!</v>
      </c>
      <c r="BV71" s="40" t="e">
        <f t="shared" si="56"/>
        <v>#VALUE!</v>
      </c>
      <c r="BW71" s="94" t="e">
        <v>#VALUE!</v>
      </c>
      <c r="BX71" s="94" t="e">
        <v>#VALUE!</v>
      </c>
      <c r="BY71" s="94" t="e">
        <v>#VALUE!</v>
      </c>
      <c r="BZ71" s="94" t="e">
        <v>#VALUE!</v>
      </c>
      <c r="CB71" s="40" t="e">
        <f t="shared" si="57"/>
        <v>#VALUE!</v>
      </c>
      <c r="CC71" s="94" t="e">
        <v>#VALUE!</v>
      </c>
      <c r="CD71" s="94" t="e">
        <v>#VALUE!</v>
      </c>
      <c r="CE71" s="94" t="e">
        <v>#VALUE!</v>
      </c>
      <c r="CF71" s="94" t="e">
        <v>#VALUE!</v>
      </c>
      <c r="CH71" s="40" t="e">
        <f t="shared" si="58"/>
        <v>#VALUE!</v>
      </c>
      <c r="CI71" s="94" t="e">
        <v>#VALUE!</v>
      </c>
      <c r="CJ71" s="94" t="e">
        <v>#VALUE!</v>
      </c>
      <c r="CK71" s="94" t="e">
        <v>#VALUE!</v>
      </c>
      <c r="CL71" s="94" t="e">
        <v>#VALUE!</v>
      </c>
      <c r="CM71" s="94"/>
      <c r="CN71" s="40" t="e">
        <f t="shared" si="59"/>
        <v>#VALUE!</v>
      </c>
      <c r="CO71" s="94" t="e">
        <v>#VALUE!</v>
      </c>
      <c r="CP71" s="94" t="e">
        <v>#VALUE!</v>
      </c>
      <c r="CQ71" s="94" t="e">
        <v>#VALUE!</v>
      </c>
      <c r="CR71" s="94" t="e">
        <v>#VALUE!</v>
      </c>
      <c r="CS71" s="91" t="e">
        <f t="shared" si="67"/>
        <v>#REF!</v>
      </c>
      <c r="CT71" s="40" t="e">
        <f t="shared" si="60"/>
        <v>#VALUE!</v>
      </c>
      <c r="CU71" s="94" t="e">
        <v>#VALUE!</v>
      </c>
      <c r="CV71" s="94" t="e">
        <v>#VALUE!</v>
      </c>
      <c r="CW71" s="94" t="e">
        <v>#VALUE!</v>
      </c>
      <c r="CX71" s="94" t="e">
        <v>#VALUE!</v>
      </c>
      <c r="CZ71" s="40" t="e">
        <f t="shared" si="61"/>
        <v>#VALUE!</v>
      </c>
      <c r="DA71" s="94" t="e">
        <v>#VALUE!</v>
      </c>
      <c r="DB71" s="94" t="e">
        <v>#VALUE!</v>
      </c>
      <c r="DC71" s="94" t="e">
        <v>#VALUE!</v>
      </c>
      <c r="DD71" s="94" t="e">
        <v>#VALUE!</v>
      </c>
      <c r="DF71" s="40" t="e">
        <f t="shared" si="62"/>
        <v>#VALUE!</v>
      </c>
      <c r="DG71" s="94" t="e">
        <v>#VALUE!</v>
      </c>
      <c r="DH71" s="94" t="e">
        <v>#VALUE!</v>
      </c>
      <c r="DI71" s="94" t="e">
        <v>#VALUE!</v>
      </c>
      <c r="DJ71" s="94" t="e">
        <v>#VALUE!</v>
      </c>
      <c r="DK71" s="94"/>
      <c r="DL71" s="40" t="e">
        <f t="shared" si="63"/>
        <v>#VALUE!</v>
      </c>
      <c r="DM71" s="94" t="e">
        <v>#VALUE!</v>
      </c>
      <c r="DN71" s="94" t="e">
        <v>#VALUE!</v>
      </c>
      <c r="DO71" s="94" t="e">
        <v>#VALUE!</v>
      </c>
      <c r="DP71" s="94" t="e">
        <v>#VALUE!</v>
      </c>
    </row>
    <row r="72" spans="1:120" x14ac:dyDescent="0.2">
      <c r="A72" s="91" t="e">
        <f>name!#REF!</f>
        <v>#REF!</v>
      </c>
      <c r="B72" s="40" t="e">
        <f t="shared" si="44"/>
        <v>#VALUE!</v>
      </c>
      <c r="C72" s="94" t="e">
        <v>#VALUE!</v>
      </c>
      <c r="D72" s="94" t="e">
        <v>#VALUE!</v>
      </c>
      <c r="E72" s="94" t="e">
        <v>#VALUE!</v>
      </c>
      <c r="F72" s="94" t="e">
        <v>#VALUE!</v>
      </c>
      <c r="H72" s="40" t="e">
        <f t="shared" si="45"/>
        <v>#VALUE!</v>
      </c>
      <c r="I72" s="94" t="e">
        <v>#VALUE!</v>
      </c>
      <c r="J72" s="94" t="e">
        <v>#VALUE!</v>
      </c>
      <c r="K72" s="94" t="e">
        <v>#VALUE!</v>
      </c>
      <c r="L72" s="94" t="e">
        <v>#VALUE!</v>
      </c>
      <c r="N72" s="40" t="e">
        <f t="shared" si="46"/>
        <v>#VALUE!</v>
      </c>
      <c r="O72" s="94" t="e">
        <v>#VALUE!</v>
      </c>
      <c r="P72" s="94" t="e">
        <v>#VALUE!</v>
      </c>
      <c r="Q72" s="94" t="e">
        <v>#VALUE!</v>
      </c>
      <c r="R72" s="94" t="e">
        <v>#VALUE!</v>
      </c>
      <c r="S72" s="94"/>
      <c r="T72" s="40" t="e">
        <f t="shared" si="47"/>
        <v>#VALUE!</v>
      </c>
      <c r="U72" s="94" t="e">
        <v>#VALUE!</v>
      </c>
      <c r="V72" s="94" t="e">
        <v>#VALUE!</v>
      </c>
      <c r="W72" s="94" t="e">
        <v>#VALUE!</v>
      </c>
      <c r="X72" s="94" t="e">
        <v>#VALUE!</v>
      </c>
      <c r="Y72" s="91" t="e">
        <f t="shared" si="64"/>
        <v>#REF!</v>
      </c>
      <c r="Z72" s="40" t="e">
        <f t="shared" si="48"/>
        <v>#VALUE!</v>
      </c>
      <c r="AA72" s="94" t="e">
        <v>#VALUE!</v>
      </c>
      <c r="AB72" s="94" t="e">
        <v>#VALUE!</v>
      </c>
      <c r="AC72" s="94" t="e">
        <v>#VALUE!</v>
      </c>
      <c r="AD72" s="94" t="e">
        <v>#VALUE!</v>
      </c>
      <c r="AF72" s="40" t="e">
        <f t="shared" si="49"/>
        <v>#VALUE!</v>
      </c>
      <c r="AG72" s="94" t="e">
        <v>#VALUE!</v>
      </c>
      <c r="AH72" s="94" t="e">
        <v>#VALUE!</v>
      </c>
      <c r="AI72" s="94" t="e">
        <v>#VALUE!</v>
      </c>
      <c r="AJ72" s="94" t="e">
        <v>#VALUE!</v>
      </c>
      <c r="AL72" s="40" t="e">
        <f t="shared" si="50"/>
        <v>#VALUE!</v>
      </c>
      <c r="AM72" s="94" t="e">
        <v>#VALUE!</v>
      </c>
      <c r="AN72" s="94" t="e">
        <v>#VALUE!</v>
      </c>
      <c r="AO72" s="94" t="e">
        <v>#VALUE!</v>
      </c>
      <c r="AP72" s="94" t="e">
        <v>#VALUE!</v>
      </c>
      <c r="AQ72" s="94"/>
      <c r="AR72" s="40" t="e">
        <f t="shared" si="51"/>
        <v>#VALUE!</v>
      </c>
      <c r="AS72" s="94" t="e">
        <v>#VALUE!</v>
      </c>
      <c r="AT72" s="94" t="e">
        <v>#VALUE!</v>
      </c>
      <c r="AU72" s="94" t="e">
        <v>#VALUE!</v>
      </c>
      <c r="AV72" s="94" t="e">
        <v>#VALUE!</v>
      </c>
      <c r="AW72" s="91" t="e">
        <f t="shared" si="65"/>
        <v>#REF!</v>
      </c>
      <c r="AX72" s="40" t="e">
        <f t="shared" si="52"/>
        <v>#VALUE!</v>
      </c>
      <c r="AY72" s="94" t="e">
        <v>#VALUE!</v>
      </c>
      <c r="AZ72" s="94" t="e">
        <v>#VALUE!</v>
      </c>
      <c r="BA72" s="94" t="e">
        <v>#VALUE!</v>
      </c>
      <c r="BB72" s="94" t="e">
        <v>#VALUE!</v>
      </c>
      <c r="BD72" s="40" t="e">
        <f t="shared" si="53"/>
        <v>#VALUE!</v>
      </c>
      <c r="BE72" s="94" t="e">
        <v>#VALUE!</v>
      </c>
      <c r="BF72" s="94" t="e">
        <v>#VALUE!</v>
      </c>
      <c r="BG72" s="94" t="e">
        <v>#VALUE!</v>
      </c>
      <c r="BH72" s="94" t="e">
        <v>#VALUE!</v>
      </c>
      <c r="BJ72" s="40" t="e">
        <f t="shared" si="54"/>
        <v>#VALUE!</v>
      </c>
      <c r="BK72" s="94" t="e">
        <v>#VALUE!</v>
      </c>
      <c r="BL72" s="94" t="e">
        <v>#VALUE!</v>
      </c>
      <c r="BM72" s="94" t="e">
        <v>#VALUE!</v>
      </c>
      <c r="BN72" s="94" t="e">
        <v>#VALUE!</v>
      </c>
      <c r="BO72" s="94"/>
      <c r="BP72" s="40" t="e">
        <f t="shared" si="55"/>
        <v>#VALUE!</v>
      </c>
      <c r="BQ72" s="94" t="e">
        <v>#VALUE!</v>
      </c>
      <c r="BR72" s="94" t="e">
        <v>#VALUE!</v>
      </c>
      <c r="BS72" s="94" t="e">
        <v>#VALUE!</v>
      </c>
      <c r="BT72" s="94" t="e">
        <v>#VALUE!</v>
      </c>
      <c r="BU72" s="91" t="e">
        <f t="shared" si="66"/>
        <v>#REF!</v>
      </c>
      <c r="BV72" s="40" t="e">
        <f t="shared" si="56"/>
        <v>#VALUE!</v>
      </c>
      <c r="BW72" s="94" t="e">
        <v>#VALUE!</v>
      </c>
      <c r="BX72" s="94" t="e">
        <v>#VALUE!</v>
      </c>
      <c r="BY72" s="94" t="e">
        <v>#VALUE!</v>
      </c>
      <c r="BZ72" s="94" t="e">
        <v>#VALUE!</v>
      </c>
      <c r="CB72" s="40" t="e">
        <f t="shared" si="57"/>
        <v>#VALUE!</v>
      </c>
      <c r="CC72" s="94" t="e">
        <v>#VALUE!</v>
      </c>
      <c r="CD72" s="94" t="e">
        <v>#VALUE!</v>
      </c>
      <c r="CE72" s="94" t="e">
        <v>#VALUE!</v>
      </c>
      <c r="CF72" s="94" t="e">
        <v>#VALUE!</v>
      </c>
      <c r="CH72" s="40" t="e">
        <f t="shared" si="58"/>
        <v>#VALUE!</v>
      </c>
      <c r="CI72" s="94" t="e">
        <v>#VALUE!</v>
      </c>
      <c r="CJ72" s="94" t="e">
        <v>#VALUE!</v>
      </c>
      <c r="CK72" s="94" t="e">
        <v>#VALUE!</v>
      </c>
      <c r="CL72" s="94" t="e">
        <v>#VALUE!</v>
      </c>
      <c r="CM72" s="94"/>
      <c r="CN72" s="40" t="e">
        <f t="shared" si="59"/>
        <v>#VALUE!</v>
      </c>
      <c r="CO72" s="94" t="e">
        <v>#VALUE!</v>
      </c>
      <c r="CP72" s="94" t="e">
        <v>#VALUE!</v>
      </c>
      <c r="CQ72" s="94" t="e">
        <v>#VALUE!</v>
      </c>
      <c r="CR72" s="94" t="e">
        <v>#VALUE!</v>
      </c>
      <c r="CS72" s="91" t="e">
        <f t="shared" si="67"/>
        <v>#REF!</v>
      </c>
      <c r="CT72" s="40" t="e">
        <f t="shared" si="60"/>
        <v>#VALUE!</v>
      </c>
      <c r="CU72" s="94" t="e">
        <v>#VALUE!</v>
      </c>
      <c r="CV72" s="94" t="e">
        <v>#VALUE!</v>
      </c>
      <c r="CW72" s="94" t="e">
        <v>#VALUE!</v>
      </c>
      <c r="CX72" s="94" t="e">
        <v>#VALUE!</v>
      </c>
      <c r="CZ72" s="40" t="e">
        <f t="shared" si="61"/>
        <v>#VALUE!</v>
      </c>
      <c r="DA72" s="94" t="e">
        <v>#VALUE!</v>
      </c>
      <c r="DB72" s="94" t="e">
        <v>#VALUE!</v>
      </c>
      <c r="DC72" s="94" t="e">
        <v>#VALUE!</v>
      </c>
      <c r="DD72" s="94" t="e">
        <v>#VALUE!</v>
      </c>
      <c r="DF72" s="40" t="e">
        <f t="shared" si="62"/>
        <v>#VALUE!</v>
      </c>
      <c r="DG72" s="94" t="e">
        <v>#VALUE!</v>
      </c>
      <c r="DH72" s="94" t="e">
        <v>#VALUE!</v>
      </c>
      <c r="DI72" s="94" t="e">
        <v>#VALUE!</v>
      </c>
      <c r="DJ72" s="94" t="e">
        <v>#VALUE!</v>
      </c>
      <c r="DK72" s="94"/>
      <c r="DL72" s="40" t="e">
        <f t="shared" si="63"/>
        <v>#VALUE!</v>
      </c>
      <c r="DM72" s="94" t="e">
        <v>#VALUE!</v>
      </c>
      <c r="DN72" s="94" t="e">
        <v>#VALUE!</v>
      </c>
      <c r="DO72" s="94" t="e">
        <v>#VALUE!</v>
      </c>
      <c r="DP72" s="94" t="e">
        <v>#VALUE!</v>
      </c>
    </row>
    <row r="73" spans="1:120" x14ac:dyDescent="0.2">
      <c r="A73" s="91" t="e">
        <f>name!#REF!</f>
        <v>#REF!</v>
      </c>
      <c r="B73" s="40" t="e">
        <f t="shared" si="44"/>
        <v>#VALUE!</v>
      </c>
      <c r="C73" s="94" t="e">
        <v>#VALUE!</v>
      </c>
      <c r="D73" s="94" t="e">
        <v>#VALUE!</v>
      </c>
      <c r="E73" s="94" t="e">
        <v>#VALUE!</v>
      </c>
      <c r="F73" s="94" t="e">
        <v>#VALUE!</v>
      </c>
      <c r="H73" s="40" t="e">
        <f t="shared" si="45"/>
        <v>#VALUE!</v>
      </c>
      <c r="I73" s="94" t="e">
        <v>#VALUE!</v>
      </c>
      <c r="J73" s="94" t="e">
        <v>#VALUE!</v>
      </c>
      <c r="K73" s="94" t="e">
        <v>#VALUE!</v>
      </c>
      <c r="L73" s="94" t="e">
        <v>#VALUE!</v>
      </c>
      <c r="N73" s="40" t="e">
        <f t="shared" si="46"/>
        <v>#VALUE!</v>
      </c>
      <c r="O73" s="94" t="e">
        <v>#VALUE!</v>
      </c>
      <c r="P73" s="94" t="e">
        <v>#VALUE!</v>
      </c>
      <c r="Q73" s="94" t="e">
        <v>#VALUE!</v>
      </c>
      <c r="R73" s="94" t="e">
        <v>#VALUE!</v>
      </c>
      <c r="S73" s="94"/>
      <c r="T73" s="40" t="e">
        <f t="shared" si="47"/>
        <v>#VALUE!</v>
      </c>
      <c r="U73" s="94" t="e">
        <v>#VALUE!</v>
      </c>
      <c r="V73" s="94" t="e">
        <v>#VALUE!</v>
      </c>
      <c r="W73" s="94" t="e">
        <v>#VALUE!</v>
      </c>
      <c r="X73" s="94" t="e">
        <v>#VALUE!</v>
      </c>
      <c r="Y73" s="91" t="e">
        <f t="shared" si="64"/>
        <v>#REF!</v>
      </c>
      <c r="Z73" s="40" t="e">
        <f t="shared" si="48"/>
        <v>#VALUE!</v>
      </c>
      <c r="AA73" s="94" t="e">
        <v>#VALUE!</v>
      </c>
      <c r="AB73" s="94" t="e">
        <v>#VALUE!</v>
      </c>
      <c r="AC73" s="94" t="e">
        <v>#VALUE!</v>
      </c>
      <c r="AD73" s="94" t="e">
        <v>#VALUE!</v>
      </c>
      <c r="AF73" s="40" t="e">
        <f t="shared" si="49"/>
        <v>#VALUE!</v>
      </c>
      <c r="AG73" s="94" t="e">
        <v>#VALUE!</v>
      </c>
      <c r="AH73" s="94" t="e">
        <v>#VALUE!</v>
      </c>
      <c r="AI73" s="94" t="e">
        <v>#VALUE!</v>
      </c>
      <c r="AJ73" s="94" t="e">
        <v>#VALUE!</v>
      </c>
      <c r="AL73" s="40" t="e">
        <f t="shared" si="50"/>
        <v>#VALUE!</v>
      </c>
      <c r="AM73" s="94" t="e">
        <v>#VALUE!</v>
      </c>
      <c r="AN73" s="94" t="e">
        <v>#VALUE!</v>
      </c>
      <c r="AO73" s="94" t="e">
        <v>#VALUE!</v>
      </c>
      <c r="AP73" s="94" t="e">
        <v>#VALUE!</v>
      </c>
      <c r="AQ73" s="94"/>
      <c r="AR73" s="40" t="e">
        <f t="shared" si="51"/>
        <v>#VALUE!</v>
      </c>
      <c r="AS73" s="94" t="e">
        <v>#VALUE!</v>
      </c>
      <c r="AT73" s="94" t="e">
        <v>#VALUE!</v>
      </c>
      <c r="AU73" s="94" t="e">
        <v>#VALUE!</v>
      </c>
      <c r="AV73" s="94" t="e">
        <v>#VALUE!</v>
      </c>
      <c r="AW73" s="91" t="e">
        <f t="shared" si="65"/>
        <v>#REF!</v>
      </c>
      <c r="AX73" s="40" t="e">
        <f t="shared" si="52"/>
        <v>#VALUE!</v>
      </c>
      <c r="AY73" s="94" t="e">
        <v>#VALUE!</v>
      </c>
      <c r="AZ73" s="94" t="e">
        <v>#VALUE!</v>
      </c>
      <c r="BA73" s="94" t="e">
        <v>#VALUE!</v>
      </c>
      <c r="BB73" s="94" t="e">
        <v>#VALUE!</v>
      </c>
      <c r="BD73" s="40" t="e">
        <f t="shared" si="53"/>
        <v>#VALUE!</v>
      </c>
      <c r="BE73" s="94" t="e">
        <v>#VALUE!</v>
      </c>
      <c r="BF73" s="94" t="e">
        <v>#VALUE!</v>
      </c>
      <c r="BG73" s="94" t="e">
        <v>#VALUE!</v>
      </c>
      <c r="BH73" s="94" t="e">
        <v>#VALUE!</v>
      </c>
      <c r="BJ73" s="40" t="e">
        <f t="shared" si="54"/>
        <v>#VALUE!</v>
      </c>
      <c r="BK73" s="94" t="e">
        <v>#VALUE!</v>
      </c>
      <c r="BL73" s="94" t="e">
        <v>#VALUE!</v>
      </c>
      <c r="BM73" s="94" t="e">
        <v>#VALUE!</v>
      </c>
      <c r="BN73" s="94" t="e">
        <v>#VALUE!</v>
      </c>
      <c r="BO73" s="94"/>
      <c r="BP73" s="40" t="e">
        <f t="shared" si="55"/>
        <v>#VALUE!</v>
      </c>
      <c r="BQ73" s="94" t="e">
        <v>#VALUE!</v>
      </c>
      <c r="BR73" s="94" t="e">
        <v>#VALUE!</v>
      </c>
      <c r="BS73" s="94" t="e">
        <v>#VALUE!</v>
      </c>
      <c r="BT73" s="94" t="e">
        <v>#VALUE!</v>
      </c>
      <c r="BU73" s="91" t="e">
        <f t="shared" si="66"/>
        <v>#REF!</v>
      </c>
      <c r="BV73" s="40" t="e">
        <f t="shared" si="56"/>
        <v>#VALUE!</v>
      </c>
      <c r="BW73" s="94" t="e">
        <v>#VALUE!</v>
      </c>
      <c r="BX73" s="94" t="e">
        <v>#VALUE!</v>
      </c>
      <c r="BY73" s="94" t="e">
        <v>#VALUE!</v>
      </c>
      <c r="BZ73" s="94" t="e">
        <v>#VALUE!</v>
      </c>
      <c r="CB73" s="40" t="e">
        <f t="shared" si="57"/>
        <v>#VALUE!</v>
      </c>
      <c r="CC73" s="94" t="e">
        <v>#VALUE!</v>
      </c>
      <c r="CD73" s="94" t="e">
        <v>#VALUE!</v>
      </c>
      <c r="CE73" s="94" t="e">
        <v>#VALUE!</v>
      </c>
      <c r="CF73" s="94" t="e">
        <v>#VALUE!</v>
      </c>
      <c r="CH73" s="40" t="e">
        <f t="shared" si="58"/>
        <v>#VALUE!</v>
      </c>
      <c r="CI73" s="94" t="e">
        <v>#VALUE!</v>
      </c>
      <c r="CJ73" s="94" t="e">
        <v>#VALUE!</v>
      </c>
      <c r="CK73" s="94" t="e">
        <v>#VALUE!</v>
      </c>
      <c r="CL73" s="94" t="e">
        <v>#VALUE!</v>
      </c>
      <c r="CM73" s="94"/>
      <c r="CN73" s="40" t="e">
        <f t="shared" si="59"/>
        <v>#VALUE!</v>
      </c>
      <c r="CO73" s="94" t="e">
        <v>#VALUE!</v>
      </c>
      <c r="CP73" s="94" t="e">
        <v>#VALUE!</v>
      </c>
      <c r="CQ73" s="94" t="e">
        <v>#VALUE!</v>
      </c>
      <c r="CR73" s="94" t="e">
        <v>#VALUE!</v>
      </c>
      <c r="CS73" s="91" t="e">
        <f t="shared" si="67"/>
        <v>#REF!</v>
      </c>
      <c r="CT73" s="40" t="e">
        <f t="shared" si="60"/>
        <v>#VALUE!</v>
      </c>
      <c r="CU73" s="94" t="e">
        <v>#VALUE!</v>
      </c>
      <c r="CV73" s="94" t="e">
        <v>#VALUE!</v>
      </c>
      <c r="CW73" s="94" t="e">
        <v>#VALUE!</v>
      </c>
      <c r="CX73" s="94" t="e">
        <v>#VALUE!</v>
      </c>
      <c r="CZ73" s="40" t="e">
        <f t="shared" si="61"/>
        <v>#VALUE!</v>
      </c>
      <c r="DA73" s="94" t="e">
        <v>#VALUE!</v>
      </c>
      <c r="DB73" s="94" t="e">
        <v>#VALUE!</v>
      </c>
      <c r="DC73" s="94" t="e">
        <v>#VALUE!</v>
      </c>
      <c r="DD73" s="94" t="e">
        <v>#VALUE!</v>
      </c>
      <c r="DF73" s="40" t="e">
        <f t="shared" si="62"/>
        <v>#VALUE!</v>
      </c>
      <c r="DG73" s="94" t="e">
        <v>#VALUE!</v>
      </c>
      <c r="DH73" s="94" t="e">
        <v>#VALUE!</v>
      </c>
      <c r="DI73" s="94" t="e">
        <v>#VALUE!</v>
      </c>
      <c r="DJ73" s="94" t="e">
        <v>#VALUE!</v>
      </c>
      <c r="DK73" s="94"/>
      <c r="DL73" s="40" t="e">
        <f t="shared" si="63"/>
        <v>#VALUE!</v>
      </c>
      <c r="DM73" s="94" t="e">
        <v>#VALUE!</v>
      </c>
      <c r="DN73" s="94" t="e">
        <v>#VALUE!</v>
      </c>
      <c r="DO73" s="94" t="e">
        <v>#VALUE!</v>
      </c>
      <c r="DP73" s="94" t="e">
        <v>#VALUE!</v>
      </c>
    </row>
    <row r="74" spans="1:120" x14ac:dyDescent="0.2">
      <c r="A74" s="91" t="e">
        <f>name!#REF!</f>
        <v>#REF!</v>
      </c>
      <c r="B74" s="40" t="e">
        <f t="shared" si="44"/>
        <v>#VALUE!</v>
      </c>
      <c r="C74" s="94" t="e">
        <v>#VALUE!</v>
      </c>
      <c r="D74" s="94" t="e">
        <v>#VALUE!</v>
      </c>
      <c r="E74" s="94" t="e">
        <v>#VALUE!</v>
      </c>
      <c r="F74" s="94" t="e">
        <v>#VALUE!</v>
      </c>
      <c r="H74" s="40" t="e">
        <f t="shared" si="45"/>
        <v>#VALUE!</v>
      </c>
      <c r="I74" s="94" t="e">
        <v>#VALUE!</v>
      </c>
      <c r="J74" s="94" t="e">
        <v>#VALUE!</v>
      </c>
      <c r="K74" s="94" t="e">
        <v>#VALUE!</v>
      </c>
      <c r="L74" s="94" t="e">
        <v>#VALUE!</v>
      </c>
      <c r="N74" s="40" t="e">
        <f t="shared" si="46"/>
        <v>#VALUE!</v>
      </c>
      <c r="O74" s="94" t="e">
        <v>#VALUE!</v>
      </c>
      <c r="P74" s="94" t="e">
        <v>#VALUE!</v>
      </c>
      <c r="Q74" s="94" t="e">
        <v>#VALUE!</v>
      </c>
      <c r="R74" s="94" t="e">
        <v>#VALUE!</v>
      </c>
      <c r="S74" s="94"/>
      <c r="T74" s="40" t="e">
        <f t="shared" si="47"/>
        <v>#VALUE!</v>
      </c>
      <c r="U74" s="94" t="e">
        <v>#VALUE!</v>
      </c>
      <c r="V74" s="94" t="e">
        <v>#VALUE!</v>
      </c>
      <c r="W74" s="94" t="e">
        <v>#VALUE!</v>
      </c>
      <c r="X74" s="94" t="e">
        <v>#VALUE!</v>
      </c>
      <c r="Y74" s="91" t="e">
        <f t="shared" si="64"/>
        <v>#REF!</v>
      </c>
      <c r="Z74" s="40" t="e">
        <f t="shared" si="48"/>
        <v>#VALUE!</v>
      </c>
      <c r="AA74" s="94" t="e">
        <v>#VALUE!</v>
      </c>
      <c r="AB74" s="94" t="e">
        <v>#VALUE!</v>
      </c>
      <c r="AC74" s="94" t="e">
        <v>#VALUE!</v>
      </c>
      <c r="AD74" s="94" t="e">
        <v>#VALUE!</v>
      </c>
      <c r="AF74" s="40" t="e">
        <f t="shared" si="49"/>
        <v>#VALUE!</v>
      </c>
      <c r="AG74" s="94" t="e">
        <v>#VALUE!</v>
      </c>
      <c r="AH74" s="94" t="e">
        <v>#VALUE!</v>
      </c>
      <c r="AI74" s="94" t="e">
        <v>#VALUE!</v>
      </c>
      <c r="AJ74" s="94" t="e">
        <v>#VALUE!</v>
      </c>
      <c r="AL74" s="40" t="e">
        <f t="shared" si="50"/>
        <v>#VALUE!</v>
      </c>
      <c r="AM74" s="94" t="e">
        <v>#VALUE!</v>
      </c>
      <c r="AN74" s="94" t="e">
        <v>#VALUE!</v>
      </c>
      <c r="AO74" s="94" t="e">
        <v>#VALUE!</v>
      </c>
      <c r="AP74" s="94" t="e">
        <v>#VALUE!</v>
      </c>
      <c r="AQ74" s="94"/>
      <c r="AR74" s="40" t="e">
        <f t="shared" si="51"/>
        <v>#VALUE!</v>
      </c>
      <c r="AS74" s="94" t="e">
        <v>#VALUE!</v>
      </c>
      <c r="AT74" s="94" t="e">
        <v>#VALUE!</v>
      </c>
      <c r="AU74" s="94" t="e">
        <v>#VALUE!</v>
      </c>
      <c r="AV74" s="94" t="e">
        <v>#VALUE!</v>
      </c>
      <c r="AW74" s="91" t="e">
        <f t="shared" si="65"/>
        <v>#REF!</v>
      </c>
      <c r="AX74" s="40" t="e">
        <f t="shared" si="52"/>
        <v>#VALUE!</v>
      </c>
      <c r="AY74" s="94" t="e">
        <v>#VALUE!</v>
      </c>
      <c r="AZ74" s="94" t="e">
        <v>#VALUE!</v>
      </c>
      <c r="BA74" s="94" t="e">
        <v>#VALUE!</v>
      </c>
      <c r="BB74" s="94" t="e">
        <v>#VALUE!</v>
      </c>
      <c r="BD74" s="40" t="e">
        <f t="shared" si="53"/>
        <v>#VALUE!</v>
      </c>
      <c r="BE74" s="94" t="e">
        <v>#VALUE!</v>
      </c>
      <c r="BF74" s="94" t="e">
        <v>#VALUE!</v>
      </c>
      <c r="BG74" s="94" t="e">
        <v>#VALUE!</v>
      </c>
      <c r="BH74" s="94" t="e">
        <v>#VALUE!</v>
      </c>
      <c r="BJ74" s="40" t="e">
        <f t="shared" si="54"/>
        <v>#VALUE!</v>
      </c>
      <c r="BK74" s="94" t="e">
        <v>#VALUE!</v>
      </c>
      <c r="BL74" s="94" t="e">
        <v>#VALUE!</v>
      </c>
      <c r="BM74" s="94" t="e">
        <v>#VALUE!</v>
      </c>
      <c r="BN74" s="94" t="e">
        <v>#VALUE!</v>
      </c>
      <c r="BO74" s="94"/>
      <c r="BP74" s="40" t="e">
        <f t="shared" si="55"/>
        <v>#VALUE!</v>
      </c>
      <c r="BQ74" s="94" t="e">
        <v>#VALUE!</v>
      </c>
      <c r="BR74" s="94" t="e">
        <v>#VALUE!</v>
      </c>
      <c r="BS74" s="94" t="e">
        <v>#VALUE!</v>
      </c>
      <c r="BT74" s="94" t="e">
        <v>#VALUE!</v>
      </c>
      <c r="BU74" s="91" t="e">
        <f t="shared" si="66"/>
        <v>#REF!</v>
      </c>
      <c r="BV74" s="40" t="e">
        <f t="shared" si="56"/>
        <v>#VALUE!</v>
      </c>
      <c r="BW74" s="94" t="e">
        <v>#VALUE!</v>
      </c>
      <c r="BX74" s="94" t="e">
        <v>#VALUE!</v>
      </c>
      <c r="BY74" s="94" t="e">
        <v>#VALUE!</v>
      </c>
      <c r="BZ74" s="94" t="e">
        <v>#VALUE!</v>
      </c>
      <c r="CB74" s="40" t="e">
        <f t="shared" si="57"/>
        <v>#VALUE!</v>
      </c>
      <c r="CC74" s="94" t="e">
        <v>#VALUE!</v>
      </c>
      <c r="CD74" s="94" t="e">
        <v>#VALUE!</v>
      </c>
      <c r="CE74" s="94" t="e">
        <v>#VALUE!</v>
      </c>
      <c r="CF74" s="94" t="e">
        <v>#VALUE!</v>
      </c>
      <c r="CH74" s="40" t="e">
        <f t="shared" si="58"/>
        <v>#VALUE!</v>
      </c>
      <c r="CI74" s="94" t="e">
        <v>#VALUE!</v>
      </c>
      <c r="CJ74" s="94" t="e">
        <v>#VALUE!</v>
      </c>
      <c r="CK74" s="94" t="e">
        <v>#VALUE!</v>
      </c>
      <c r="CL74" s="94" t="e">
        <v>#VALUE!</v>
      </c>
      <c r="CM74" s="94"/>
      <c r="CN74" s="40" t="e">
        <f t="shared" si="59"/>
        <v>#VALUE!</v>
      </c>
      <c r="CO74" s="94" t="e">
        <v>#VALUE!</v>
      </c>
      <c r="CP74" s="94" t="e">
        <v>#VALUE!</v>
      </c>
      <c r="CQ74" s="94" t="e">
        <v>#VALUE!</v>
      </c>
      <c r="CR74" s="94" t="e">
        <v>#VALUE!</v>
      </c>
      <c r="CS74" s="91" t="e">
        <f t="shared" si="67"/>
        <v>#REF!</v>
      </c>
      <c r="CT74" s="40" t="e">
        <f t="shared" si="60"/>
        <v>#VALUE!</v>
      </c>
      <c r="CU74" s="94" t="e">
        <v>#VALUE!</v>
      </c>
      <c r="CV74" s="94" t="e">
        <v>#VALUE!</v>
      </c>
      <c r="CW74" s="94" t="e">
        <v>#VALUE!</v>
      </c>
      <c r="CX74" s="94" t="e">
        <v>#VALUE!</v>
      </c>
      <c r="CZ74" s="40" t="e">
        <f t="shared" si="61"/>
        <v>#VALUE!</v>
      </c>
      <c r="DA74" s="94" t="e">
        <v>#VALUE!</v>
      </c>
      <c r="DB74" s="94" t="e">
        <v>#VALUE!</v>
      </c>
      <c r="DC74" s="94" t="e">
        <v>#VALUE!</v>
      </c>
      <c r="DD74" s="94" t="e">
        <v>#VALUE!</v>
      </c>
      <c r="DF74" s="40" t="e">
        <f t="shared" si="62"/>
        <v>#VALUE!</v>
      </c>
      <c r="DG74" s="94" t="e">
        <v>#VALUE!</v>
      </c>
      <c r="DH74" s="94" t="e">
        <v>#VALUE!</v>
      </c>
      <c r="DI74" s="94" t="e">
        <v>#VALUE!</v>
      </c>
      <c r="DJ74" s="94" t="e">
        <v>#VALUE!</v>
      </c>
      <c r="DK74" s="94"/>
      <c r="DL74" s="40" t="e">
        <f t="shared" si="63"/>
        <v>#VALUE!</v>
      </c>
      <c r="DM74" s="94" t="e">
        <v>#VALUE!</v>
      </c>
      <c r="DN74" s="94" t="e">
        <v>#VALUE!</v>
      </c>
      <c r="DO74" s="94" t="e">
        <v>#VALUE!</v>
      </c>
      <c r="DP74" s="94" t="e">
        <v>#VALUE!</v>
      </c>
    </row>
    <row r="75" spans="1:120" x14ac:dyDescent="0.2">
      <c r="A75" s="91" t="e">
        <f>name!#REF!</f>
        <v>#REF!</v>
      </c>
      <c r="B75" s="40" t="e">
        <f t="shared" si="44"/>
        <v>#VALUE!</v>
      </c>
      <c r="C75" s="94" t="e">
        <v>#VALUE!</v>
      </c>
      <c r="D75" s="94" t="e">
        <v>#VALUE!</v>
      </c>
      <c r="E75" s="94" t="e">
        <v>#VALUE!</v>
      </c>
      <c r="F75" s="94" t="e">
        <v>#VALUE!</v>
      </c>
      <c r="H75" s="40" t="e">
        <f t="shared" si="45"/>
        <v>#VALUE!</v>
      </c>
      <c r="I75" s="94" t="e">
        <v>#VALUE!</v>
      </c>
      <c r="J75" s="94" t="e">
        <v>#VALUE!</v>
      </c>
      <c r="K75" s="94" t="e">
        <v>#VALUE!</v>
      </c>
      <c r="L75" s="94" t="e">
        <v>#VALUE!</v>
      </c>
      <c r="N75" s="40" t="e">
        <f t="shared" si="46"/>
        <v>#VALUE!</v>
      </c>
      <c r="O75" s="94" t="e">
        <v>#VALUE!</v>
      </c>
      <c r="P75" s="94" t="e">
        <v>#VALUE!</v>
      </c>
      <c r="Q75" s="94" t="e">
        <v>#VALUE!</v>
      </c>
      <c r="R75" s="94" t="e">
        <v>#VALUE!</v>
      </c>
      <c r="S75" s="94"/>
      <c r="T75" s="40" t="e">
        <f t="shared" si="47"/>
        <v>#VALUE!</v>
      </c>
      <c r="U75" s="94" t="e">
        <v>#VALUE!</v>
      </c>
      <c r="V75" s="94" t="e">
        <v>#VALUE!</v>
      </c>
      <c r="W75" s="94" t="e">
        <v>#VALUE!</v>
      </c>
      <c r="X75" s="94" t="e">
        <v>#VALUE!</v>
      </c>
      <c r="Y75" s="91" t="e">
        <f t="shared" si="64"/>
        <v>#REF!</v>
      </c>
      <c r="Z75" s="40" t="e">
        <f t="shared" si="48"/>
        <v>#VALUE!</v>
      </c>
      <c r="AA75" s="94" t="e">
        <v>#VALUE!</v>
      </c>
      <c r="AB75" s="94" t="e">
        <v>#VALUE!</v>
      </c>
      <c r="AC75" s="94" t="e">
        <v>#VALUE!</v>
      </c>
      <c r="AD75" s="94" t="e">
        <v>#VALUE!</v>
      </c>
      <c r="AF75" s="40" t="e">
        <f t="shared" si="49"/>
        <v>#VALUE!</v>
      </c>
      <c r="AG75" s="94" t="e">
        <v>#VALUE!</v>
      </c>
      <c r="AH75" s="94" t="e">
        <v>#VALUE!</v>
      </c>
      <c r="AI75" s="94" t="e">
        <v>#VALUE!</v>
      </c>
      <c r="AJ75" s="94" t="e">
        <v>#VALUE!</v>
      </c>
      <c r="AL75" s="40" t="e">
        <f t="shared" si="50"/>
        <v>#VALUE!</v>
      </c>
      <c r="AM75" s="94" t="e">
        <v>#VALUE!</v>
      </c>
      <c r="AN75" s="94" t="e">
        <v>#VALUE!</v>
      </c>
      <c r="AO75" s="94" t="e">
        <v>#VALUE!</v>
      </c>
      <c r="AP75" s="94" t="e">
        <v>#VALUE!</v>
      </c>
      <c r="AQ75" s="94"/>
      <c r="AR75" s="40" t="e">
        <f t="shared" si="51"/>
        <v>#VALUE!</v>
      </c>
      <c r="AS75" s="94" t="e">
        <v>#VALUE!</v>
      </c>
      <c r="AT75" s="94" t="e">
        <v>#VALUE!</v>
      </c>
      <c r="AU75" s="94" t="e">
        <v>#VALUE!</v>
      </c>
      <c r="AV75" s="94" t="e">
        <v>#VALUE!</v>
      </c>
      <c r="AW75" s="91" t="e">
        <f t="shared" si="65"/>
        <v>#REF!</v>
      </c>
      <c r="AX75" s="40" t="e">
        <f t="shared" si="52"/>
        <v>#VALUE!</v>
      </c>
      <c r="AY75" s="94" t="e">
        <v>#VALUE!</v>
      </c>
      <c r="AZ75" s="94" t="e">
        <v>#VALUE!</v>
      </c>
      <c r="BA75" s="94" t="e">
        <v>#VALUE!</v>
      </c>
      <c r="BB75" s="94" t="e">
        <v>#VALUE!</v>
      </c>
      <c r="BD75" s="40" t="e">
        <f t="shared" si="53"/>
        <v>#VALUE!</v>
      </c>
      <c r="BE75" s="94" t="e">
        <v>#VALUE!</v>
      </c>
      <c r="BF75" s="94" t="e">
        <v>#VALUE!</v>
      </c>
      <c r="BG75" s="94" t="e">
        <v>#VALUE!</v>
      </c>
      <c r="BH75" s="94" t="e">
        <v>#VALUE!</v>
      </c>
      <c r="BJ75" s="40" t="e">
        <f t="shared" si="54"/>
        <v>#VALUE!</v>
      </c>
      <c r="BK75" s="94" t="e">
        <v>#VALUE!</v>
      </c>
      <c r="BL75" s="94" t="e">
        <v>#VALUE!</v>
      </c>
      <c r="BM75" s="94" t="e">
        <v>#VALUE!</v>
      </c>
      <c r="BN75" s="94" t="e">
        <v>#VALUE!</v>
      </c>
      <c r="BO75" s="94"/>
      <c r="BP75" s="40" t="e">
        <f t="shared" si="55"/>
        <v>#VALUE!</v>
      </c>
      <c r="BQ75" s="94" t="e">
        <v>#VALUE!</v>
      </c>
      <c r="BR75" s="94" t="e">
        <v>#VALUE!</v>
      </c>
      <c r="BS75" s="94" t="e">
        <v>#VALUE!</v>
      </c>
      <c r="BT75" s="94" t="e">
        <v>#VALUE!</v>
      </c>
      <c r="BU75" s="91" t="e">
        <f t="shared" si="66"/>
        <v>#REF!</v>
      </c>
      <c r="BV75" s="40" t="e">
        <f t="shared" si="56"/>
        <v>#VALUE!</v>
      </c>
      <c r="BW75" s="94" t="e">
        <v>#VALUE!</v>
      </c>
      <c r="BX75" s="94" t="e">
        <v>#VALUE!</v>
      </c>
      <c r="BY75" s="94" t="e">
        <v>#VALUE!</v>
      </c>
      <c r="BZ75" s="94" t="e">
        <v>#VALUE!</v>
      </c>
      <c r="CB75" s="40" t="e">
        <f t="shared" si="57"/>
        <v>#VALUE!</v>
      </c>
      <c r="CC75" s="94" t="e">
        <v>#VALUE!</v>
      </c>
      <c r="CD75" s="94" t="e">
        <v>#VALUE!</v>
      </c>
      <c r="CE75" s="94" t="e">
        <v>#VALUE!</v>
      </c>
      <c r="CF75" s="94" t="e">
        <v>#VALUE!</v>
      </c>
      <c r="CH75" s="40" t="e">
        <f t="shared" si="58"/>
        <v>#VALUE!</v>
      </c>
      <c r="CI75" s="94" t="e">
        <v>#VALUE!</v>
      </c>
      <c r="CJ75" s="94" t="e">
        <v>#VALUE!</v>
      </c>
      <c r="CK75" s="94" t="e">
        <v>#VALUE!</v>
      </c>
      <c r="CL75" s="94" t="e">
        <v>#VALUE!</v>
      </c>
      <c r="CM75" s="94"/>
      <c r="CN75" s="40" t="e">
        <f t="shared" si="59"/>
        <v>#VALUE!</v>
      </c>
      <c r="CO75" s="94" t="e">
        <v>#VALUE!</v>
      </c>
      <c r="CP75" s="94" t="e">
        <v>#VALUE!</v>
      </c>
      <c r="CQ75" s="94" t="e">
        <v>#VALUE!</v>
      </c>
      <c r="CR75" s="94" t="e">
        <v>#VALUE!</v>
      </c>
      <c r="CS75" s="91" t="e">
        <f t="shared" si="67"/>
        <v>#REF!</v>
      </c>
      <c r="CT75" s="40" t="e">
        <f t="shared" si="60"/>
        <v>#VALUE!</v>
      </c>
      <c r="CU75" s="94" t="e">
        <v>#VALUE!</v>
      </c>
      <c r="CV75" s="94" t="e">
        <v>#VALUE!</v>
      </c>
      <c r="CW75" s="94" t="e">
        <v>#VALUE!</v>
      </c>
      <c r="CX75" s="94" t="e">
        <v>#VALUE!</v>
      </c>
      <c r="CZ75" s="40" t="e">
        <f t="shared" si="61"/>
        <v>#VALUE!</v>
      </c>
      <c r="DA75" s="94" t="e">
        <v>#VALUE!</v>
      </c>
      <c r="DB75" s="94" t="e">
        <v>#VALUE!</v>
      </c>
      <c r="DC75" s="94" t="e">
        <v>#VALUE!</v>
      </c>
      <c r="DD75" s="94" t="e">
        <v>#VALUE!</v>
      </c>
      <c r="DF75" s="40" t="e">
        <f t="shared" si="62"/>
        <v>#VALUE!</v>
      </c>
      <c r="DG75" s="94" t="e">
        <v>#VALUE!</v>
      </c>
      <c r="DH75" s="94" t="e">
        <v>#VALUE!</v>
      </c>
      <c r="DI75" s="94" t="e">
        <v>#VALUE!</v>
      </c>
      <c r="DJ75" s="94" t="e">
        <v>#VALUE!</v>
      </c>
      <c r="DK75" s="94"/>
      <c r="DL75" s="40" t="e">
        <f t="shared" si="63"/>
        <v>#VALUE!</v>
      </c>
      <c r="DM75" s="94" t="e">
        <v>#VALUE!</v>
      </c>
      <c r="DN75" s="94" t="e">
        <v>#VALUE!</v>
      </c>
      <c r="DO75" s="94" t="e">
        <v>#VALUE!</v>
      </c>
      <c r="DP75" s="94" t="e">
        <v>#VALUE!</v>
      </c>
    </row>
    <row r="76" spans="1:120" x14ac:dyDescent="0.2">
      <c r="B76" s="40"/>
      <c r="H76" s="40"/>
      <c r="N76" s="40"/>
      <c r="T76" s="40"/>
      <c r="Z76" s="40"/>
      <c r="AF76" s="40"/>
      <c r="AL76" s="40"/>
      <c r="AR76" s="40"/>
      <c r="AX76" s="40"/>
      <c r="BD76" s="40"/>
      <c r="BJ76" s="40"/>
      <c r="BP76" s="40"/>
      <c r="BV76" s="40"/>
      <c r="CB76" s="40"/>
      <c r="CH76" s="40"/>
      <c r="CN76" s="40"/>
      <c r="CT76" s="40"/>
      <c r="CZ76" s="40"/>
      <c r="DF76" s="40"/>
      <c r="DL76" s="40"/>
    </row>
    <row r="77" spans="1:120" x14ac:dyDescent="0.2">
      <c r="A77" s="92" t="e">
        <f>name!#REF!</f>
        <v>#REF!</v>
      </c>
      <c r="B77" s="43">
        <f t="shared" si="44"/>
        <v>2.7912372459239387</v>
      </c>
      <c r="C77" s="93">
        <f>C50</f>
        <v>4561.2992279926211</v>
      </c>
      <c r="D77" s="93">
        <f>D50</f>
        <v>431.97496524334053</v>
      </c>
      <c r="E77" s="93">
        <f>E50</f>
        <v>1445.5882710202891</v>
      </c>
      <c r="F77" s="93">
        <f>F50</f>
        <v>1877.5632362636297</v>
      </c>
      <c r="G77" s="92"/>
      <c r="H77" s="43">
        <f t="shared" si="45"/>
        <v>2.6517730789267446</v>
      </c>
      <c r="I77" s="93">
        <f>I50</f>
        <v>774.77767553257945</v>
      </c>
      <c r="J77" s="93">
        <f>J50</f>
        <v>-90.9176985646708</v>
      </c>
      <c r="K77" s="93">
        <f>K50</f>
        <v>231.78692033646578</v>
      </c>
      <c r="L77" s="93">
        <f>L50</f>
        <v>140.86922177179497</v>
      </c>
      <c r="M77" s="92"/>
      <c r="N77" s="43">
        <f t="shared" si="46"/>
        <v>2.6893242464146816</v>
      </c>
      <c r="O77" s="93">
        <f>O50</f>
        <v>1810.6123702397726</v>
      </c>
      <c r="P77" s="93">
        <f>P50</f>
        <v>208.84741372398935</v>
      </c>
      <c r="Q77" s="93">
        <f>Q50</f>
        <v>550.29225403969679</v>
      </c>
      <c r="R77" s="93">
        <f>R50</f>
        <v>759.13966776368613</v>
      </c>
      <c r="S77" s="93"/>
      <c r="T77" s="43">
        <f t="shared" si="47"/>
        <v>2.9376202991175049</v>
      </c>
      <c r="U77" s="93">
        <f>U50</f>
        <v>1975.9091822202711</v>
      </c>
      <c r="V77" s="93">
        <f>V50</f>
        <v>314.04525008402186</v>
      </c>
      <c r="W77" s="93">
        <f>W50</f>
        <v>663.50909664412427</v>
      </c>
      <c r="X77" s="93">
        <f>X50</f>
        <v>977.55434672814613</v>
      </c>
      <c r="Y77" s="92" t="e">
        <f>A77</f>
        <v>#REF!</v>
      </c>
      <c r="Z77" s="43">
        <f>IF(AA77&gt;0,((1+(AC77/AA77))^(1/($A$101-$A$100))-1)*100,0)</f>
        <v>2.9771972098236787</v>
      </c>
      <c r="AA77" s="93">
        <f>AA50</f>
        <v>2141.7348734083043</v>
      </c>
      <c r="AB77" s="93">
        <f>AB50</f>
        <v>328.18012130131888</v>
      </c>
      <c r="AC77" s="93">
        <f>AC50</f>
        <v>730.21185757939747</v>
      </c>
      <c r="AD77" s="93">
        <f>AD50</f>
        <v>1058.3919788807164</v>
      </c>
      <c r="AE77" s="92"/>
      <c r="AF77" s="43">
        <f>IF(AG77&gt;0,((1+(AI77/AG77))^(1/($A$101-$A$100))-1)*100,0)</f>
        <v>3.0280155732974823</v>
      </c>
      <c r="AG77" s="93">
        <f>AG50</f>
        <v>114.36183531349347</v>
      </c>
      <c r="AH77" s="93">
        <f>AH50</f>
        <v>10.806009020856356</v>
      </c>
      <c r="AI77" s="93">
        <f>AI50</f>
        <v>39.749458273691218</v>
      </c>
      <c r="AJ77" s="93">
        <f>AJ50</f>
        <v>50.555467294547576</v>
      </c>
      <c r="AK77" s="92"/>
      <c r="AL77" s="43">
        <f>IF(AM77&gt;0,((1+(AO77/AM77))^(1/($A$101-$A$100))-1)*100,0)</f>
        <v>2.9663353480916088</v>
      </c>
      <c r="AM77" s="93">
        <f>AM50</f>
        <v>484.03376220781502</v>
      </c>
      <c r="AN77" s="93">
        <f>AN50</f>
        <v>80.752171418150368</v>
      </c>
      <c r="AO77" s="93">
        <f>AO50</f>
        <v>164.34415782441963</v>
      </c>
      <c r="AP77" s="93">
        <f>AP50</f>
        <v>245.09632924256999</v>
      </c>
      <c r="AQ77" s="93"/>
      <c r="AR77" s="43">
        <f>IF(AS77&gt;0,((1+(AU77/AS77))^(1/($A$101-$A$100))-1)*100,0)</f>
        <v>2.9768281396108875</v>
      </c>
      <c r="AS77" s="93">
        <f>AS50</f>
        <v>1543.3392758869961</v>
      </c>
      <c r="AT77" s="93">
        <f>AT50</f>
        <v>236.62194086231219</v>
      </c>
      <c r="AU77" s="93">
        <f>AU50</f>
        <v>526.11824148128676</v>
      </c>
      <c r="AV77" s="93">
        <f>AV50</f>
        <v>762.74018234359892</v>
      </c>
      <c r="AW77" s="92" t="e">
        <f>Y77</f>
        <v>#REF!</v>
      </c>
      <c r="AX77" s="43">
        <f>IF(AY77&gt;0,((1+(BA77/AY77))^(1/($A$101-$A$100))-1)*100,0)</f>
        <v>2.5960689907792656</v>
      </c>
      <c r="AY77" s="93">
        <f>AY50</f>
        <v>1169.4910110900296</v>
      </c>
      <c r="AZ77" s="93">
        <f>AZ50</f>
        <v>61.012733866251224</v>
      </c>
      <c r="BA77" s="93">
        <f>BA50</f>
        <v>341.64688672572964</v>
      </c>
      <c r="BB77" s="93">
        <f>BB50</f>
        <v>402.65962059198085</v>
      </c>
      <c r="BC77" s="92"/>
      <c r="BD77" s="43">
        <f>IF(BE77&gt;0,((1+(BG77/BE77))^(1/($A$101-$A$100))-1)*100,0)</f>
        <v>2.5108134589674425</v>
      </c>
      <c r="BE77" s="93">
        <f>BE50</f>
        <v>196.77997170605971</v>
      </c>
      <c r="BF77" s="93">
        <f>BF50</f>
        <v>-19.19988351079143</v>
      </c>
      <c r="BG77" s="93">
        <f>BG50</f>
        <v>55.380896948664599</v>
      </c>
      <c r="BH77" s="93">
        <f>BH50</f>
        <v>36.181013437873169</v>
      </c>
      <c r="BI77" s="92"/>
      <c r="BJ77" s="43">
        <f>IF(BK77&gt;0,((1+(BM77/BK77))^(1/($A$101-$A$100))-1)*100,0)</f>
        <v>2.5531077119064882</v>
      </c>
      <c r="BK77" s="93">
        <f>BK50</f>
        <v>650.12175377402275</v>
      </c>
      <c r="BL77" s="93">
        <f>BL50</f>
        <v>42.192712487148434</v>
      </c>
      <c r="BM77" s="93">
        <f>BM50</f>
        <v>186.41100647521165</v>
      </c>
      <c r="BN77" s="93">
        <f>BN50</f>
        <v>228.60371896236009</v>
      </c>
      <c r="BO77" s="93"/>
      <c r="BP77" s="43">
        <f>IF(BQ77&gt;0,((1+(BS77/BQ77))^(1/($A$101-$A$100))-1)*100,0)</f>
        <v>2.7334678665663192</v>
      </c>
      <c r="BQ77" s="93">
        <f>BQ50</f>
        <v>322.58928560994713</v>
      </c>
      <c r="BR77" s="93">
        <f>BR50</f>
        <v>38.019904889894228</v>
      </c>
      <c r="BS77" s="93">
        <f>BS50</f>
        <v>99.854983301853494</v>
      </c>
      <c r="BT77" s="93">
        <f>BT50</f>
        <v>137.87488819174771</v>
      </c>
      <c r="BU77" s="92" t="e">
        <f>AW77</f>
        <v>#REF!</v>
      </c>
      <c r="BV77" s="43">
        <f>IF(BW77&gt;0,((1+(BY77/BW77))^(1/($A$101-$A$100))-1)*100,0)</f>
        <v>2.5889208699682698</v>
      </c>
      <c r="BW77" s="93">
        <f>BW50</f>
        <v>786.26148565798121</v>
      </c>
      <c r="BX77" s="93">
        <f>BX50</f>
        <v>-16.768227409449015</v>
      </c>
      <c r="BY77" s="93">
        <f>BY50</f>
        <v>228.98528730973825</v>
      </c>
      <c r="BZ77" s="93">
        <f>BZ50</f>
        <v>212.21705990028923</v>
      </c>
      <c r="CA77" s="92"/>
      <c r="CB77" s="43">
        <f>IF(CC77&gt;0,((1+(CE77/CC77))^(1/($A$101-$A$100))-1)*100,0)</f>
        <v>2.5278948366694864</v>
      </c>
      <c r="CC77" s="93">
        <f>CC50</f>
        <v>257.91842111045776</v>
      </c>
      <c r="CD77" s="93">
        <f>CD50</f>
        <v>-52.179148361626908</v>
      </c>
      <c r="CE77" s="93">
        <f>CE50</f>
        <v>73.138570554183204</v>
      </c>
      <c r="CF77" s="93">
        <f>CF50</f>
        <v>20.959422192556296</v>
      </c>
      <c r="CG77" s="92"/>
      <c r="CH77" s="43">
        <f>IF(CI77&gt;0,((1+(CK77/CI77))^(1/($A$101-$A$100))-1)*100,0)</f>
        <v>2.5655949055339189</v>
      </c>
      <c r="CI77" s="93">
        <f>CI50</f>
        <v>462.50112579230256</v>
      </c>
      <c r="CJ77" s="93">
        <f>CJ50</f>
        <v>18.263082416840735</v>
      </c>
      <c r="CK77" s="93">
        <f>CK50</f>
        <v>133.33911166207648</v>
      </c>
      <c r="CL77" s="93">
        <f>CL50</f>
        <v>151.60219407891722</v>
      </c>
      <c r="CM77" s="93"/>
      <c r="CN77" s="43">
        <f>IF(CO77&gt;0,((1+(CQ77/CO77))^(1/($A$101-$A$100))-1)*100,0)</f>
        <v>2.9840981402702971</v>
      </c>
      <c r="CO77" s="93">
        <f>CO50</f>
        <v>65.841938755220539</v>
      </c>
      <c r="CP77" s="93">
        <f>CP50</f>
        <v>17.147838535337179</v>
      </c>
      <c r="CQ77" s="93">
        <f>CQ50</f>
        <v>22.507605093478684</v>
      </c>
      <c r="CR77" s="93">
        <f>CR50</f>
        <v>39.65544362881586</v>
      </c>
      <c r="CS77" s="92" t="e">
        <f>BU77</f>
        <v>#REF!</v>
      </c>
      <c r="CT77" s="43">
        <f>IF(CU77&gt;0,((1+(CW77/CU77))^(1/($A$101-$A$100))-1)*100,0)</f>
        <v>2.7533233225370157</v>
      </c>
      <c r="CU77" s="93">
        <f>CU50</f>
        <v>463.81185783630696</v>
      </c>
      <c r="CV77" s="93">
        <f>CV50</f>
        <v>59.550337485219423</v>
      </c>
      <c r="CW77" s="93">
        <f>CW50</f>
        <v>144.74423940542175</v>
      </c>
      <c r="CX77" s="93">
        <f>CX50</f>
        <v>204.29457689064117</v>
      </c>
      <c r="CY77" s="92"/>
      <c r="CZ77" s="43">
        <f>IF(DA77&gt;0,((1+(DC77/DA77))^(1/($A$101-$A$100))-1)*100,0)</f>
        <v>2.7273559755584653</v>
      </c>
      <c r="DA77" s="93">
        <f>DA50</f>
        <v>205.71744740256855</v>
      </c>
      <c r="DB77" s="93">
        <f>DB50</f>
        <v>-30.344675713108767</v>
      </c>
      <c r="DC77" s="93">
        <f>DC50</f>
        <v>63.517994559926827</v>
      </c>
      <c r="DD77" s="93">
        <f>DD50</f>
        <v>33.173318846818063</v>
      </c>
      <c r="DE77" s="92"/>
      <c r="DF77" s="43">
        <f>IF(DG77&gt;0,((1+(DI77/DG77))^(1/($A$101-$A$100))-1)*100,0)</f>
        <v>2.7323553670193235</v>
      </c>
      <c r="DG77" s="93">
        <f>DG50</f>
        <v>213.95572846563186</v>
      </c>
      <c r="DH77" s="93">
        <f>DH50</f>
        <v>67.639447401849822</v>
      </c>
      <c r="DI77" s="93">
        <f>DI50</f>
        <v>66.197978077989319</v>
      </c>
      <c r="DJ77" s="93">
        <f>DJ50</f>
        <v>133.83742547983914</v>
      </c>
      <c r="DK77" s="93"/>
      <c r="DL77" s="43">
        <f>IF(DM77&gt;0,((1+(DO77/DM77))^(1/($A$101-$A$100))-1)*100,0)</f>
        <v>2.9736201868302725</v>
      </c>
      <c r="DM77" s="93">
        <f>DM50</f>
        <v>44.13868196810671</v>
      </c>
      <c r="DN77" s="93">
        <f>DN50</f>
        <v>22.25556579647839</v>
      </c>
      <c r="DO77" s="93">
        <f>DO50</f>
        <v>15.028266767505601</v>
      </c>
      <c r="DP77" s="93">
        <f>DP50</f>
        <v>37.283832563983992</v>
      </c>
    </row>
    <row r="79" spans="1:120" x14ac:dyDescent="0.2">
      <c r="A79" s="91" t="str">
        <f ca="1">CELL("filename")</f>
        <v>M:\IE\Projects\Nuffield via NFER AI and automation\Data\Results\Workbooks\LEPs\M3_LEP\[M3_LEP_MainTables.Main.xlsm]Manager</v>
      </c>
      <c r="Y79" s="91" t="str">
        <f ca="1">CELL("filename")</f>
        <v>M:\IE\Projects\Nuffield via NFER AI and automation\Data\Results\Workbooks\LEPs\M3_LEP\[M3_LEP_MainTables.Main.xlsm]Manager</v>
      </c>
      <c r="AW79" s="91" t="str">
        <f ca="1">CELL("filename")</f>
        <v>M:\IE\Projects\Nuffield via NFER AI and automation\Data\Results\Workbooks\LEPs\M3_LEP\[M3_LEP_MainTables.Main.xlsm]Manager</v>
      </c>
      <c r="BU79" s="91" t="str">
        <f ca="1">CELL("filename")</f>
        <v>M:\IE\Projects\Nuffield via NFER AI and automation\Data\Results\Workbooks\LEPs\M3_LEP\[M3_LEP_MainTables.Main.xlsm]Manager</v>
      </c>
      <c r="CS79" s="91" t="str">
        <f ca="1">CELL("filename")</f>
        <v>M:\IE\Projects\Nuffield via NFER AI and automation\Data\Results\Workbooks\LEPs\M3_LEP\[M3_LEP_MainTables.Main.xlsm]Manager</v>
      </c>
    </row>
    <row r="80" spans="1:120" ht="15.75" x14ac:dyDescent="0.25">
      <c r="A80" s="19" t="str">
        <f>CONCATENATE("Basic Table 5  Replacement Demand, ",A100,"-",A101,", by Industry Sector and Qualification for ",name!$H$3)</f>
        <v>Basic Table 5  Replacement Demand, 2015-2025, by Industry Sector and Qualification for M</v>
      </c>
      <c r="Y80" s="19" t="str">
        <f>CONCATENATE("Basic Table 5  Replacement Demand, ",A100,"-",A101,", by Industry Sector and Qualification for ",name!$H$4)</f>
        <v>Basic Table 5  Replacement Demand, 2015-2025, by Industry Sector and Qualification for F</v>
      </c>
      <c r="AW80" s="19" t="str">
        <f>CONCATENATE("Basic Table 5  Replacement Demand, ",A100,"-",A101,", by Industry Sector and Qualification for ",name!$H$5)</f>
        <v xml:space="preserve">Basic Table 5  Replacement Demand, 2015-2025, by Industry Sector and Qualification for </v>
      </c>
      <c r="BU80" s="19" t="str">
        <f>CONCATENATE("Basic Table 5  Replacement Demand, ",A100,"-",A101,", by Industry Sector and Qualification for ",name!$H$6)</f>
        <v xml:space="preserve">Basic Table 5  Replacement Demand, 2015-2025, by Industry Sector and Qualification for </v>
      </c>
      <c r="CS80" s="19" t="str">
        <f>CONCATENATE("Basic Table 5  Replacement Demand, ",A100,"-",A101,", by Industry Sector and Qualification for ",name!$H$7)</f>
        <v xml:space="preserve">Basic Table 5  Replacement Demand, 2015-2025, by Industry Sector and Qualification for </v>
      </c>
    </row>
    <row r="82" spans="1:120" x14ac:dyDescent="0.2">
      <c r="A82" s="92"/>
      <c r="B82" s="92"/>
      <c r="C82" s="92"/>
      <c r="D82" s="92"/>
      <c r="E82" s="92"/>
      <c r="F82" s="92"/>
      <c r="G82" s="92"/>
      <c r="H82" s="92"/>
      <c r="I82" s="92"/>
      <c r="J82" s="92"/>
      <c r="K82" s="92"/>
      <c r="L82" s="92"/>
      <c r="M82" s="92"/>
      <c r="N82" s="92"/>
      <c r="O82" s="92"/>
      <c r="P82" s="92"/>
      <c r="Q82" s="92"/>
      <c r="R82" s="92"/>
      <c r="S82" s="92"/>
      <c r="T82" s="92"/>
      <c r="U82" s="92"/>
      <c r="V82" s="92"/>
      <c r="W82" s="92"/>
      <c r="X82" s="116" t="str">
        <f>$X$3</f>
        <v>thousands</v>
      </c>
      <c r="Y82" s="92"/>
      <c r="Z82" s="92"/>
      <c r="AA82" s="92"/>
      <c r="AB82" s="92"/>
      <c r="AC82" s="92"/>
      <c r="AD82" s="92"/>
      <c r="AE82" s="92"/>
      <c r="AF82" s="92"/>
      <c r="AG82" s="92"/>
      <c r="AH82" s="92"/>
      <c r="AI82" s="92"/>
      <c r="AJ82" s="92"/>
      <c r="AK82" s="92"/>
      <c r="AL82" s="92"/>
      <c r="AM82" s="92"/>
      <c r="AN82" s="92"/>
      <c r="AO82" s="92"/>
      <c r="AP82" s="92"/>
      <c r="AQ82" s="92"/>
      <c r="AR82" s="92"/>
      <c r="AS82" s="92"/>
      <c r="AT82" s="92"/>
      <c r="AU82" s="92"/>
      <c r="AV82" s="116" t="str">
        <f>$X$3</f>
        <v>thousands</v>
      </c>
      <c r="AW82" s="92"/>
      <c r="AX82" s="92"/>
      <c r="AY82" s="92"/>
      <c r="AZ82" s="92"/>
      <c r="BA82" s="92"/>
      <c r="BB82" s="92"/>
      <c r="BC82" s="92"/>
      <c r="BD82" s="92"/>
      <c r="BE82" s="92"/>
      <c r="BF82" s="92"/>
      <c r="BG82" s="92"/>
      <c r="BH82" s="92"/>
      <c r="BI82" s="92"/>
      <c r="BJ82" s="92"/>
      <c r="BK82" s="92"/>
      <c r="BL82" s="92"/>
      <c r="BM82" s="92"/>
      <c r="BN82" s="92"/>
      <c r="BO82" s="92"/>
      <c r="BP82" s="92"/>
      <c r="BQ82" s="92"/>
      <c r="BR82" s="92"/>
      <c r="BS82" s="92"/>
      <c r="BT82" s="116" t="str">
        <f>$X$3</f>
        <v>thousands</v>
      </c>
      <c r="BU82" s="92"/>
      <c r="BV82" s="92"/>
      <c r="BW82" s="92"/>
      <c r="BX82" s="92"/>
      <c r="BY82" s="92"/>
      <c r="BZ82" s="92"/>
      <c r="CA82" s="92"/>
      <c r="CB82" s="92"/>
      <c r="CC82" s="92"/>
      <c r="CD82" s="92"/>
      <c r="CE82" s="92"/>
      <c r="CF82" s="92"/>
      <c r="CG82" s="92"/>
      <c r="CH82" s="92"/>
      <c r="CI82" s="92"/>
      <c r="CJ82" s="92"/>
      <c r="CK82" s="92"/>
      <c r="CL82" s="92"/>
      <c r="CM82" s="92"/>
      <c r="CN82" s="92"/>
      <c r="CO82" s="92"/>
      <c r="CP82" s="92"/>
      <c r="CQ82" s="92"/>
      <c r="CR82" s="116" t="str">
        <f>$X$3</f>
        <v>thousands</v>
      </c>
      <c r="CS82" s="92"/>
      <c r="CT82" s="92"/>
      <c r="CU82" s="92"/>
      <c r="CV82" s="92"/>
      <c r="CW82" s="92"/>
      <c r="CX82" s="92"/>
      <c r="CY82" s="92"/>
      <c r="CZ82" s="92"/>
      <c r="DA82" s="92"/>
      <c r="DB82" s="92"/>
      <c r="DC82" s="92"/>
      <c r="DD82" s="92"/>
      <c r="DE82" s="92"/>
      <c r="DF82" s="92"/>
      <c r="DG82" s="92"/>
      <c r="DH82" s="92"/>
      <c r="DI82" s="92"/>
      <c r="DJ82" s="92"/>
      <c r="DK82" s="92"/>
      <c r="DL82" s="92"/>
      <c r="DM82" s="92"/>
      <c r="DN82" s="92"/>
      <c r="DO82" s="92"/>
      <c r="DP82" s="116" t="str">
        <f>$X$3</f>
        <v>thousands</v>
      </c>
    </row>
    <row r="83" spans="1:120" x14ac:dyDescent="0.2">
      <c r="B83" s="385" t="str">
        <f>B4</f>
        <v>All qualifications</v>
      </c>
      <c r="C83" s="385"/>
      <c r="D83" s="385"/>
      <c r="E83" s="385"/>
      <c r="F83" s="385"/>
      <c r="G83" s="114"/>
      <c r="H83" s="385" t="str">
        <f>H4</f>
        <v>RQF8 Doctorate</v>
      </c>
      <c r="I83" s="385"/>
      <c r="J83" s="385"/>
      <c r="K83" s="385"/>
      <c r="L83" s="385"/>
      <c r="M83" s="114"/>
      <c r="N83" s="384" t="str">
        <f>N4</f>
        <v>RQF7 Other higher degree</v>
      </c>
      <c r="O83" s="384"/>
      <c r="P83" s="384"/>
      <c r="Q83" s="384"/>
      <c r="R83" s="384"/>
      <c r="S83" s="111"/>
      <c r="T83" s="384" t="str">
        <f>T4</f>
        <v>RQF6 First degree</v>
      </c>
      <c r="U83" s="384"/>
      <c r="V83" s="384"/>
      <c r="W83" s="384"/>
      <c r="X83" s="384"/>
      <c r="Z83" s="385" t="str">
        <f>Z4</f>
        <v>All qualifications</v>
      </c>
      <c r="AA83" s="385"/>
      <c r="AB83" s="385"/>
      <c r="AC83" s="385"/>
      <c r="AD83" s="385"/>
      <c r="AE83" s="114"/>
      <c r="AF83" s="385" t="str">
        <f>AF4</f>
        <v>RQF8 Doctorate</v>
      </c>
      <c r="AG83" s="385"/>
      <c r="AH83" s="385"/>
      <c r="AI83" s="385"/>
      <c r="AJ83" s="385"/>
      <c r="AK83" s="114"/>
      <c r="AL83" s="384" t="str">
        <f>AL4</f>
        <v>RQF7 Other higher degree</v>
      </c>
      <c r="AM83" s="384"/>
      <c r="AN83" s="384"/>
      <c r="AO83" s="384"/>
      <c r="AP83" s="384"/>
      <c r="AQ83" s="111"/>
      <c r="AR83" s="384" t="str">
        <f>AR4</f>
        <v>RQF6 First degree</v>
      </c>
      <c r="AS83" s="384"/>
      <c r="AT83" s="384"/>
      <c r="AU83" s="384"/>
      <c r="AV83" s="384"/>
      <c r="AX83" s="385" t="str">
        <f>AX4</f>
        <v>All qualifications</v>
      </c>
      <c r="AY83" s="385"/>
      <c r="AZ83" s="385"/>
      <c r="BA83" s="385"/>
      <c r="BB83" s="385"/>
      <c r="BC83" s="114"/>
      <c r="BD83" s="385" t="str">
        <f>BD4</f>
        <v>RQF8 Doctorate</v>
      </c>
      <c r="BE83" s="385"/>
      <c r="BF83" s="385"/>
      <c r="BG83" s="385"/>
      <c r="BH83" s="385"/>
      <c r="BI83" s="114"/>
      <c r="BJ83" s="384" t="str">
        <f>BJ4</f>
        <v>RQF7 Other higher degree</v>
      </c>
      <c r="BK83" s="384"/>
      <c r="BL83" s="384"/>
      <c r="BM83" s="384"/>
      <c r="BN83" s="384"/>
      <c r="BO83" s="111"/>
      <c r="BP83" s="384" t="str">
        <f>BP4</f>
        <v>RQF6 First degree</v>
      </c>
      <c r="BQ83" s="384"/>
      <c r="BR83" s="384"/>
      <c r="BS83" s="384"/>
      <c r="BT83" s="384"/>
      <c r="BV83" s="385" t="str">
        <f>BV4</f>
        <v>All qualifications</v>
      </c>
      <c r="BW83" s="385"/>
      <c r="BX83" s="385"/>
      <c r="BY83" s="385"/>
      <c r="BZ83" s="385"/>
      <c r="CA83" s="114"/>
      <c r="CB83" s="385" t="str">
        <f>CB4</f>
        <v>RQF8 Doctorate</v>
      </c>
      <c r="CC83" s="385"/>
      <c r="CD83" s="385"/>
      <c r="CE83" s="385"/>
      <c r="CF83" s="385"/>
      <c r="CG83" s="114"/>
      <c r="CH83" s="384" t="str">
        <f>CH4</f>
        <v>RQF7 Other higher degree</v>
      </c>
      <c r="CI83" s="384"/>
      <c r="CJ83" s="384"/>
      <c r="CK83" s="384"/>
      <c r="CL83" s="384"/>
      <c r="CM83" s="111"/>
      <c r="CN83" s="384" t="str">
        <f>CN4</f>
        <v>RQF6 First degree</v>
      </c>
      <c r="CO83" s="384"/>
      <c r="CP83" s="384"/>
      <c r="CQ83" s="384"/>
      <c r="CR83" s="384"/>
      <c r="CT83" s="385" t="str">
        <f>CT4</f>
        <v>All qualifications</v>
      </c>
      <c r="CU83" s="385"/>
      <c r="CV83" s="385"/>
      <c r="CW83" s="385"/>
      <c r="CX83" s="385"/>
      <c r="CY83" s="114"/>
      <c r="CZ83" s="385" t="str">
        <f>CZ4</f>
        <v>RQF8 Doctorate</v>
      </c>
      <c r="DA83" s="385"/>
      <c r="DB83" s="385"/>
      <c r="DC83" s="385"/>
      <c r="DD83" s="385"/>
      <c r="DE83" s="114"/>
      <c r="DF83" s="384" t="str">
        <f>DF4</f>
        <v>RQF7 Other higher degree</v>
      </c>
      <c r="DG83" s="384"/>
      <c r="DH83" s="384"/>
      <c r="DI83" s="384"/>
      <c r="DJ83" s="384"/>
      <c r="DK83" s="111"/>
      <c r="DL83" s="384" t="str">
        <f>DL4</f>
        <v>RQF6 First degree</v>
      </c>
      <c r="DM83" s="384"/>
      <c r="DN83" s="384"/>
      <c r="DO83" s="384"/>
      <c r="DP83" s="384"/>
    </row>
    <row r="85" spans="1:120" ht="38.25" x14ac:dyDescent="0.2">
      <c r="A85" s="113"/>
      <c r="B85" s="110" t="str">
        <f>B6</f>
        <v>RD p.a%</v>
      </c>
      <c r="C85" s="110" t="str">
        <f>C6</f>
        <v>2015 Level</v>
      </c>
      <c r="D85" s="110" t="str">
        <f>D6</f>
        <v>Net Change</v>
      </c>
      <c r="E85" s="110" t="str">
        <f>E6</f>
        <v>Replace-ment Demand</v>
      </c>
      <c r="F85" s="110" t="str">
        <f>F6</f>
        <v>Total Require-ment</v>
      </c>
      <c r="G85" s="109"/>
      <c r="H85" s="105" t="str">
        <f>B85</f>
        <v>RD p.a%</v>
      </c>
      <c r="I85" s="105" t="str">
        <f>C85</f>
        <v>2015 Level</v>
      </c>
      <c r="J85" s="105" t="str">
        <f>D85</f>
        <v>Net Change</v>
      </c>
      <c r="K85" s="105" t="str">
        <f>E85</f>
        <v>Replace-ment Demand</v>
      </c>
      <c r="L85" s="105" t="str">
        <f>F85</f>
        <v>Total Require-ment</v>
      </c>
      <c r="M85" s="104"/>
      <c r="N85" s="106" t="str">
        <f>H85</f>
        <v>RD p.a%</v>
      </c>
      <c r="O85" s="106" t="str">
        <f>I85</f>
        <v>2015 Level</v>
      </c>
      <c r="P85" s="106" t="str">
        <f>J85</f>
        <v>Net Change</v>
      </c>
      <c r="Q85" s="106" t="str">
        <f>K85</f>
        <v>Replace-ment Demand</v>
      </c>
      <c r="R85" s="106" t="str">
        <f>L85</f>
        <v>Total Require-ment</v>
      </c>
      <c r="S85" s="104"/>
      <c r="T85" s="106" t="str">
        <f>N85</f>
        <v>RD p.a%</v>
      </c>
      <c r="U85" s="106" t="str">
        <f>O85</f>
        <v>2015 Level</v>
      </c>
      <c r="V85" s="106" t="str">
        <f>P85</f>
        <v>Net Change</v>
      </c>
      <c r="W85" s="106" t="str">
        <f>Q85</f>
        <v>Replace-ment Demand</v>
      </c>
      <c r="X85" s="106" t="str">
        <f>R85</f>
        <v>Total Require-ment</v>
      </c>
      <c r="Y85" s="113"/>
      <c r="Z85" s="110" t="str">
        <f>Z6</f>
        <v>RD p.a%</v>
      </c>
      <c r="AA85" s="110" t="str">
        <f>AA6</f>
        <v>2015 Level</v>
      </c>
      <c r="AB85" s="110" t="str">
        <f>AB6</f>
        <v>Net Change</v>
      </c>
      <c r="AC85" s="110" t="str">
        <f>AC6</f>
        <v>Replace-ment Demand</v>
      </c>
      <c r="AD85" s="110" t="str">
        <f>AD6</f>
        <v>Total Require-ment</v>
      </c>
      <c r="AE85" s="109"/>
      <c r="AF85" s="105" t="str">
        <f>Z85</f>
        <v>RD p.a%</v>
      </c>
      <c r="AG85" s="105" t="str">
        <f>AA85</f>
        <v>2015 Level</v>
      </c>
      <c r="AH85" s="105" t="str">
        <f>AB85</f>
        <v>Net Change</v>
      </c>
      <c r="AI85" s="105" t="str">
        <f>AC85</f>
        <v>Replace-ment Demand</v>
      </c>
      <c r="AJ85" s="105" t="str">
        <f>AD85</f>
        <v>Total Require-ment</v>
      </c>
      <c r="AK85" s="104"/>
      <c r="AL85" s="106" t="str">
        <f>AF85</f>
        <v>RD p.a%</v>
      </c>
      <c r="AM85" s="106" t="str">
        <f>AG85</f>
        <v>2015 Level</v>
      </c>
      <c r="AN85" s="106" t="str">
        <f>AH85</f>
        <v>Net Change</v>
      </c>
      <c r="AO85" s="106" t="str">
        <f>AI85</f>
        <v>Replace-ment Demand</v>
      </c>
      <c r="AP85" s="106" t="str">
        <f>AJ85</f>
        <v>Total Require-ment</v>
      </c>
      <c r="AQ85" s="104"/>
      <c r="AR85" s="106" t="str">
        <f>AL85</f>
        <v>RD p.a%</v>
      </c>
      <c r="AS85" s="106" t="str">
        <f>AM85</f>
        <v>2015 Level</v>
      </c>
      <c r="AT85" s="106" t="str">
        <f>AN85</f>
        <v>Net Change</v>
      </c>
      <c r="AU85" s="106" t="str">
        <f>AO85</f>
        <v>Replace-ment Demand</v>
      </c>
      <c r="AV85" s="106" t="str">
        <f>AP85</f>
        <v>Total Require-ment</v>
      </c>
      <c r="AW85" s="113"/>
      <c r="AX85" s="110" t="str">
        <f>AX6</f>
        <v>RD p.a%</v>
      </c>
      <c r="AY85" s="110" t="str">
        <f>AY6</f>
        <v>2015 Level</v>
      </c>
      <c r="AZ85" s="110" t="str">
        <f>AZ6</f>
        <v>Net Change</v>
      </c>
      <c r="BA85" s="110" t="str">
        <f>BA6</f>
        <v>Replace-ment Demand</v>
      </c>
      <c r="BB85" s="110" t="str">
        <f>BB6</f>
        <v>Total Require-ment</v>
      </c>
      <c r="BC85" s="109"/>
      <c r="BD85" s="105" t="str">
        <f>AX85</f>
        <v>RD p.a%</v>
      </c>
      <c r="BE85" s="105" t="str">
        <f>AY85</f>
        <v>2015 Level</v>
      </c>
      <c r="BF85" s="105" t="str">
        <f>AZ85</f>
        <v>Net Change</v>
      </c>
      <c r="BG85" s="105" t="str">
        <f>BA85</f>
        <v>Replace-ment Demand</v>
      </c>
      <c r="BH85" s="105" t="str">
        <f>BB85</f>
        <v>Total Require-ment</v>
      </c>
      <c r="BI85" s="104"/>
      <c r="BJ85" s="106" t="str">
        <f>BD85</f>
        <v>RD p.a%</v>
      </c>
      <c r="BK85" s="106" t="str">
        <f>BE85</f>
        <v>2015 Level</v>
      </c>
      <c r="BL85" s="106" t="str">
        <f>BF85</f>
        <v>Net Change</v>
      </c>
      <c r="BM85" s="106" t="str">
        <f>BG85</f>
        <v>Replace-ment Demand</v>
      </c>
      <c r="BN85" s="106" t="str">
        <f>BH85</f>
        <v>Total Require-ment</v>
      </c>
      <c r="BO85" s="104"/>
      <c r="BP85" s="106" t="str">
        <f>BJ85</f>
        <v>RD p.a%</v>
      </c>
      <c r="BQ85" s="106" t="str">
        <f>BK85</f>
        <v>2015 Level</v>
      </c>
      <c r="BR85" s="106" t="str">
        <f>BL85</f>
        <v>Net Change</v>
      </c>
      <c r="BS85" s="106" t="str">
        <f>BM85</f>
        <v>Replace-ment Demand</v>
      </c>
      <c r="BT85" s="106" t="str">
        <f>BN85</f>
        <v>Total Require-ment</v>
      </c>
      <c r="BU85" s="113"/>
      <c r="BV85" s="110" t="str">
        <f>BV6</f>
        <v>RD p.a%</v>
      </c>
      <c r="BW85" s="110" t="str">
        <f>BW6</f>
        <v>2015 Level</v>
      </c>
      <c r="BX85" s="110" t="str">
        <f>BX6</f>
        <v>Net Change</v>
      </c>
      <c r="BY85" s="110" t="str">
        <f>BY6</f>
        <v>Replace-ment Demand</v>
      </c>
      <c r="BZ85" s="110" t="str">
        <f>BZ6</f>
        <v>Total Require-ment</v>
      </c>
      <c r="CA85" s="109"/>
      <c r="CB85" s="105" t="str">
        <f>BV85</f>
        <v>RD p.a%</v>
      </c>
      <c r="CC85" s="105" t="str">
        <f>BW85</f>
        <v>2015 Level</v>
      </c>
      <c r="CD85" s="105" t="str">
        <f>BX85</f>
        <v>Net Change</v>
      </c>
      <c r="CE85" s="105" t="str">
        <f>BY85</f>
        <v>Replace-ment Demand</v>
      </c>
      <c r="CF85" s="105" t="str">
        <f>BZ85</f>
        <v>Total Require-ment</v>
      </c>
      <c r="CG85" s="104"/>
      <c r="CH85" s="106" t="str">
        <f>CB85</f>
        <v>RD p.a%</v>
      </c>
      <c r="CI85" s="106" t="str">
        <f>CC85</f>
        <v>2015 Level</v>
      </c>
      <c r="CJ85" s="106" t="str">
        <f>CD85</f>
        <v>Net Change</v>
      </c>
      <c r="CK85" s="106" t="str">
        <f>CE85</f>
        <v>Replace-ment Demand</v>
      </c>
      <c r="CL85" s="106" t="str">
        <f>CF85</f>
        <v>Total Require-ment</v>
      </c>
      <c r="CM85" s="104"/>
      <c r="CN85" s="106" t="str">
        <f>CH85</f>
        <v>RD p.a%</v>
      </c>
      <c r="CO85" s="106" t="str">
        <f>CI85</f>
        <v>2015 Level</v>
      </c>
      <c r="CP85" s="106" t="str">
        <f>CJ85</f>
        <v>Net Change</v>
      </c>
      <c r="CQ85" s="106" t="str">
        <f>CK85</f>
        <v>Replace-ment Demand</v>
      </c>
      <c r="CR85" s="106" t="str">
        <f>CL85</f>
        <v>Total Require-ment</v>
      </c>
      <c r="CS85" s="113"/>
      <c r="CT85" s="110" t="str">
        <f>CT6</f>
        <v>RD p.a%</v>
      </c>
      <c r="CU85" s="110" t="str">
        <f>CU6</f>
        <v>2015 Level</v>
      </c>
      <c r="CV85" s="110" t="str">
        <f>CV6</f>
        <v>Net Change</v>
      </c>
      <c r="CW85" s="110" t="str">
        <f>CW6</f>
        <v>Replace-ment Demand</v>
      </c>
      <c r="CX85" s="110" t="str">
        <f>CX6</f>
        <v>Total Require-ment</v>
      </c>
      <c r="CY85" s="109"/>
      <c r="CZ85" s="105" t="str">
        <f>CT85</f>
        <v>RD p.a%</v>
      </c>
      <c r="DA85" s="105" t="str">
        <f>CU85</f>
        <v>2015 Level</v>
      </c>
      <c r="DB85" s="105" t="str">
        <f>CV85</f>
        <v>Net Change</v>
      </c>
      <c r="DC85" s="105" t="str">
        <f>CW85</f>
        <v>Replace-ment Demand</v>
      </c>
      <c r="DD85" s="105" t="str">
        <f>CX85</f>
        <v>Total Require-ment</v>
      </c>
      <c r="DE85" s="104"/>
      <c r="DF85" s="106" t="str">
        <f>CZ85</f>
        <v>RD p.a%</v>
      </c>
      <c r="DG85" s="106" t="str">
        <f>DA85</f>
        <v>2015 Level</v>
      </c>
      <c r="DH85" s="106" t="str">
        <f>DB85</f>
        <v>Net Change</v>
      </c>
      <c r="DI85" s="106" t="str">
        <f>DC85</f>
        <v>Replace-ment Demand</v>
      </c>
      <c r="DJ85" s="106" t="str">
        <f>DD85</f>
        <v>Total Require-ment</v>
      </c>
      <c r="DK85" s="104"/>
      <c r="DL85" s="106" t="str">
        <f>DF85</f>
        <v>RD p.a%</v>
      </c>
      <c r="DM85" s="106" t="str">
        <f>DG85</f>
        <v>2015 Level</v>
      </c>
      <c r="DN85" s="106" t="str">
        <f>DH85</f>
        <v>Net Change</v>
      </c>
      <c r="DO85" s="106" t="str">
        <f>DI85</f>
        <v>Replace-ment Demand</v>
      </c>
      <c r="DP85" s="106" t="str">
        <f>DJ85</f>
        <v>Total Require-ment</v>
      </c>
    </row>
    <row r="87" spans="1:120" x14ac:dyDescent="0.2">
      <c r="A87" s="91" t="str">
        <f>name!C4</f>
        <v>Primary sector and utilities</v>
      </c>
      <c r="B87" s="40" t="e">
        <f t="shared" ref="B87:B94" si="68">IF(C87&gt;0,((1+(E87/C87))^(1/($A$101-$A$100))-1)*100,0)</f>
        <v>#REF!</v>
      </c>
      <c r="C87" s="94" t="e">
        <f t="array" ref="C87:C92">MMULT(aggregation!#REF!,BasicTable5!C8:C48)</f>
        <v>#REF!</v>
      </c>
      <c r="D87" s="94" t="e">
        <f t="array" ref="D87:D92">MMULT(aggregation!#REF!,BasicTable5!D8:D48)</f>
        <v>#REF!</v>
      </c>
      <c r="E87" s="94" t="e">
        <f t="array" ref="E87:E92">MMULT(aggregation!#REF!,BasicTable5!E8:E48)</f>
        <v>#REF!</v>
      </c>
      <c r="F87" s="94" t="e">
        <f t="array" ref="F87:F92">MMULT(aggregation!#REF!,BasicTable5!F8:F48)</f>
        <v>#REF!</v>
      </c>
      <c r="H87" s="40" t="e">
        <f t="shared" ref="H87:H94" si="69">IF(I87&gt;0,((1+(K87/I87))^(1/($A$101-$A$100))-1)*100,0)</f>
        <v>#REF!</v>
      </c>
      <c r="I87" s="94" t="e">
        <f t="array" ref="I87:I92">MMULT(aggregation!#REF!,BasicTable5!I8:I48)</f>
        <v>#REF!</v>
      </c>
      <c r="J87" s="94" t="e">
        <f t="array" ref="J87:J92">MMULT(aggregation!#REF!,BasicTable5!J8:J48)</f>
        <v>#REF!</v>
      </c>
      <c r="K87" s="94" t="e">
        <f t="array" ref="K87:K92">MMULT(aggregation!#REF!,BasicTable5!K8:K48)</f>
        <v>#REF!</v>
      </c>
      <c r="L87" s="94" t="e">
        <f t="array" ref="L87:L92">MMULT(aggregation!#REF!,BasicTable5!L8:L48)</f>
        <v>#REF!</v>
      </c>
      <c r="N87" s="40" t="e">
        <f t="shared" ref="N87:N94" si="70">IF(O87&gt;0,((1+(Q87/O87))^(1/($A$101-$A$100))-1)*100,0)</f>
        <v>#REF!</v>
      </c>
      <c r="O87" s="94" t="e">
        <f t="array" ref="O87:O92">MMULT(aggregation!#REF!,BasicTable5!O8:O48)</f>
        <v>#REF!</v>
      </c>
      <c r="P87" s="94" t="e">
        <f t="array" ref="P87:P92">MMULT(aggregation!#REF!,BasicTable5!P8:P48)</f>
        <v>#REF!</v>
      </c>
      <c r="Q87" s="94" t="e">
        <f t="array" ref="Q87:Q92">MMULT(aggregation!#REF!,BasicTable5!Q8:Q48)</f>
        <v>#REF!</v>
      </c>
      <c r="R87" s="94" t="e">
        <f t="array" ref="R87:R92">MMULT(aggregation!#REF!,BasicTable5!R8:R48)</f>
        <v>#REF!</v>
      </c>
      <c r="S87" s="94"/>
      <c r="T87" s="40" t="e">
        <f t="shared" ref="T87:T94" si="71">IF(U87&gt;0,((1+(W87/U87))^(1/($A$101-$A$100))-1)*100,0)</f>
        <v>#REF!</v>
      </c>
      <c r="U87" s="94" t="e">
        <f t="array" ref="U87:U92">MMULT(aggregation!#REF!,BasicTable5!U8:U48)</f>
        <v>#REF!</v>
      </c>
      <c r="V87" s="94" t="e">
        <f t="array" ref="V87:V92">MMULT(aggregation!#REF!,BasicTable5!V8:V48)</f>
        <v>#REF!</v>
      </c>
      <c r="W87" s="94" t="e">
        <f t="array" ref="W87:W92">MMULT(aggregation!#REF!,BasicTable5!W8:W48)</f>
        <v>#REF!</v>
      </c>
      <c r="X87" s="94" t="e">
        <f t="array" ref="X87:X92">MMULT(aggregation!#REF!,BasicTable5!X8:X48)</f>
        <v>#REF!</v>
      </c>
      <c r="Y87" s="91" t="str">
        <f t="shared" ref="Y87:Y92" si="72">A87</f>
        <v>Primary sector and utilities</v>
      </c>
      <c r="Z87" s="40" t="e">
        <f t="shared" ref="Z87:Z92" si="73">IF(AA87&gt;0,((1+(AC87/AA87))^(1/($A$101-$A$100))-1)*100,0)</f>
        <v>#REF!</v>
      </c>
      <c r="AA87" s="94" t="e">
        <f t="array" ref="AA87:AA92">MMULT(aggregation!#REF!,BasicTable5!AA8:AA48)</f>
        <v>#REF!</v>
      </c>
      <c r="AB87" s="94" t="e">
        <f t="array" ref="AB87:AB92">MMULT(aggregation!#REF!,BasicTable5!AB8:AB48)</f>
        <v>#REF!</v>
      </c>
      <c r="AC87" s="94" t="e">
        <f t="array" ref="AC87:AC92">MMULT(aggregation!#REF!,BasicTable5!AC8:AC48)</f>
        <v>#REF!</v>
      </c>
      <c r="AD87" s="94" t="e">
        <f t="array" ref="AD87:AD92">MMULT(aggregation!#REF!,BasicTable5!AD8:AD48)</f>
        <v>#REF!</v>
      </c>
      <c r="AF87" s="40" t="e">
        <f t="shared" ref="AF87:AF92" si="74">IF(AG87&gt;0,((1+(AI87/AG87))^(1/($A$101-$A$100))-1)*100,0)</f>
        <v>#REF!</v>
      </c>
      <c r="AG87" s="94" t="e">
        <f t="array" ref="AG87:AG92">MMULT(aggregation!#REF!,BasicTable5!AG8:AG48)</f>
        <v>#REF!</v>
      </c>
      <c r="AH87" s="94" t="e">
        <f t="array" ref="AH87:AH92">MMULT(aggregation!#REF!,BasicTable5!AH8:AH48)</f>
        <v>#REF!</v>
      </c>
      <c r="AI87" s="94" t="e">
        <f t="array" ref="AI87:AI92">MMULT(aggregation!#REF!,BasicTable5!AI8:AI48)</f>
        <v>#REF!</v>
      </c>
      <c r="AJ87" s="94" t="e">
        <f t="array" ref="AJ87:AJ92">MMULT(aggregation!#REF!,BasicTable5!AJ8:AJ48)</f>
        <v>#REF!</v>
      </c>
      <c r="AL87" s="40" t="e">
        <f t="shared" ref="AL87:AL92" si="75">IF(AM87&gt;0,((1+(AO87/AM87))^(1/($A$101-$A$100))-1)*100,0)</f>
        <v>#REF!</v>
      </c>
      <c r="AM87" s="94" t="e">
        <f t="array" ref="AM87:AM92">MMULT(aggregation!#REF!,BasicTable5!AM8:AM48)</f>
        <v>#REF!</v>
      </c>
      <c r="AN87" s="94" t="e">
        <f t="array" ref="AN87:AN92">MMULT(aggregation!#REF!,BasicTable5!AN8:AN48)</f>
        <v>#REF!</v>
      </c>
      <c r="AO87" s="94" t="e">
        <f t="array" ref="AO87:AO92">MMULT(aggregation!#REF!,BasicTable5!AO8:AO48)</f>
        <v>#REF!</v>
      </c>
      <c r="AP87" s="94" t="e">
        <f t="array" ref="AP87:AP92">MMULT(aggregation!#REF!,BasicTable5!AP8:AP48)</f>
        <v>#REF!</v>
      </c>
      <c r="AQ87" s="94"/>
      <c r="AR87" s="40" t="e">
        <f t="shared" ref="AR87:AR92" si="76">IF(AS87&gt;0,((1+(AU87/AS87))^(1/($A$101-$A$100))-1)*100,0)</f>
        <v>#REF!</v>
      </c>
      <c r="AS87" s="94" t="e">
        <f t="array" ref="AS87:AS92">MMULT(aggregation!#REF!,BasicTable5!AS8:AS48)</f>
        <v>#REF!</v>
      </c>
      <c r="AT87" s="94" t="e">
        <f t="array" ref="AT87:AT92">MMULT(aggregation!#REF!,BasicTable5!AT8:AT48)</f>
        <v>#REF!</v>
      </c>
      <c r="AU87" s="94" t="e">
        <f t="array" ref="AU87:AU92">MMULT(aggregation!#REF!,BasicTable5!AU8:AU48)</f>
        <v>#REF!</v>
      </c>
      <c r="AV87" s="94" t="e">
        <f t="array" ref="AV87:AV92">MMULT(aggregation!#REF!,BasicTable5!AV8:AV48)</f>
        <v>#REF!</v>
      </c>
      <c r="AW87" s="91" t="str">
        <f t="shared" ref="AW87:AW92" si="77">Y87</f>
        <v>Primary sector and utilities</v>
      </c>
      <c r="AX87" s="40" t="e">
        <f t="shared" ref="AX87:AX92" si="78">IF(AY87&gt;0,((1+(BA87/AY87))^(1/($A$101-$A$100))-1)*100,0)</f>
        <v>#REF!</v>
      </c>
      <c r="AY87" s="94" t="e">
        <f t="array" ref="AY87:AY92">MMULT(aggregation!#REF!,BasicTable5!AY8:AY48)</f>
        <v>#REF!</v>
      </c>
      <c r="AZ87" s="94" t="e">
        <f t="array" ref="AZ87:AZ92">MMULT(aggregation!#REF!,BasicTable5!AZ8:AZ48)</f>
        <v>#REF!</v>
      </c>
      <c r="BA87" s="94" t="e">
        <f t="array" ref="BA87:BA92">MMULT(aggregation!#REF!,BasicTable5!BA8:BA48)</f>
        <v>#REF!</v>
      </c>
      <c r="BB87" s="94" t="e">
        <f t="array" ref="BB87:BB92">MMULT(aggregation!#REF!,BasicTable5!BB8:BB48)</f>
        <v>#REF!</v>
      </c>
      <c r="BD87" s="40" t="e">
        <f t="shared" ref="BD87:BD92" si="79">IF(BE87&gt;0,((1+(BG87/BE87))^(1/($A$101-$A$100))-1)*100,0)</f>
        <v>#REF!</v>
      </c>
      <c r="BE87" s="94" t="e">
        <f t="array" ref="BE87:BE92">MMULT(aggregation!#REF!,BasicTable5!BE8:BE48)</f>
        <v>#REF!</v>
      </c>
      <c r="BF87" s="94" t="e">
        <f t="array" ref="BF87:BF92">MMULT(aggregation!#REF!,BasicTable5!BF8:BF48)</f>
        <v>#REF!</v>
      </c>
      <c r="BG87" s="94" t="e">
        <f t="array" ref="BG87:BG92">MMULT(aggregation!#REF!,BasicTable5!BG8:BG48)</f>
        <v>#REF!</v>
      </c>
      <c r="BH87" s="94" t="e">
        <f t="array" ref="BH87:BH92">MMULT(aggregation!#REF!,BasicTable5!BH8:BH48)</f>
        <v>#REF!</v>
      </c>
      <c r="BJ87" s="40" t="e">
        <f t="shared" ref="BJ87:BJ92" si="80">IF(BK87&gt;0,((1+(BM87/BK87))^(1/($A$101-$A$100))-1)*100,0)</f>
        <v>#REF!</v>
      </c>
      <c r="BK87" s="94" t="e">
        <f t="array" ref="BK87:BK92">MMULT(aggregation!#REF!,BasicTable5!BK8:BK48)</f>
        <v>#REF!</v>
      </c>
      <c r="BL87" s="94" t="e">
        <f t="array" ref="BL87:BL92">MMULT(aggregation!#REF!,BasicTable5!BL8:BL48)</f>
        <v>#REF!</v>
      </c>
      <c r="BM87" s="94" t="e">
        <f t="array" ref="BM87:BM92">MMULT(aggregation!#REF!,BasicTable5!BM8:BM48)</f>
        <v>#REF!</v>
      </c>
      <c r="BN87" s="94" t="e">
        <f t="array" ref="BN87:BN92">MMULT(aggregation!#REF!,BasicTable5!BN8:BN48)</f>
        <v>#REF!</v>
      </c>
      <c r="BO87" s="94"/>
      <c r="BP87" s="40" t="e">
        <f t="shared" ref="BP87:BP92" si="81">IF(BQ87&gt;0,((1+(BS87/BQ87))^(1/($A$101-$A$100))-1)*100,0)</f>
        <v>#REF!</v>
      </c>
      <c r="BQ87" s="94" t="e">
        <f t="array" ref="BQ87:BQ92">MMULT(aggregation!#REF!,BasicTable5!BQ8:BQ48)</f>
        <v>#REF!</v>
      </c>
      <c r="BR87" s="94" t="e">
        <f t="array" ref="BR87:BR92">MMULT(aggregation!#REF!,BasicTable5!BR8:BR48)</f>
        <v>#REF!</v>
      </c>
      <c r="BS87" s="94" t="e">
        <f t="array" ref="BS87:BS92">MMULT(aggregation!#REF!,BasicTable5!BS8:BS48)</f>
        <v>#REF!</v>
      </c>
      <c r="BT87" s="94" t="e">
        <f t="array" ref="BT87:BT92">MMULT(aggregation!#REF!,BasicTable5!BT8:BT48)</f>
        <v>#REF!</v>
      </c>
      <c r="BU87" s="91" t="str">
        <f t="shared" ref="BU87:BU92" si="82">AW87</f>
        <v>Primary sector and utilities</v>
      </c>
      <c r="BV87" s="40" t="e">
        <f t="shared" ref="BV87:BV92" si="83">IF(BW87&gt;0,((1+(BY87/BW87))^(1/($A$101-$A$100))-1)*100,0)</f>
        <v>#REF!</v>
      </c>
      <c r="BW87" s="94" t="e">
        <f t="array" ref="BW87:BW92">MMULT(aggregation!#REF!,BasicTable5!BW8:BW48)</f>
        <v>#REF!</v>
      </c>
      <c r="BX87" s="94" t="e">
        <f t="array" ref="BX87:BX92">MMULT(aggregation!#REF!,BasicTable5!BX8:BX48)</f>
        <v>#REF!</v>
      </c>
      <c r="BY87" s="94" t="e">
        <f t="array" ref="BY87:BY92">MMULT(aggregation!#REF!,BasicTable5!BY8:BY48)</f>
        <v>#REF!</v>
      </c>
      <c r="BZ87" s="94" t="e">
        <f t="array" ref="BZ87:BZ92">MMULT(aggregation!#REF!,BasicTable5!BZ8:BZ48)</f>
        <v>#REF!</v>
      </c>
      <c r="CB87" s="40" t="e">
        <f t="shared" ref="CB87:CB92" si="84">IF(CC87&gt;0,((1+(CE87/CC87))^(1/($A$101-$A$100))-1)*100,0)</f>
        <v>#REF!</v>
      </c>
      <c r="CC87" s="94" t="e">
        <f t="array" ref="CC87:CC92">MMULT(aggregation!#REF!,BasicTable5!CC8:CC48)</f>
        <v>#REF!</v>
      </c>
      <c r="CD87" s="94" t="e">
        <f t="array" ref="CD87:CD92">MMULT(aggregation!#REF!,BasicTable5!CD8:CD48)</f>
        <v>#REF!</v>
      </c>
      <c r="CE87" s="94" t="e">
        <f t="array" ref="CE87:CE92">MMULT(aggregation!#REF!,BasicTable5!CE8:CE48)</f>
        <v>#REF!</v>
      </c>
      <c r="CF87" s="94" t="e">
        <f t="array" ref="CF87:CF92">MMULT(aggregation!#REF!,BasicTable5!CF8:CF48)</f>
        <v>#REF!</v>
      </c>
      <c r="CH87" s="40" t="e">
        <f t="shared" ref="CH87:CH92" si="85">IF(CI87&gt;0,((1+(CK87/CI87))^(1/($A$101-$A$100))-1)*100,0)</f>
        <v>#REF!</v>
      </c>
      <c r="CI87" s="94" t="e">
        <f t="array" ref="CI87:CI92">MMULT(aggregation!#REF!,BasicTable5!CI8:CI48)</f>
        <v>#REF!</v>
      </c>
      <c r="CJ87" s="94" t="e">
        <f t="array" ref="CJ87:CJ92">MMULT(aggregation!#REF!,BasicTable5!CJ8:CJ48)</f>
        <v>#REF!</v>
      </c>
      <c r="CK87" s="94" t="e">
        <f t="array" ref="CK87:CK92">MMULT(aggregation!#REF!,BasicTable5!CK8:CK48)</f>
        <v>#REF!</v>
      </c>
      <c r="CL87" s="94" t="e">
        <f t="array" ref="CL87:CL92">MMULT(aggregation!#REF!,BasicTable5!CL8:CL48)</f>
        <v>#REF!</v>
      </c>
      <c r="CM87" s="94"/>
      <c r="CN87" s="40" t="e">
        <f t="shared" ref="CN87:CN92" si="86">IF(CO87&gt;0,((1+(CQ87/CO87))^(1/($A$101-$A$100))-1)*100,0)</f>
        <v>#REF!</v>
      </c>
      <c r="CO87" s="94" t="e">
        <f t="array" ref="CO87:CO92">MMULT(aggregation!#REF!,BasicTable5!CO8:CO48)</f>
        <v>#REF!</v>
      </c>
      <c r="CP87" s="94" t="e">
        <f t="array" ref="CP87:CP92">MMULT(aggregation!#REF!,BasicTable5!CP8:CP48)</f>
        <v>#REF!</v>
      </c>
      <c r="CQ87" s="94" t="e">
        <f t="array" ref="CQ87:CQ92">MMULT(aggregation!#REF!,BasicTable5!CQ8:CQ48)</f>
        <v>#REF!</v>
      </c>
      <c r="CR87" s="94" t="e">
        <f t="array" ref="CR87:CR92">MMULT(aggregation!#REF!,BasicTable5!CR8:CR48)</f>
        <v>#REF!</v>
      </c>
      <c r="CS87" s="91" t="str">
        <f t="shared" ref="CS87:CS92" si="87">BU87</f>
        <v>Primary sector and utilities</v>
      </c>
      <c r="CT87" s="40" t="e">
        <f t="shared" ref="CT87:CT92" si="88">IF(CU87&gt;0,((1+(CW87/CU87))^(1/($A$101-$A$100))-1)*100,0)</f>
        <v>#REF!</v>
      </c>
      <c r="CU87" s="94" t="e">
        <f t="array" ref="CU87:CU92">MMULT(aggregation!#REF!,BasicTable5!CU8:CU48)</f>
        <v>#REF!</v>
      </c>
      <c r="CV87" s="94" t="e">
        <f t="array" ref="CV87:CV92">MMULT(aggregation!#REF!,BasicTable5!CV8:CV48)</f>
        <v>#REF!</v>
      </c>
      <c r="CW87" s="94" t="e">
        <f t="array" ref="CW87:CW92">MMULT(aggregation!#REF!,BasicTable5!CW8:CW48)</f>
        <v>#REF!</v>
      </c>
      <c r="CX87" s="94" t="e">
        <f t="array" ref="CX87:CX92">MMULT(aggregation!#REF!,BasicTable5!CX8:CX48)</f>
        <v>#REF!</v>
      </c>
      <c r="CZ87" s="40" t="e">
        <f t="shared" ref="CZ87:CZ92" si="89">IF(DA87&gt;0,((1+(DC87/DA87))^(1/($A$101-$A$100))-1)*100,0)</f>
        <v>#REF!</v>
      </c>
      <c r="DA87" s="94" t="e">
        <f t="array" ref="DA87:DA92">MMULT(aggregation!#REF!,BasicTable5!DA8:DA48)</f>
        <v>#REF!</v>
      </c>
      <c r="DB87" s="94" t="e">
        <f t="array" ref="DB87:DB92">MMULT(aggregation!#REF!,BasicTable5!DB8:DB48)</f>
        <v>#REF!</v>
      </c>
      <c r="DC87" s="94" t="e">
        <f t="array" ref="DC87:DC92">MMULT(aggregation!#REF!,BasicTable5!DC8:DC48)</f>
        <v>#REF!</v>
      </c>
      <c r="DD87" s="94" t="e">
        <f t="array" ref="DD87:DD92">MMULT(aggregation!#REF!,BasicTable5!DD8:DD48)</f>
        <v>#REF!</v>
      </c>
      <c r="DF87" s="40" t="e">
        <f t="shared" ref="DF87:DF92" si="90">IF(DG87&gt;0,((1+(DI87/DG87))^(1/($A$101-$A$100))-1)*100,0)</f>
        <v>#REF!</v>
      </c>
      <c r="DG87" s="94" t="e">
        <f t="array" ref="DG87:DG92">MMULT(aggregation!#REF!,BasicTable5!DG8:DG48)</f>
        <v>#REF!</v>
      </c>
      <c r="DH87" s="94" t="e">
        <f t="array" ref="DH87:DH92">MMULT(aggregation!#REF!,BasicTable5!DH8:DH48)</f>
        <v>#REF!</v>
      </c>
      <c r="DI87" s="94" t="e">
        <f t="array" ref="DI87:DI92">MMULT(aggregation!#REF!,BasicTable5!DI8:DI48)</f>
        <v>#REF!</v>
      </c>
      <c r="DJ87" s="94" t="e">
        <f t="array" ref="DJ87:DJ92">MMULT(aggregation!#REF!,BasicTable5!DJ8:DJ48)</f>
        <v>#REF!</v>
      </c>
      <c r="DK87" s="94"/>
      <c r="DL87" s="40" t="e">
        <f t="shared" ref="DL87:DL92" si="91">IF(DM87&gt;0,((1+(DO87/DM87))^(1/($A$101-$A$100))-1)*100,0)</f>
        <v>#REF!</v>
      </c>
      <c r="DM87" s="94" t="e">
        <f t="array" ref="DM87:DM92">MMULT(aggregation!#REF!,BasicTable5!DM8:DM48)</f>
        <v>#REF!</v>
      </c>
      <c r="DN87" s="94" t="e">
        <f t="array" ref="DN87:DN92">MMULT(aggregation!#REF!,BasicTable5!DN8:DN48)</f>
        <v>#REF!</v>
      </c>
      <c r="DO87" s="94" t="e">
        <f t="array" ref="DO87:DO92">MMULT(aggregation!#REF!,BasicTable5!DO8:DO48)</f>
        <v>#REF!</v>
      </c>
      <c r="DP87" s="94" t="e">
        <f t="array" ref="DP87:DP92">MMULT(aggregation!#REF!,BasicTable5!DP8:DP48)</f>
        <v>#REF!</v>
      </c>
    </row>
    <row r="88" spans="1:120" x14ac:dyDescent="0.2">
      <c r="A88" s="91" t="str">
        <f>name!C5</f>
        <v>Manufacturing</v>
      </c>
      <c r="B88" s="40" t="e">
        <f t="shared" si="68"/>
        <v>#REF!</v>
      </c>
      <c r="C88" s="94" t="e">
        <v>#REF!</v>
      </c>
      <c r="D88" s="94" t="e">
        <v>#REF!</v>
      </c>
      <c r="E88" s="94" t="e">
        <v>#REF!</v>
      </c>
      <c r="F88" s="94" t="e">
        <v>#REF!</v>
      </c>
      <c r="H88" s="40" t="e">
        <f t="shared" si="69"/>
        <v>#REF!</v>
      </c>
      <c r="I88" s="94" t="e">
        <v>#REF!</v>
      </c>
      <c r="J88" s="94" t="e">
        <v>#REF!</v>
      </c>
      <c r="K88" s="94" t="e">
        <v>#REF!</v>
      </c>
      <c r="L88" s="94" t="e">
        <v>#REF!</v>
      </c>
      <c r="N88" s="40" t="e">
        <f t="shared" si="70"/>
        <v>#REF!</v>
      </c>
      <c r="O88" s="94" t="e">
        <v>#REF!</v>
      </c>
      <c r="P88" s="94" t="e">
        <v>#REF!</v>
      </c>
      <c r="Q88" s="94" t="e">
        <v>#REF!</v>
      </c>
      <c r="R88" s="94" t="e">
        <v>#REF!</v>
      </c>
      <c r="S88" s="94"/>
      <c r="T88" s="40" t="e">
        <f t="shared" si="71"/>
        <v>#REF!</v>
      </c>
      <c r="U88" s="94" t="e">
        <v>#REF!</v>
      </c>
      <c r="V88" s="94" t="e">
        <v>#REF!</v>
      </c>
      <c r="W88" s="94" t="e">
        <v>#REF!</v>
      </c>
      <c r="X88" s="94" t="e">
        <v>#REF!</v>
      </c>
      <c r="Y88" s="91" t="str">
        <f t="shared" si="72"/>
        <v>Manufacturing</v>
      </c>
      <c r="Z88" s="40" t="e">
        <f t="shared" si="73"/>
        <v>#REF!</v>
      </c>
      <c r="AA88" s="94" t="e">
        <v>#REF!</v>
      </c>
      <c r="AB88" s="94" t="e">
        <v>#REF!</v>
      </c>
      <c r="AC88" s="94" t="e">
        <v>#REF!</v>
      </c>
      <c r="AD88" s="94" t="e">
        <v>#REF!</v>
      </c>
      <c r="AF88" s="40" t="e">
        <f t="shared" si="74"/>
        <v>#REF!</v>
      </c>
      <c r="AG88" s="94" t="e">
        <v>#REF!</v>
      </c>
      <c r="AH88" s="94" t="e">
        <v>#REF!</v>
      </c>
      <c r="AI88" s="94" t="e">
        <v>#REF!</v>
      </c>
      <c r="AJ88" s="94" t="e">
        <v>#REF!</v>
      </c>
      <c r="AL88" s="40" t="e">
        <f t="shared" si="75"/>
        <v>#REF!</v>
      </c>
      <c r="AM88" s="94" t="e">
        <v>#REF!</v>
      </c>
      <c r="AN88" s="94" t="e">
        <v>#REF!</v>
      </c>
      <c r="AO88" s="94" t="e">
        <v>#REF!</v>
      </c>
      <c r="AP88" s="94" t="e">
        <v>#REF!</v>
      </c>
      <c r="AQ88" s="94"/>
      <c r="AR88" s="40" t="e">
        <f t="shared" si="76"/>
        <v>#REF!</v>
      </c>
      <c r="AS88" s="94" t="e">
        <v>#REF!</v>
      </c>
      <c r="AT88" s="94" t="e">
        <v>#REF!</v>
      </c>
      <c r="AU88" s="94" t="e">
        <v>#REF!</v>
      </c>
      <c r="AV88" s="94" t="e">
        <v>#REF!</v>
      </c>
      <c r="AW88" s="91" t="str">
        <f t="shared" si="77"/>
        <v>Manufacturing</v>
      </c>
      <c r="AX88" s="40" t="e">
        <f t="shared" si="78"/>
        <v>#REF!</v>
      </c>
      <c r="AY88" s="94" t="e">
        <v>#REF!</v>
      </c>
      <c r="AZ88" s="94" t="e">
        <v>#REF!</v>
      </c>
      <c r="BA88" s="94" t="e">
        <v>#REF!</v>
      </c>
      <c r="BB88" s="94" t="e">
        <v>#REF!</v>
      </c>
      <c r="BD88" s="40" t="e">
        <f t="shared" si="79"/>
        <v>#REF!</v>
      </c>
      <c r="BE88" s="94" t="e">
        <v>#REF!</v>
      </c>
      <c r="BF88" s="94" t="e">
        <v>#REF!</v>
      </c>
      <c r="BG88" s="94" t="e">
        <v>#REF!</v>
      </c>
      <c r="BH88" s="94" t="e">
        <v>#REF!</v>
      </c>
      <c r="BJ88" s="40" t="e">
        <f t="shared" si="80"/>
        <v>#REF!</v>
      </c>
      <c r="BK88" s="94" t="e">
        <v>#REF!</v>
      </c>
      <c r="BL88" s="94" t="e">
        <v>#REF!</v>
      </c>
      <c r="BM88" s="94" t="e">
        <v>#REF!</v>
      </c>
      <c r="BN88" s="94" t="e">
        <v>#REF!</v>
      </c>
      <c r="BO88" s="94"/>
      <c r="BP88" s="40" t="e">
        <f t="shared" si="81"/>
        <v>#REF!</v>
      </c>
      <c r="BQ88" s="94" t="e">
        <v>#REF!</v>
      </c>
      <c r="BR88" s="94" t="e">
        <v>#REF!</v>
      </c>
      <c r="BS88" s="94" t="e">
        <v>#REF!</v>
      </c>
      <c r="BT88" s="94" t="e">
        <v>#REF!</v>
      </c>
      <c r="BU88" s="91" t="str">
        <f t="shared" si="82"/>
        <v>Manufacturing</v>
      </c>
      <c r="BV88" s="40" t="e">
        <f t="shared" si="83"/>
        <v>#REF!</v>
      </c>
      <c r="BW88" s="94" t="e">
        <v>#REF!</v>
      </c>
      <c r="BX88" s="94" t="e">
        <v>#REF!</v>
      </c>
      <c r="BY88" s="94" t="e">
        <v>#REF!</v>
      </c>
      <c r="BZ88" s="94" t="e">
        <v>#REF!</v>
      </c>
      <c r="CB88" s="40" t="e">
        <f t="shared" si="84"/>
        <v>#REF!</v>
      </c>
      <c r="CC88" s="94" t="e">
        <v>#REF!</v>
      </c>
      <c r="CD88" s="94" t="e">
        <v>#REF!</v>
      </c>
      <c r="CE88" s="94" t="e">
        <v>#REF!</v>
      </c>
      <c r="CF88" s="94" t="e">
        <v>#REF!</v>
      </c>
      <c r="CH88" s="40" t="e">
        <f t="shared" si="85"/>
        <v>#REF!</v>
      </c>
      <c r="CI88" s="94" t="e">
        <v>#REF!</v>
      </c>
      <c r="CJ88" s="94" t="e">
        <v>#REF!</v>
      </c>
      <c r="CK88" s="94" t="e">
        <v>#REF!</v>
      </c>
      <c r="CL88" s="94" t="e">
        <v>#REF!</v>
      </c>
      <c r="CM88" s="94"/>
      <c r="CN88" s="40" t="e">
        <f t="shared" si="86"/>
        <v>#REF!</v>
      </c>
      <c r="CO88" s="94" t="e">
        <v>#REF!</v>
      </c>
      <c r="CP88" s="94" t="e">
        <v>#REF!</v>
      </c>
      <c r="CQ88" s="94" t="e">
        <v>#REF!</v>
      </c>
      <c r="CR88" s="94" t="e">
        <v>#REF!</v>
      </c>
      <c r="CS88" s="91" t="str">
        <f t="shared" si="87"/>
        <v>Manufacturing</v>
      </c>
      <c r="CT88" s="40" t="e">
        <f t="shared" si="88"/>
        <v>#REF!</v>
      </c>
      <c r="CU88" s="94" t="e">
        <v>#REF!</v>
      </c>
      <c r="CV88" s="94" t="e">
        <v>#REF!</v>
      </c>
      <c r="CW88" s="94" t="e">
        <v>#REF!</v>
      </c>
      <c r="CX88" s="94" t="e">
        <v>#REF!</v>
      </c>
      <c r="CZ88" s="40" t="e">
        <f t="shared" si="89"/>
        <v>#REF!</v>
      </c>
      <c r="DA88" s="94" t="e">
        <v>#REF!</v>
      </c>
      <c r="DB88" s="94" t="e">
        <v>#REF!</v>
      </c>
      <c r="DC88" s="94" t="e">
        <v>#REF!</v>
      </c>
      <c r="DD88" s="94" t="e">
        <v>#REF!</v>
      </c>
      <c r="DF88" s="40" t="e">
        <f t="shared" si="90"/>
        <v>#REF!</v>
      </c>
      <c r="DG88" s="94" t="e">
        <v>#REF!</v>
      </c>
      <c r="DH88" s="94" t="e">
        <v>#REF!</v>
      </c>
      <c r="DI88" s="94" t="e">
        <v>#REF!</v>
      </c>
      <c r="DJ88" s="94" t="e">
        <v>#REF!</v>
      </c>
      <c r="DK88" s="94"/>
      <c r="DL88" s="40" t="e">
        <f t="shared" si="91"/>
        <v>#REF!</v>
      </c>
      <c r="DM88" s="94" t="e">
        <v>#REF!</v>
      </c>
      <c r="DN88" s="94" t="e">
        <v>#REF!</v>
      </c>
      <c r="DO88" s="94" t="e">
        <v>#REF!</v>
      </c>
      <c r="DP88" s="94" t="e">
        <v>#REF!</v>
      </c>
    </row>
    <row r="89" spans="1:120" x14ac:dyDescent="0.2">
      <c r="A89" s="91" t="str">
        <f>name!C6</f>
        <v>Construction</v>
      </c>
      <c r="B89" s="40" t="e">
        <f t="shared" si="68"/>
        <v>#REF!</v>
      </c>
      <c r="C89" s="94" t="e">
        <v>#REF!</v>
      </c>
      <c r="D89" s="94" t="e">
        <v>#REF!</v>
      </c>
      <c r="E89" s="94" t="e">
        <v>#REF!</v>
      </c>
      <c r="F89" s="94" t="e">
        <v>#REF!</v>
      </c>
      <c r="H89" s="40" t="e">
        <f t="shared" si="69"/>
        <v>#REF!</v>
      </c>
      <c r="I89" s="94" t="e">
        <v>#REF!</v>
      </c>
      <c r="J89" s="94" t="e">
        <v>#REF!</v>
      </c>
      <c r="K89" s="94" t="e">
        <v>#REF!</v>
      </c>
      <c r="L89" s="94" t="e">
        <v>#REF!</v>
      </c>
      <c r="N89" s="40" t="e">
        <f t="shared" si="70"/>
        <v>#REF!</v>
      </c>
      <c r="O89" s="94" t="e">
        <v>#REF!</v>
      </c>
      <c r="P89" s="94" t="e">
        <v>#REF!</v>
      </c>
      <c r="Q89" s="94" t="e">
        <v>#REF!</v>
      </c>
      <c r="R89" s="94" t="e">
        <v>#REF!</v>
      </c>
      <c r="S89" s="94"/>
      <c r="T89" s="40" t="e">
        <f t="shared" si="71"/>
        <v>#REF!</v>
      </c>
      <c r="U89" s="94" t="e">
        <v>#REF!</v>
      </c>
      <c r="V89" s="94" t="e">
        <v>#REF!</v>
      </c>
      <c r="W89" s="94" t="e">
        <v>#REF!</v>
      </c>
      <c r="X89" s="94" t="e">
        <v>#REF!</v>
      </c>
      <c r="Y89" s="91" t="str">
        <f t="shared" si="72"/>
        <v>Construction</v>
      </c>
      <c r="Z89" s="40" t="e">
        <f t="shared" si="73"/>
        <v>#REF!</v>
      </c>
      <c r="AA89" s="94" t="e">
        <v>#REF!</v>
      </c>
      <c r="AB89" s="94" t="e">
        <v>#REF!</v>
      </c>
      <c r="AC89" s="94" t="e">
        <v>#REF!</v>
      </c>
      <c r="AD89" s="94" t="e">
        <v>#REF!</v>
      </c>
      <c r="AF89" s="40" t="e">
        <f t="shared" si="74"/>
        <v>#REF!</v>
      </c>
      <c r="AG89" s="94" t="e">
        <v>#REF!</v>
      </c>
      <c r="AH89" s="94" t="e">
        <v>#REF!</v>
      </c>
      <c r="AI89" s="94" t="e">
        <v>#REF!</v>
      </c>
      <c r="AJ89" s="94" t="e">
        <v>#REF!</v>
      </c>
      <c r="AL89" s="40" t="e">
        <f t="shared" si="75"/>
        <v>#REF!</v>
      </c>
      <c r="AM89" s="94" t="e">
        <v>#REF!</v>
      </c>
      <c r="AN89" s="94" t="e">
        <v>#REF!</v>
      </c>
      <c r="AO89" s="94" t="e">
        <v>#REF!</v>
      </c>
      <c r="AP89" s="94" t="e">
        <v>#REF!</v>
      </c>
      <c r="AQ89" s="94"/>
      <c r="AR89" s="40" t="e">
        <f t="shared" si="76"/>
        <v>#REF!</v>
      </c>
      <c r="AS89" s="94" t="e">
        <v>#REF!</v>
      </c>
      <c r="AT89" s="94" t="e">
        <v>#REF!</v>
      </c>
      <c r="AU89" s="94" t="e">
        <v>#REF!</v>
      </c>
      <c r="AV89" s="94" t="e">
        <v>#REF!</v>
      </c>
      <c r="AW89" s="91" t="str">
        <f t="shared" si="77"/>
        <v>Construction</v>
      </c>
      <c r="AX89" s="40" t="e">
        <f t="shared" si="78"/>
        <v>#REF!</v>
      </c>
      <c r="AY89" s="94" t="e">
        <v>#REF!</v>
      </c>
      <c r="AZ89" s="94" t="e">
        <v>#REF!</v>
      </c>
      <c r="BA89" s="94" t="e">
        <v>#REF!</v>
      </c>
      <c r="BB89" s="94" t="e">
        <v>#REF!</v>
      </c>
      <c r="BD89" s="40" t="e">
        <f t="shared" si="79"/>
        <v>#REF!</v>
      </c>
      <c r="BE89" s="94" t="e">
        <v>#REF!</v>
      </c>
      <c r="BF89" s="94" t="e">
        <v>#REF!</v>
      </c>
      <c r="BG89" s="94" t="e">
        <v>#REF!</v>
      </c>
      <c r="BH89" s="94" t="e">
        <v>#REF!</v>
      </c>
      <c r="BJ89" s="40" t="e">
        <f t="shared" si="80"/>
        <v>#REF!</v>
      </c>
      <c r="BK89" s="94" t="e">
        <v>#REF!</v>
      </c>
      <c r="BL89" s="94" t="e">
        <v>#REF!</v>
      </c>
      <c r="BM89" s="94" t="e">
        <v>#REF!</v>
      </c>
      <c r="BN89" s="94" t="e">
        <v>#REF!</v>
      </c>
      <c r="BO89" s="94"/>
      <c r="BP89" s="40" t="e">
        <f t="shared" si="81"/>
        <v>#REF!</v>
      </c>
      <c r="BQ89" s="94" t="e">
        <v>#REF!</v>
      </c>
      <c r="BR89" s="94" t="e">
        <v>#REF!</v>
      </c>
      <c r="BS89" s="94" t="e">
        <v>#REF!</v>
      </c>
      <c r="BT89" s="94" t="e">
        <v>#REF!</v>
      </c>
      <c r="BU89" s="91" t="str">
        <f t="shared" si="82"/>
        <v>Construction</v>
      </c>
      <c r="BV89" s="40" t="e">
        <f t="shared" si="83"/>
        <v>#REF!</v>
      </c>
      <c r="BW89" s="94" t="e">
        <v>#REF!</v>
      </c>
      <c r="BX89" s="94" t="e">
        <v>#REF!</v>
      </c>
      <c r="BY89" s="94" t="e">
        <v>#REF!</v>
      </c>
      <c r="BZ89" s="94" t="e">
        <v>#REF!</v>
      </c>
      <c r="CB89" s="40" t="e">
        <f t="shared" si="84"/>
        <v>#REF!</v>
      </c>
      <c r="CC89" s="94" t="e">
        <v>#REF!</v>
      </c>
      <c r="CD89" s="94" t="e">
        <v>#REF!</v>
      </c>
      <c r="CE89" s="94" t="e">
        <v>#REF!</v>
      </c>
      <c r="CF89" s="94" t="e">
        <v>#REF!</v>
      </c>
      <c r="CH89" s="40" t="e">
        <f t="shared" si="85"/>
        <v>#REF!</v>
      </c>
      <c r="CI89" s="94" t="e">
        <v>#REF!</v>
      </c>
      <c r="CJ89" s="94" t="e">
        <v>#REF!</v>
      </c>
      <c r="CK89" s="94" t="e">
        <v>#REF!</v>
      </c>
      <c r="CL89" s="94" t="e">
        <v>#REF!</v>
      </c>
      <c r="CM89" s="94"/>
      <c r="CN89" s="40" t="e">
        <f t="shared" si="86"/>
        <v>#REF!</v>
      </c>
      <c r="CO89" s="94" t="e">
        <v>#REF!</v>
      </c>
      <c r="CP89" s="94" t="e">
        <v>#REF!</v>
      </c>
      <c r="CQ89" s="94" t="e">
        <v>#REF!</v>
      </c>
      <c r="CR89" s="94" t="e">
        <v>#REF!</v>
      </c>
      <c r="CS89" s="91" t="str">
        <f t="shared" si="87"/>
        <v>Construction</v>
      </c>
      <c r="CT89" s="40" t="e">
        <f t="shared" si="88"/>
        <v>#REF!</v>
      </c>
      <c r="CU89" s="94" t="e">
        <v>#REF!</v>
      </c>
      <c r="CV89" s="94" t="e">
        <v>#REF!</v>
      </c>
      <c r="CW89" s="94" t="e">
        <v>#REF!</v>
      </c>
      <c r="CX89" s="94" t="e">
        <v>#REF!</v>
      </c>
      <c r="CZ89" s="40" t="e">
        <f t="shared" si="89"/>
        <v>#REF!</v>
      </c>
      <c r="DA89" s="94" t="e">
        <v>#REF!</v>
      </c>
      <c r="DB89" s="94" t="e">
        <v>#REF!</v>
      </c>
      <c r="DC89" s="94" t="e">
        <v>#REF!</v>
      </c>
      <c r="DD89" s="94" t="e">
        <v>#REF!</v>
      </c>
      <c r="DF89" s="40" t="e">
        <f t="shared" si="90"/>
        <v>#REF!</v>
      </c>
      <c r="DG89" s="94" t="e">
        <v>#REF!</v>
      </c>
      <c r="DH89" s="94" t="e">
        <v>#REF!</v>
      </c>
      <c r="DI89" s="94" t="e">
        <v>#REF!</v>
      </c>
      <c r="DJ89" s="94" t="e">
        <v>#REF!</v>
      </c>
      <c r="DK89" s="94"/>
      <c r="DL89" s="40" t="e">
        <f t="shared" si="91"/>
        <v>#REF!</v>
      </c>
      <c r="DM89" s="94" t="e">
        <v>#REF!</v>
      </c>
      <c r="DN89" s="94" t="e">
        <v>#REF!</v>
      </c>
      <c r="DO89" s="94" t="e">
        <v>#REF!</v>
      </c>
      <c r="DP89" s="94" t="e">
        <v>#REF!</v>
      </c>
    </row>
    <row r="90" spans="1:120" x14ac:dyDescent="0.2">
      <c r="A90" s="91" t="str">
        <f>name!C7</f>
        <v>Trade, accomod. and transport</v>
      </c>
      <c r="B90" s="40" t="e">
        <f t="shared" si="68"/>
        <v>#REF!</v>
      </c>
      <c r="C90" s="94" t="e">
        <v>#REF!</v>
      </c>
      <c r="D90" s="94" t="e">
        <v>#REF!</v>
      </c>
      <c r="E90" s="94" t="e">
        <v>#REF!</v>
      </c>
      <c r="F90" s="94" t="e">
        <v>#REF!</v>
      </c>
      <c r="H90" s="40" t="e">
        <f t="shared" si="69"/>
        <v>#REF!</v>
      </c>
      <c r="I90" s="94" t="e">
        <v>#REF!</v>
      </c>
      <c r="J90" s="94" t="e">
        <v>#REF!</v>
      </c>
      <c r="K90" s="94" t="e">
        <v>#REF!</v>
      </c>
      <c r="L90" s="94" t="e">
        <v>#REF!</v>
      </c>
      <c r="N90" s="40" t="e">
        <f t="shared" si="70"/>
        <v>#REF!</v>
      </c>
      <c r="O90" s="94" t="e">
        <v>#REF!</v>
      </c>
      <c r="P90" s="94" t="e">
        <v>#REF!</v>
      </c>
      <c r="Q90" s="94" t="e">
        <v>#REF!</v>
      </c>
      <c r="R90" s="94" t="e">
        <v>#REF!</v>
      </c>
      <c r="S90" s="94"/>
      <c r="T90" s="40" t="e">
        <f t="shared" si="71"/>
        <v>#REF!</v>
      </c>
      <c r="U90" s="94" t="e">
        <v>#REF!</v>
      </c>
      <c r="V90" s="94" t="e">
        <v>#REF!</v>
      </c>
      <c r="W90" s="94" t="e">
        <v>#REF!</v>
      </c>
      <c r="X90" s="94" t="e">
        <v>#REF!</v>
      </c>
      <c r="Y90" s="91" t="str">
        <f t="shared" si="72"/>
        <v>Trade, accomod. and transport</v>
      </c>
      <c r="Z90" s="40" t="e">
        <f t="shared" si="73"/>
        <v>#REF!</v>
      </c>
      <c r="AA90" s="94" t="e">
        <v>#REF!</v>
      </c>
      <c r="AB90" s="94" t="e">
        <v>#REF!</v>
      </c>
      <c r="AC90" s="94" t="e">
        <v>#REF!</v>
      </c>
      <c r="AD90" s="94" t="e">
        <v>#REF!</v>
      </c>
      <c r="AF90" s="40" t="e">
        <f t="shared" si="74"/>
        <v>#REF!</v>
      </c>
      <c r="AG90" s="94" t="e">
        <v>#REF!</v>
      </c>
      <c r="AH90" s="94" t="e">
        <v>#REF!</v>
      </c>
      <c r="AI90" s="94" t="e">
        <v>#REF!</v>
      </c>
      <c r="AJ90" s="94" t="e">
        <v>#REF!</v>
      </c>
      <c r="AL90" s="40" t="e">
        <f t="shared" si="75"/>
        <v>#REF!</v>
      </c>
      <c r="AM90" s="94" t="e">
        <v>#REF!</v>
      </c>
      <c r="AN90" s="94" t="e">
        <v>#REF!</v>
      </c>
      <c r="AO90" s="94" t="e">
        <v>#REF!</v>
      </c>
      <c r="AP90" s="94" t="e">
        <v>#REF!</v>
      </c>
      <c r="AQ90" s="94"/>
      <c r="AR90" s="40" t="e">
        <f t="shared" si="76"/>
        <v>#REF!</v>
      </c>
      <c r="AS90" s="94" t="e">
        <v>#REF!</v>
      </c>
      <c r="AT90" s="94" t="e">
        <v>#REF!</v>
      </c>
      <c r="AU90" s="94" t="e">
        <v>#REF!</v>
      </c>
      <c r="AV90" s="94" t="e">
        <v>#REF!</v>
      </c>
      <c r="AW90" s="91" t="str">
        <f t="shared" si="77"/>
        <v>Trade, accomod. and transport</v>
      </c>
      <c r="AX90" s="40" t="e">
        <f t="shared" si="78"/>
        <v>#REF!</v>
      </c>
      <c r="AY90" s="94" t="e">
        <v>#REF!</v>
      </c>
      <c r="AZ90" s="94" t="e">
        <v>#REF!</v>
      </c>
      <c r="BA90" s="94" t="e">
        <v>#REF!</v>
      </c>
      <c r="BB90" s="94" t="e">
        <v>#REF!</v>
      </c>
      <c r="BD90" s="40" t="e">
        <f t="shared" si="79"/>
        <v>#REF!</v>
      </c>
      <c r="BE90" s="94" t="e">
        <v>#REF!</v>
      </c>
      <c r="BF90" s="94" t="e">
        <v>#REF!</v>
      </c>
      <c r="BG90" s="94" t="e">
        <v>#REF!</v>
      </c>
      <c r="BH90" s="94" t="e">
        <v>#REF!</v>
      </c>
      <c r="BJ90" s="40" t="e">
        <f t="shared" si="80"/>
        <v>#REF!</v>
      </c>
      <c r="BK90" s="94" t="e">
        <v>#REF!</v>
      </c>
      <c r="BL90" s="94" t="e">
        <v>#REF!</v>
      </c>
      <c r="BM90" s="94" t="e">
        <v>#REF!</v>
      </c>
      <c r="BN90" s="94" t="e">
        <v>#REF!</v>
      </c>
      <c r="BO90" s="94"/>
      <c r="BP90" s="40" t="e">
        <f t="shared" si="81"/>
        <v>#REF!</v>
      </c>
      <c r="BQ90" s="94" t="e">
        <v>#REF!</v>
      </c>
      <c r="BR90" s="94" t="e">
        <v>#REF!</v>
      </c>
      <c r="BS90" s="94" t="e">
        <v>#REF!</v>
      </c>
      <c r="BT90" s="94" t="e">
        <v>#REF!</v>
      </c>
      <c r="BU90" s="91" t="str">
        <f t="shared" si="82"/>
        <v>Trade, accomod. and transport</v>
      </c>
      <c r="BV90" s="40" t="e">
        <f t="shared" si="83"/>
        <v>#REF!</v>
      </c>
      <c r="BW90" s="94" t="e">
        <v>#REF!</v>
      </c>
      <c r="BX90" s="94" t="e">
        <v>#REF!</v>
      </c>
      <c r="BY90" s="94" t="e">
        <v>#REF!</v>
      </c>
      <c r="BZ90" s="94" t="e">
        <v>#REF!</v>
      </c>
      <c r="CB90" s="40" t="e">
        <f t="shared" si="84"/>
        <v>#REF!</v>
      </c>
      <c r="CC90" s="94" t="e">
        <v>#REF!</v>
      </c>
      <c r="CD90" s="94" t="e">
        <v>#REF!</v>
      </c>
      <c r="CE90" s="94" t="e">
        <v>#REF!</v>
      </c>
      <c r="CF90" s="94" t="e">
        <v>#REF!</v>
      </c>
      <c r="CH90" s="40" t="e">
        <f t="shared" si="85"/>
        <v>#REF!</v>
      </c>
      <c r="CI90" s="94" t="e">
        <v>#REF!</v>
      </c>
      <c r="CJ90" s="94" t="e">
        <v>#REF!</v>
      </c>
      <c r="CK90" s="94" t="e">
        <v>#REF!</v>
      </c>
      <c r="CL90" s="94" t="e">
        <v>#REF!</v>
      </c>
      <c r="CM90" s="94"/>
      <c r="CN90" s="40" t="e">
        <f t="shared" si="86"/>
        <v>#REF!</v>
      </c>
      <c r="CO90" s="94" t="e">
        <v>#REF!</v>
      </c>
      <c r="CP90" s="94" t="e">
        <v>#REF!</v>
      </c>
      <c r="CQ90" s="94" t="e">
        <v>#REF!</v>
      </c>
      <c r="CR90" s="94" t="e">
        <v>#REF!</v>
      </c>
      <c r="CS90" s="91" t="str">
        <f t="shared" si="87"/>
        <v>Trade, accomod. and transport</v>
      </c>
      <c r="CT90" s="40" t="e">
        <f t="shared" si="88"/>
        <v>#REF!</v>
      </c>
      <c r="CU90" s="94" t="e">
        <v>#REF!</v>
      </c>
      <c r="CV90" s="94" t="e">
        <v>#REF!</v>
      </c>
      <c r="CW90" s="94" t="e">
        <v>#REF!</v>
      </c>
      <c r="CX90" s="94" t="e">
        <v>#REF!</v>
      </c>
      <c r="CZ90" s="40" t="e">
        <f t="shared" si="89"/>
        <v>#REF!</v>
      </c>
      <c r="DA90" s="94" t="e">
        <v>#REF!</v>
      </c>
      <c r="DB90" s="94" t="e">
        <v>#REF!</v>
      </c>
      <c r="DC90" s="94" t="e">
        <v>#REF!</v>
      </c>
      <c r="DD90" s="94" t="e">
        <v>#REF!</v>
      </c>
      <c r="DF90" s="40" t="e">
        <f t="shared" si="90"/>
        <v>#REF!</v>
      </c>
      <c r="DG90" s="94" t="e">
        <v>#REF!</v>
      </c>
      <c r="DH90" s="94" t="e">
        <v>#REF!</v>
      </c>
      <c r="DI90" s="94" t="e">
        <v>#REF!</v>
      </c>
      <c r="DJ90" s="94" t="e">
        <v>#REF!</v>
      </c>
      <c r="DK90" s="94"/>
      <c r="DL90" s="40" t="e">
        <f t="shared" si="91"/>
        <v>#REF!</v>
      </c>
      <c r="DM90" s="94" t="e">
        <v>#REF!</v>
      </c>
      <c r="DN90" s="94" t="e">
        <v>#REF!</v>
      </c>
      <c r="DO90" s="94" t="e">
        <v>#REF!</v>
      </c>
      <c r="DP90" s="94" t="e">
        <v>#REF!</v>
      </c>
    </row>
    <row r="91" spans="1:120" x14ac:dyDescent="0.2">
      <c r="A91" s="91" t="str">
        <f>name!C8</f>
        <v>Business and other services</v>
      </c>
      <c r="B91" s="40" t="e">
        <f t="shared" si="68"/>
        <v>#REF!</v>
      </c>
      <c r="C91" s="94" t="e">
        <v>#REF!</v>
      </c>
      <c r="D91" s="94" t="e">
        <v>#REF!</v>
      </c>
      <c r="E91" s="94" t="e">
        <v>#REF!</v>
      </c>
      <c r="F91" s="94" t="e">
        <v>#REF!</v>
      </c>
      <c r="H91" s="40" t="e">
        <f t="shared" si="69"/>
        <v>#REF!</v>
      </c>
      <c r="I91" s="94" t="e">
        <v>#REF!</v>
      </c>
      <c r="J91" s="94" t="e">
        <v>#REF!</v>
      </c>
      <c r="K91" s="94" t="e">
        <v>#REF!</v>
      </c>
      <c r="L91" s="94" t="e">
        <v>#REF!</v>
      </c>
      <c r="N91" s="40" t="e">
        <f t="shared" si="70"/>
        <v>#REF!</v>
      </c>
      <c r="O91" s="94" t="e">
        <v>#REF!</v>
      </c>
      <c r="P91" s="94" t="e">
        <v>#REF!</v>
      </c>
      <c r="Q91" s="94" t="e">
        <v>#REF!</v>
      </c>
      <c r="R91" s="94" t="e">
        <v>#REF!</v>
      </c>
      <c r="S91" s="94"/>
      <c r="T91" s="40" t="e">
        <f t="shared" si="71"/>
        <v>#REF!</v>
      </c>
      <c r="U91" s="94" t="e">
        <v>#REF!</v>
      </c>
      <c r="V91" s="94" t="e">
        <v>#REF!</v>
      </c>
      <c r="W91" s="94" t="e">
        <v>#REF!</v>
      </c>
      <c r="X91" s="94" t="e">
        <v>#REF!</v>
      </c>
      <c r="Y91" s="91" t="str">
        <f t="shared" si="72"/>
        <v>Business and other services</v>
      </c>
      <c r="Z91" s="40" t="e">
        <f t="shared" si="73"/>
        <v>#REF!</v>
      </c>
      <c r="AA91" s="94" t="e">
        <v>#REF!</v>
      </c>
      <c r="AB91" s="94" t="e">
        <v>#REF!</v>
      </c>
      <c r="AC91" s="94" t="e">
        <v>#REF!</v>
      </c>
      <c r="AD91" s="94" t="e">
        <v>#REF!</v>
      </c>
      <c r="AF91" s="40" t="e">
        <f t="shared" si="74"/>
        <v>#REF!</v>
      </c>
      <c r="AG91" s="94" t="e">
        <v>#REF!</v>
      </c>
      <c r="AH91" s="94" t="e">
        <v>#REF!</v>
      </c>
      <c r="AI91" s="94" t="e">
        <v>#REF!</v>
      </c>
      <c r="AJ91" s="94" t="e">
        <v>#REF!</v>
      </c>
      <c r="AL91" s="40" t="e">
        <f t="shared" si="75"/>
        <v>#REF!</v>
      </c>
      <c r="AM91" s="94" t="e">
        <v>#REF!</v>
      </c>
      <c r="AN91" s="94" t="e">
        <v>#REF!</v>
      </c>
      <c r="AO91" s="94" t="e">
        <v>#REF!</v>
      </c>
      <c r="AP91" s="94" t="e">
        <v>#REF!</v>
      </c>
      <c r="AQ91" s="94"/>
      <c r="AR91" s="40" t="e">
        <f t="shared" si="76"/>
        <v>#REF!</v>
      </c>
      <c r="AS91" s="94" t="e">
        <v>#REF!</v>
      </c>
      <c r="AT91" s="94" t="e">
        <v>#REF!</v>
      </c>
      <c r="AU91" s="94" t="e">
        <v>#REF!</v>
      </c>
      <c r="AV91" s="94" t="e">
        <v>#REF!</v>
      </c>
      <c r="AW91" s="91" t="str">
        <f t="shared" si="77"/>
        <v>Business and other services</v>
      </c>
      <c r="AX91" s="40" t="e">
        <f t="shared" si="78"/>
        <v>#REF!</v>
      </c>
      <c r="AY91" s="94" t="e">
        <v>#REF!</v>
      </c>
      <c r="AZ91" s="94" t="e">
        <v>#REF!</v>
      </c>
      <c r="BA91" s="94" t="e">
        <v>#REF!</v>
      </c>
      <c r="BB91" s="94" t="e">
        <v>#REF!</v>
      </c>
      <c r="BD91" s="40" t="e">
        <f t="shared" si="79"/>
        <v>#REF!</v>
      </c>
      <c r="BE91" s="94" t="e">
        <v>#REF!</v>
      </c>
      <c r="BF91" s="94" t="e">
        <v>#REF!</v>
      </c>
      <c r="BG91" s="94" t="e">
        <v>#REF!</v>
      </c>
      <c r="BH91" s="94" t="e">
        <v>#REF!</v>
      </c>
      <c r="BJ91" s="40" t="e">
        <f t="shared" si="80"/>
        <v>#REF!</v>
      </c>
      <c r="BK91" s="94" t="e">
        <v>#REF!</v>
      </c>
      <c r="BL91" s="94" t="e">
        <v>#REF!</v>
      </c>
      <c r="BM91" s="94" t="e">
        <v>#REF!</v>
      </c>
      <c r="BN91" s="94" t="e">
        <v>#REF!</v>
      </c>
      <c r="BO91" s="94"/>
      <c r="BP91" s="40" t="e">
        <f t="shared" si="81"/>
        <v>#REF!</v>
      </c>
      <c r="BQ91" s="94" t="e">
        <v>#REF!</v>
      </c>
      <c r="BR91" s="94" t="e">
        <v>#REF!</v>
      </c>
      <c r="BS91" s="94" t="e">
        <v>#REF!</v>
      </c>
      <c r="BT91" s="94" t="e">
        <v>#REF!</v>
      </c>
      <c r="BU91" s="91" t="str">
        <f t="shared" si="82"/>
        <v>Business and other services</v>
      </c>
      <c r="BV91" s="40" t="e">
        <f t="shared" si="83"/>
        <v>#REF!</v>
      </c>
      <c r="BW91" s="94" t="e">
        <v>#REF!</v>
      </c>
      <c r="BX91" s="94" t="e">
        <v>#REF!</v>
      </c>
      <c r="BY91" s="94" t="e">
        <v>#REF!</v>
      </c>
      <c r="BZ91" s="94" t="e">
        <v>#REF!</v>
      </c>
      <c r="CB91" s="40" t="e">
        <f t="shared" si="84"/>
        <v>#REF!</v>
      </c>
      <c r="CC91" s="94" t="e">
        <v>#REF!</v>
      </c>
      <c r="CD91" s="94" t="e">
        <v>#REF!</v>
      </c>
      <c r="CE91" s="94" t="e">
        <v>#REF!</v>
      </c>
      <c r="CF91" s="94" t="e">
        <v>#REF!</v>
      </c>
      <c r="CH91" s="40" t="e">
        <f t="shared" si="85"/>
        <v>#REF!</v>
      </c>
      <c r="CI91" s="94" t="e">
        <v>#REF!</v>
      </c>
      <c r="CJ91" s="94" t="e">
        <v>#REF!</v>
      </c>
      <c r="CK91" s="94" t="e">
        <v>#REF!</v>
      </c>
      <c r="CL91" s="94" t="e">
        <v>#REF!</v>
      </c>
      <c r="CM91" s="94"/>
      <c r="CN91" s="40" t="e">
        <f t="shared" si="86"/>
        <v>#REF!</v>
      </c>
      <c r="CO91" s="94" t="e">
        <v>#REF!</v>
      </c>
      <c r="CP91" s="94" t="e">
        <v>#REF!</v>
      </c>
      <c r="CQ91" s="94" t="e">
        <v>#REF!</v>
      </c>
      <c r="CR91" s="94" t="e">
        <v>#REF!</v>
      </c>
      <c r="CS91" s="91" t="str">
        <f t="shared" si="87"/>
        <v>Business and other services</v>
      </c>
      <c r="CT91" s="40" t="e">
        <f t="shared" si="88"/>
        <v>#REF!</v>
      </c>
      <c r="CU91" s="94" t="e">
        <v>#REF!</v>
      </c>
      <c r="CV91" s="94" t="e">
        <v>#REF!</v>
      </c>
      <c r="CW91" s="94" t="e">
        <v>#REF!</v>
      </c>
      <c r="CX91" s="94" t="e">
        <v>#REF!</v>
      </c>
      <c r="CZ91" s="40" t="e">
        <f t="shared" si="89"/>
        <v>#REF!</v>
      </c>
      <c r="DA91" s="94" t="e">
        <v>#REF!</v>
      </c>
      <c r="DB91" s="94" t="e">
        <v>#REF!</v>
      </c>
      <c r="DC91" s="94" t="e">
        <v>#REF!</v>
      </c>
      <c r="DD91" s="94" t="e">
        <v>#REF!</v>
      </c>
      <c r="DF91" s="40" t="e">
        <f t="shared" si="90"/>
        <v>#REF!</v>
      </c>
      <c r="DG91" s="94" t="e">
        <v>#REF!</v>
      </c>
      <c r="DH91" s="94" t="e">
        <v>#REF!</v>
      </c>
      <c r="DI91" s="94" t="e">
        <v>#REF!</v>
      </c>
      <c r="DJ91" s="94" t="e">
        <v>#REF!</v>
      </c>
      <c r="DK91" s="94"/>
      <c r="DL91" s="40" t="e">
        <f t="shared" si="91"/>
        <v>#REF!</v>
      </c>
      <c r="DM91" s="94" t="e">
        <v>#REF!</v>
      </c>
      <c r="DN91" s="94" t="e">
        <v>#REF!</v>
      </c>
      <c r="DO91" s="94" t="e">
        <v>#REF!</v>
      </c>
      <c r="DP91" s="94" t="e">
        <v>#REF!</v>
      </c>
    </row>
    <row r="92" spans="1:120" x14ac:dyDescent="0.2">
      <c r="A92" s="91" t="str">
        <f>name!C9</f>
        <v>Non-marketed services</v>
      </c>
      <c r="B92" s="40" t="e">
        <f t="shared" si="68"/>
        <v>#REF!</v>
      </c>
      <c r="C92" s="94" t="e">
        <v>#REF!</v>
      </c>
      <c r="D92" s="94" t="e">
        <v>#REF!</v>
      </c>
      <c r="E92" s="94" t="e">
        <v>#REF!</v>
      </c>
      <c r="F92" s="94" t="e">
        <v>#REF!</v>
      </c>
      <c r="H92" s="40" t="e">
        <f t="shared" si="69"/>
        <v>#REF!</v>
      </c>
      <c r="I92" s="94" t="e">
        <v>#REF!</v>
      </c>
      <c r="J92" s="94" t="e">
        <v>#REF!</v>
      </c>
      <c r="K92" s="94" t="e">
        <v>#REF!</v>
      </c>
      <c r="L92" s="94" t="e">
        <v>#REF!</v>
      </c>
      <c r="N92" s="40" t="e">
        <f t="shared" si="70"/>
        <v>#REF!</v>
      </c>
      <c r="O92" s="94" t="e">
        <v>#REF!</v>
      </c>
      <c r="P92" s="94" t="e">
        <v>#REF!</v>
      </c>
      <c r="Q92" s="94" t="e">
        <v>#REF!</v>
      </c>
      <c r="R92" s="94" t="e">
        <v>#REF!</v>
      </c>
      <c r="S92" s="94"/>
      <c r="T92" s="40" t="e">
        <f t="shared" si="71"/>
        <v>#REF!</v>
      </c>
      <c r="U92" s="94" t="e">
        <v>#REF!</v>
      </c>
      <c r="V92" s="94" t="e">
        <v>#REF!</v>
      </c>
      <c r="W92" s="94" t="e">
        <v>#REF!</v>
      </c>
      <c r="X92" s="94" t="e">
        <v>#REF!</v>
      </c>
      <c r="Y92" s="91" t="str">
        <f t="shared" si="72"/>
        <v>Non-marketed services</v>
      </c>
      <c r="Z92" s="40" t="e">
        <f t="shared" si="73"/>
        <v>#REF!</v>
      </c>
      <c r="AA92" s="94" t="e">
        <v>#REF!</v>
      </c>
      <c r="AB92" s="94" t="e">
        <v>#REF!</v>
      </c>
      <c r="AC92" s="94" t="e">
        <v>#REF!</v>
      </c>
      <c r="AD92" s="94" t="e">
        <v>#REF!</v>
      </c>
      <c r="AF92" s="40" t="e">
        <f t="shared" si="74"/>
        <v>#REF!</v>
      </c>
      <c r="AG92" s="94" t="e">
        <v>#REF!</v>
      </c>
      <c r="AH92" s="94" t="e">
        <v>#REF!</v>
      </c>
      <c r="AI92" s="94" t="e">
        <v>#REF!</v>
      </c>
      <c r="AJ92" s="94" t="e">
        <v>#REF!</v>
      </c>
      <c r="AL92" s="40" t="e">
        <f t="shared" si="75"/>
        <v>#REF!</v>
      </c>
      <c r="AM92" s="94" t="e">
        <v>#REF!</v>
      </c>
      <c r="AN92" s="94" t="e">
        <v>#REF!</v>
      </c>
      <c r="AO92" s="94" t="e">
        <v>#REF!</v>
      </c>
      <c r="AP92" s="94" t="e">
        <v>#REF!</v>
      </c>
      <c r="AQ92" s="94"/>
      <c r="AR92" s="40" t="e">
        <f t="shared" si="76"/>
        <v>#REF!</v>
      </c>
      <c r="AS92" s="94" t="e">
        <v>#REF!</v>
      </c>
      <c r="AT92" s="94" t="e">
        <v>#REF!</v>
      </c>
      <c r="AU92" s="94" t="e">
        <v>#REF!</v>
      </c>
      <c r="AV92" s="94" t="e">
        <v>#REF!</v>
      </c>
      <c r="AW92" s="91" t="str">
        <f t="shared" si="77"/>
        <v>Non-marketed services</v>
      </c>
      <c r="AX92" s="40" t="e">
        <f t="shared" si="78"/>
        <v>#REF!</v>
      </c>
      <c r="AY92" s="94" t="e">
        <v>#REF!</v>
      </c>
      <c r="AZ92" s="94" t="e">
        <v>#REF!</v>
      </c>
      <c r="BA92" s="94" t="e">
        <v>#REF!</v>
      </c>
      <c r="BB92" s="94" t="e">
        <v>#REF!</v>
      </c>
      <c r="BD92" s="40" t="e">
        <f t="shared" si="79"/>
        <v>#REF!</v>
      </c>
      <c r="BE92" s="94" t="e">
        <v>#REF!</v>
      </c>
      <c r="BF92" s="94" t="e">
        <v>#REF!</v>
      </c>
      <c r="BG92" s="94" t="e">
        <v>#REF!</v>
      </c>
      <c r="BH92" s="94" t="e">
        <v>#REF!</v>
      </c>
      <c r="BJ92" s="40" t="e">
        <f t="shared" si="80"/>
        <v>#REF!</v>
      </c>
      <c r="BK92" s="94" t="e">
        <v>#REF!</v>
      </c>
      <c r="BL92" s="94" t="e">
        <v>#REF!</v>
      </c>
      <c r="BM92" s="94" t="e">
        <v>#REF!</v>
      </c>
      <c r="BN92" s="94" t="e">
        <v>#REF!</v>
      </c>
      <c r="BO92" s="94"/>
      <c r="BP92" s="40" t="e">
        <f t="shared" si="81"/>
        <v>#REF!</v>
      </c>
      <c r="BQ92" s="94" t="e">
        <v>#REF!</v>
      </c>
      <c r="BR92" s="94" t="e">
        <v>#REF!</v>
      </c>
      <c r="BS92" s="94" t="e">
        <v>#REF!</v>
      </c>
      <c r="BT92" s="94" t="e">
        <v>#REF!</v>
      </c>
      <c r="BU92" s="91" t="str">
        <f t="shared" si="82"/>
        <v>Non-marketed services</v>
      </c>
      <c r="BV92" s="40" t="e">
        <f t="shared" si="83"/>
        <v>#REF!</v>
      </c>
      <c r="BW92" s="94" t="e">
        <v>#REF!</v>
      </c>
      <c r="BX92" s="94" t="e">
        <v>#REF!</v>
      </c>
      <c r="BY92" s="94" t="e">
        <v>#REF!</v>
      </c>
      <c r="BZ92" s="94" t="e">
        <v>#REF!</v>
      </c>
      <c r="CB92" s="40" t="e">
        <f t="shared" si="84"/>
        <v>#REF!</v>
      </c>
      <c r="CC92" s="94" t="e">
        <v>#REF!</v>
      </c>
      <c r="CD92" s="94" t="e">
        <v>#REF!</v>
      </c>
      <c r="CE92" s="94" t="e">
        <v>#REF!</v>
      </c>
      <c r="CF92" s="94" t="e">
        <v>#REF!</v>
      </c>
      <c r="CH92" s="40" t="e">
        <f t="shared" si="85"/>
        <v>#REF!</v>
      </c>
      <c r="CI92" s="94" t="e">
        <v>#REF!</v>
      </c>
      <c r="CJ92" s="94" t="e">
        <v>#REF!</v>
      </c>
      <c r="CK92" s="94" t="e">
        <v>#REF!</v>
      </c>
      <c r="CL92" s="94" t="e">
        <v>#REF!</v>
      </c>
      <c r="CM92" s="94"/>
      <c r="CN92" s="40" t="e">
        <f t="shared" si="86"/>
        <v>#REF!</v>
      </c>
      <c r="CO92" s="94" t="e">
        <v>#REF!</v>
      </c>
      <c r="CP92" s="94" t="e">
        <v>#REF!</v>
      </c>
      <c r="CQ92" s="94" t="e">
        <v>#REF!</v>
      </c>
      <c r="CR92" s="94" t="e">
        <v>#REF!</v>
      </c>
      <c r="CS92" s="91" t="str">
        <f t="shared" si="87"/>
        <v>Non-marketed services</v>
      </c>
      <c r="CT92" s="40" t="e">
        <f t="shared" si="88"/>
        <v>#REF!</v>
      </c>
      <c r="CU92" s="94" t="e">
        <v>#REF!</v>
      </c>
      <c r="CV92" s="94" t="e">
        <v>#REF!</v>
      </c>
      <c r="CW92" s="94" t="e">
        <v>#REF!</v>
      </c>
      <c r="CX92" s="94" t="e">
        <v>#REF!</v>
      </c>
      <c r="CZ92" s="40" t="e">
        <f t="shared" si="89"/>
        <v>#REF!</v>
      </c>
      <c r="DA92" s="94" t="e">
        <v>#REF!</v>
      </c>
      <c r="DB92" s="94" t="e">
        <v>#REF!</v>
      </c>
      <c r="DC92" s="94" t="e">
        <v>#REF!</v>
      </c>
      <c r="DD92" s="94" t="e">
        <v>#REF!</v>
      </c>
      <c r="DF92" s="40" t="e">
        <f t="shared" si="90"/>
        <v>#REF!</v>
      </c>
      <c r="DG92" s="94" t="e">
        <v>#REF!</v>
      </c>
      <c r="DH92" s="94" t="e">
        <v>#REF!</v>
      </c>
      <c r="DI92" s="94" t="e">
        <v>#REF!</v>
      </c>
      <c r="DJ92" s="94" t="e">
        <v>#REF!</v>
      </c>
      <c r="DK92" s="94"/>
      <c r="DL92" s="40" t="e">
        <f t="shared" si="91"/>
        <v>#REF!</v>
      </c>
      <c r="DM92" s="94" t="e">
        <v>#REF!</v>
      </c>
      <c r="DN92" s="94" t="e">
        <v>#REF!</v>
      </c>
      <c r="DO92" s="94" t="e">
        <v>#REF!</v>
      </c>
      <c r="DP92" s="94" t="e">
        <v>#REF!</v>
      </c>
    </row>
    <row r="93" spans="1:120" x14ac:dyDescent="0.2">
      <c r="B93" s="40"/>
      <c r="C93" s="94"/>
      <c r="D93" s="94"/>
      <c r="E93" s="94"/>
      <c r="F93" s="94"/>
      <c r="H93" s="40"/>
      <c r="I93" s="94"/>
      <c r="J93" s="94"/>
      <c r="K93" s="94"/>
      <c r="L93" s="94"/>
      <c r="N93" s="40"/>
      <c r="O93" s="94"/>
      <c r="P93" s="94"/>
      <c r="Q93" s="94"/>
      <c r="R93" s="94"/>
      <c r="S93" s="94"/>
      <c r="T93" s="40"/>
      <c r="U93" s="94"/>
      <c r="V93" s="94"/>
      <c r="W93" s="94"/>
      <c r="X93" s="94"/>
      <c r="Z93" s="40"/>
      <c r="AA93" s="94"/>
      <c r="AB93" s="94"/>
      <c r="AC93" s="94"/>
      <c r="AD93" s="94"/>
      <c r="AF93" s="40"/>
      <c r="AG93" s="94"/>
      <c r="AH93" s="94"/>
      <c r="AI93" s="94"/>
      <c r="AJ93" s="94"/>
      <c r="AL93" s="40"/>
      <c r="AM93" s="94"/>
      <c r="AN93" s="94"/>
      <c r="AO93" s="94"/>
      <c r="AP93" s="94"/>
      <c r="AQ93" s="94"/>
      <c r="AR93" s="40"/>
      <c r="AS93" s="94"/>
      <c r="AT93" s="94"/>
      <c r="AU93" s="94"/>
      <c r="AV93" s="94"/>
      <c r="AX93" s="40"/>
      <c r="AY93" s="94"/>
      <c r="AZ93" s="94"/>
      <c r="BA93" s="94"/>
      <c r="BB93" s="94"/>
      <c r="BD93" s="40"/>
      <c r="BE93" s="94"/>
      <c r="BF93" s="94"/>
      <c r="BG93" s="94"/>
      <c r="BH93" s="94"/>
      <c r="BJ93" s="40"/>
      <c r="BK93" s="94"/>
      <c r="BL93" s="94"/>
      <c r="BM93" s="94"/>
      <c r="BN93" s="94"/>
      <c r="BO93" s="94"/>
      <c r="BP93" s="40"/>
      <c r="BQ93" s="94"/>
      <c r="BR93" s="94"/>
      <c r="BS93" s="94"/>
      <c r="BT93" s="94"/>
      <c r="BV93" s="40"/>
      <c r="BW93" s="94"/>
      <c r="BX93" s="94"/>
      <c r="BY93" s="94"/>
      <c r="BZ93" s="94"/>
      <c r="CB93" s="40"/>
      <c r="CC93" s="94"/>
      <c r="CD93" s="94"/>
      <c r="CE93" s="94"/>
      <c r="CF93" s="94"/>
      <c r="CH93" s="40"/>
      <c r="CI93" s="94"/>
      <c r="CJ93" s="94"/>
      <c r="CK93" s="94"/>
      <c r="CL93" s="94"/>
      <c r="CM93" s="94"/>
      <c r="CN93" s="40"/>
      <c r="CO93" s="94"/>
      <c r="CP93" s="94"/>
      <c r="CQ93" s="94"/>
      <c r="CR93" s="94"/>
      <c r="CT93" s="40"/>
      <c r="CU93" s="94"/>
      <c r="CV93" s="94"/>
      <c r="CW93" s="94"/>
      <c r="CX93" s="94"/>
      <c r="CZ93" s="40"/>
      <c r="DA93" s="94"/>
      <c r="DB93" s="94"/>
      <c r="DC93" s="94"/>
      <c r="DD93" s="94"/>
      <c r="DF93" s="40"/>
      <c r="DG93" s="94"/>
      <c r="DH93" s="94"/>
      <c r="DI93" s="94"/>
      <c r="DJ93" s="94"/>
      <c r="DK93" s="94"/>
      <c r="DL93" s="40"/>
      <c r="DM93" s="94"/>
      <c r="DN93" s="94"/>
      <c r="DO93" s="94"/>
      <c r="DP93" s="94"/>
    </row>
    <row r="94" spans="1:120" x14ac:dyDescent="0.2">
      <c r="A94" s="91" t="str">
        <f>name!C3</f>
        <v>All industries</v>
      </c>
      <c r="B94" s="40">
        <f t="shared" si="68"/>
        <v>2.7912372459239387</v>
      </c>
      <c r="C94" s="94">
        <f>C50</f>
        <v>4561.2992279926211</v>
      </c>
      <c r="D94" s="94">
        <f>D50</f>
        <v>431.97496524334053</v>
      </c>
      <c r="E94" s="94">
        <f>E50</f>
        <v>1445.5882710202891</v>
      </c>
      <c r="F94" s="94">
        <f>F50</f>
        <v>1877.5632362636297</v>
      </c>
      <c r="H94" s="40">
        <f t="shared" si="69"/>
        <v>2.6517730789267446</v>
      </c>
      <c r="I94" s="94">
        <f>I50</f>
        <v>774.77767553257945</v>
      </c>
      <c r="J94" s="94">
        <f>J50</f>
        <v>-90.9176985646708</v>
      </c>
      <c r="K94" s="94">
        <f>K50</f>
        <v>231.78692033646578</v>
      </c>
      <c r="L94" s="94">
        <f>L50</f>
        <v>140.86922177179497</v>
      </c>
      <c r="N94" s="40">
        <f t="shared" si="70"/>
        <v>2.6893242464146816</v>
      </c>
      <c r="O94" s="94">
        <f>O50</f>
        <v>1810.6123702397726</v>
      </c>
      <c r="P94" s="94">
        <f>P50</f>
        <v>208.84741372398935</v>
      </c>
      <c r="Q94" s="94">
        <f>Q50</f>
        <v>550.29225403969679</v>
      </c>
      <c r="R94" s="94">
        <f>R50</f>
        <v>759.13966776368613</v>
      </c>
      <c r="S94" s="94"/>
      <c r="T94" s="40">
        <f t="shared" si="71"/>
        <v>2.9376202991175049</v>
      </c>
      <c r="U94" s="94">
        <f>U50</f>
        <v>1975.9091822202711</v>
      </c>
      <c r="V94" s="94">
        <f>V50</f>
        <v>314.04525008402186</v>
      </c>
      <c r="W94" s="94">
        <f>W50</f>
        <v>663.50909664412427</v>
      </c>
      <c r="X94" s="94">
        <f>X50</f>
        <v>977.55434672814613</v>
      </c>
      <c r="Y94" s="92" t="str">
        <f>A94</f>
        <v>All industries</v>
      </c>
      <c r="Z94" s="40">
        <f>IF(AA94&gt;0,((1+(AC94/AA94))^(1/($A$101-$A$100))-1)*100,0)</f>
        <v>2.9771972098236787</v>
      </c>
      <c r="AA94" s="94">
        <f>AA50</f>
        <v>2141.7348734083043</v>
      </c>
      <c r="AB94" s="94">
        <f>AB50</f>
        <v>328.18012130131888</v>
      </c>
      <c r="AC94" s="94">
        <f>AC50</f>
        <v>730.21185757939747</v>
      </c>
      <c r="AD94" s="94">
        <f>AD50</f>
        <v>1058.3919788807164</v>
      </c>
      <c r="AF94" s="40">
        <f>IF(AG94&gt;0,((1+(AI94/AG94))^(1/($A$101-$A$100))-1)*100,0)</f>
        <v>3.0280155732974823</v>
      </c>
      <c r="AG94" s="94">
        <f>AG50</f>
        <v>114.36183531349347</v>
      </c>
      <c r="AH94" s="94">
        <f>AH50</f>
        <v>10.806009020856356</v>
      </c>
      <c r="AI94" s="94">
        <f>AI50</f>
        <v>39.749458273691218</v>
      </c>
      <c r="AJ94" s="94">
        <f>AJ50</f>
        <v>50.555467294547576</v>
      </c>
      <c r="AL94" s="40">
        <f>IF(AM94&gt;0,((1+(AO94/AM94))^(1/($A$101-$A$100))-1)*100,0)</f>
        <v>2.9663353480916088</v>
      </c>
      <c r="AM94" s="94">
        <f>AM50</f>
        <v>484.03376220781502</v>
      </c>
      <c r="AN94" s="94">
        <f>AN50</f>
        <v>80.752171418150368</v>
      </c>
      <c r="AO94" s="94">
        <f>AO50</f>
        <v>164.34415782441963</v>
      </c>
      <c r="AP94" s="94">
        <f>AP50</f>
        <v>245.09632924256999</v>
      </c>
      <c r="AQ94" s="94"/>
      <c r="AR94" s="40">
        <f>IF(AS94&gt;0,((1+(AU94/AS94))^(1/($A$101-$A$100))-1)*100,0)</f>
        <v>2.9768281396108875</v>
      </c>
      <c r="AS94" s="94">
        <f>AS50</f>
        <v>1543.3392758869961</v>
      </c>
      <c r="AT94" s="94">
        <f>AT50</f>
        <v>236.62194086231219</v>
      </c>
      <c r="AU94" s="94">
        <f>AU50</f>
        <v>526.11824148128676</v>
      </c>
      <c r="AV94" s="94">
        <f>AV50</f>
        <v>762.74018234359892</v>
      </c>
      <c r="AW94" s="92" t="str">
        <f>Y94</f>
        <v>All industries</v>
      </c>
      <c r="AX94" s="40">
        <f>IF(AY94&gt;0,((1+(BA94/AY94))^(1/($A$101-$A$100))-1)*100,0)</f>
        <v>2.5960689907792656</v>
      </c>
      <c r="AY94" s="94">
        <f>AY50</f>
        <v>1169.4910110900296</v>
      </c>
      <c r="AZ94" s="94">
        <f>AZ50</f>
        <v>61.012733866251224</v>
      </c>
      <c r="BA94" s="94">
        <f>BA50</f>
        <v>341.64688672572964</v>
      </c>
      <c r="BB94" s="94">
        <f>BB50</f>
        <v>402.65962059198085</v>
      </c>
      <c r="BD94" s="40">
        <f>IF(BE94&gt;0,((1+(BG94/BE94))^(1/($A$101-$A$100))-1)*100,0)</f>
        <v>2.5108134589674425</v>
      </c>
      <c r="BE94" s="94">
        <f>BE50</f>
        <v>196.77997170605971</v>
      </c>
      <c r="BF94" s="94">
        <f>BF50</f>
        <v>-19.19988351079143</v>
      </c>
      <c r="BG94" s="94">
        <f>BG50</f>
        <v>55.380896948664599</v>
      </c>
      <c r="BH94" s="94">
        <f>BH50</f>
        <v>36.181013437873169</v>
      </c>
      <c r="BJ94" s="40">
        <f>IF(BK94&gt;0,((1+(BM94/BK94))^(1/($A$101-$A$100))-1)*100,0)</f>
        <v>2.5531077119064882</v>
      </c>
      <c r="BK94" s="94">
        <f>BK50</f>
        <v>650.12175377402275</v>
      </c>
      <c r="BL94" s="94">
        <f>BL50</f>
        <v>42.192712487148434</v>
      </c>
      <c r="BM94" s="94">
        <f>BM50</f>
        <v>186.41100647521165</v>
      </c>
      <c r="BN94" s="94">
        <f>BN50</f>
        <v>228.60371896236009</v>
      </c>
      <c r="BO94" s="94"/>
      <c r="BP94" s="40">
        <f>IF(BQ94&gt;0,((1+(BS94/BQ94))^(1/($A$101-$A$100))-1)*100,0)</f>
        <v>2.7334678665663192</v>
      </c>
      <c r="BQ94" s="94">
        <f>BQ50</f>
        <v>322.58928560994713</v>
      </c>
      <c r="BR94" s="94">
        <f>BR50</f>
        <v>38.019904889894228</v>
      </c>
      <c r="BS94" s="94">
        <f>BS50</f>
        <v>99.854983301853494</v>
      </c>
      <c r="BT94" s="94">
        <f>BT50</f>
        <v>137.87488819174771</v>
      </c>
      <c r="BU94" s="92" t="str">
        <f>AW94</f>
        <v>All industries</v>
      </c>
      <c r="BV94" s="40">
        <f>IF(BW94&gt;0,((1+(BY94/BW94))^(1/($A$101-$A$100))-1)*100,0)</f>
        <v>2.5889208699682698</v>
      </c>
      <c r="BW94" s="94">
        <f>BW50</f>
        <v>786.26148565798121</v>
      </c>
      <c r="BX94" s="94">
        <f>BX50</f>
        <v>-16.768227409449015</v>
      </c>
      <c r="BY94" s="94">
        <f>BY50</f>
        <v>228.98528730973825</v>
      </c>
      <c r="BZ94" s="94">
        <f>BZ50</f>
        <v>212.21705990028923</v>
      </c>
      <c r="CB94" s="40">
        <f>IF(CC94&gt;0,((1+(CE94/CC94))^(1/($A$101-$A$100))-1)*100,0)</f>
        <v>2.5278948366694864</v>
      </c>
      <c r="CC94" s="94">
        <f>CC50</f>
        <v>257.91842111045776</v>
      </c>
      <c r="CD94" s="94">
        <f>CD50</f>
        <v>-52.179148361626908</v>
      </c>
      <c r="CE94" s="94">
        <f>CE50</f>
        <v>73.138570554183204</v>
      </c>
      <c r="CF94" s="94">
        <f>CF50</f>
        <v>20.959422192556296</v>
      </c>
      <c r="CH94" s="40">
        <f>IF(CI94&gt;0,((1+(CK94/CI94))^(1/($A$101-$A$100))-1)*100,0)</f>
        <v>2.5655949055339189</v>
      </c>
      <c r="CI94" s="94">
        <f>CI50</f>
        <v>462.50112579230256</v>
      </c>
      <c r="CJ94" s="94">
        <f>CJ50</f>
        <v>18.263082416840735</v>
      </c>
      <c r="CK94" s="94">
        <f>CK50</f>
        <v>133.33911166207648</v>
      </c>
      <c r="CL94" s="94">
        <f>CL50</f>
        <v>151.60219407891722</v>
      </c>
      <c r="CM94" s="94"/>
      <c r="CN94" s="40">
        <f>IF(CO94&gt;0,((1+(CQ94/CO94))^(1/($A$101-$A$100))-1)*100,0)</f>
        <v>2.9840981402702971</v>
      </c>
      <c r="CO94" s="94">
        <f>CO50</f>
        <v>65.841938755220539</v>
      </c>
      <c r="CP94" s="94">
        <f>CP50</f>
        <v>17.147838535337179</v>
      </c>
      <c r="CQ94" s="94">
        <f>CQ50</f>
        <v>22.507605093478684</v>
      </c>
      <c r="CR94" s="94">
        <f>CR50</f>
        <v>39.65544362881586</v>
      </c>
      <c r="CS94" s="92" t="str">
        <f>BU94</f>
        <v>All industries</v>
      </c>
      <c r="CT94" s="40">
        <f>IF(CU94&gt;0,((1+(CW94/CU94))^(1/($A$101-$A$100))-1)*100,0)</f>
        <v>2.7533233225370157</v>
      </c>
      <c r="CU94" s="94">
        <f>CU50</f>
        <v>463.81185783630696</v>
      </c>
      <c r="CV94" s="94">
        <f>CV50</f>
        <v>59.550337485219423</v>
      </c>
      <c r="CW94" s="94">
        <f>CW50</f>
        <v>144.74423940542175</v>
      </c>
      <c r="CX94" s="94">
        <f>CX50</f>
        <v>204.29457689064117</v>
      </c>
      <c r="CZ94" s="40">
        <f>IF(DA94&gt;0,((1+(DC94/DA94))^(1/($A$101-$A$100))-1)*100,0)</f>
        <v>2.7273559755584653</v>
      </c>
      <c r="DA94" s="94">
        <f>DA50</f>
        <v>205.71744740256855</v>
      </c>
      <c r="DB94" s="94">
        <f>DB50</f>
        <v>-30.344675713108767</v>
      </c>
      <c r="DC94" s="94">
        <f>DC50</f>
        <v>63.517994559926827</v>
      </c>
      <c r="DD94" s="94">
        <f>DD50</f>
        <v>33.173318846818063</v>
      </c>
      <c r="DF94" s="40">
        <f>IF(DG94&gt;0,((1+(DI94/DG94))^(1/($A$101-$A$100))-1)*100,0)</f>
        <v>2.7323553670193235</v>
      </c>
      <c r="DG94" s="94">
        <f>DG50</f>
        <v>213.95572846563186</v>
      </c>
      <c r="DH94" s="94">
        <f>DH50</f>
        <v>67.639447401849822</v>
      </c>
      <c r="DI94" s="94">
        <f>DI50</f>
        <v>66.197978077989319</v>
      </c>
      <c r="DJ94" s="94">
        <f>DJ50</f>
        <v>133.83742547983914</v>
      </c>
      <c r="DK94" s="94"/>
      <c r="DL94" s="40">
        <f>IF(DM94&gt;0,((1+(DO94/DM94))^(1/($A$101-$A$100))-1)*100,0)</f>
        <v>2.9736201868302725</v>
      </c>
      <c r="DM94" s="94">
        <f>DM50</f>
        <v>44.13868196810671</v>
      </c>
      <c r="DN94" s="94">
        <f>DN50</f>
        <v>22.25556579647839</v>
      </c>
      <c r="DO94" s="94">
        <f>DO50</f>
        <v>15.028266767505601</v>
      </c>
      <c r="DP94" s="94">
        <f>DP50</f>
        <v>37.283832563983992</v>
      </c>
    </row>
    <row r="95" spans="1:120" x14ac:dyDescent="0.2">
      <c r="A95" s="96"/>
      <c r="B95" s="112"/>
      <c r="C95" s="112"/>
      <c r="D95" s="112"/>
      <c r="E95" s="112"/>
      <c r="F95" s="112"/>
      <c r="G95" s="96"/>
      <c r="H95" s="112"/>
      <c r="I95" s="112"/>
      <c r="J95" s="112"/>
      <c r="K95" s="112"/>
      <c r="L95" s="112"/>
      <c r="M95" s="96"/>
      <c r="N95" s="96"/>
      <c r="O95" s="112"/>
      <c r="P95" s="112"/>
      <c r="Q95" s="112"/>
      <c r="R95" s="112"/>
      <c r="S95" s="112"/>
      <c r="T95" s="96"/>
      <c r="U95" s="112"/>
      <c r="V95" s="112"/>
      <c r="W95" s="112"/>
      <c r="X95" s="112"/>
      <c r="Y95" s="96"/>
      <c r="Z95" s="112"/>
      <c r="AA95" s="112"/>
      <c r="AB95" s="112"/>
      <c r="AC95" s="112"/>
      <c r="AD95" s="112"/>
      <c r="AE95" s="96"/>
      <c r="AF95" s="112"/>
      <c r="AG95" s="112"/>
      <c r="AH95" s="112"/>
      <c r="AI95" s="112"/>
      <c r="AJ95" s="112"/>
      <c r="AK95" s="96"/>
      <c r="AL95" s="96"/>
      <c r="AM95" s="112"/>
      <c r="AN95" s="112"/>
      <c r="AO95" s="112"/>
      <c r="AP95" s="112"/>
      <c r="AQ95" s="112"/>
      <c r="AR95" s="96"/>
      <c r="AS95" s="112"/>
      <c r="AT95" s="112"/>
      <c r="AU95" s="112"/>
      <c r="AV95" s="112"/>
      <c r="AW95" s="96"/>
      <c r="AX95" s="112"/>
      <c r="AY95" s="112"/>
      <c r="AZ95" s="112"/>
      <c r="BA95" s="112"/>
      <c r="BB95" s="112"/>
      <c r="BC95" s="96"/>
      <c r="BD95" s="112"/>
      <c r="BE95" s="112"/>
      <c r="BF95" s="112"/>
      <c r="BG95" s="112"/>
      <c r="BH95" s="112"/>
      <c r="BI95" s="96"/>
      <c r="BJ95" s="96"/>
      <c r="BK95" s="112"/>
      <c r="BL95" s="112"/>
      <c r="BM95" s="112"/>
      <c r="BN95" s="112"/>
      <c r="BO95" s="112"/>
      <c r="BP95" s="96"/>
      <c r="BQ95" s="112"/>
      <c r="BR95" s="112"/>
      <c r="BS95" s="112"/>
      <c r="BT95" s="112"/>
      <c r="BU95" s="96"/>
      <c r="BV95" s="112"/>
      <c r="BW95" s="112"/>
      <c r="BX95" s="112"/>
      <c r="BY95" s="112"/>
      <c r="BZ95" s="112"/>
      <c r="CA95" s="96"/>
      <c r="CB95" s="112"/>
      <c r="CC95" s="112"/>
      <c r="CD95" s="112"/>
      <c r="CE95" s="112"/>
      <c r="CF95" s="112"/>
      <c r="CG95" s="96"/>
      <c r="CH95" s="96"/>
      <c r="CI95" s="112"/>
      <c r="CJ95" s="112"/>
      <c r="CK95" s="112"/>
      <c r="CL95" s="112"/>
      <c r="CM95" s="112"/>
      <c r="CN95" s="96"/>
      <c r="CO95" s="112"/>
      <c r="CP95" s="112"/>
      <c r="CQ95" s="112"/>
      <c r="CR95" s="112"/>
      <c r="CS95" s="96"/>
      <c r="CT95" s="112"/>
      <c r="CU95" s="112"/>
      <c r="CV95" s="112"/>
      <c r="CW95" s="112"/>
      <c r="CX95" s="112"/>
      <c r="CY95" s="96"/>
      <c r="CZ95" s="112"/>
      <c r="DA95" s="112"/>
      <c r="DB95" s="112"/>
      <c r="DC95" s="112"/>
      <c r="DD95" s="112"/>
      <c r="DE95" s="96"/>
      <c r="DF95" s="96"/>
      <c r="DG95" s="112"/>
      <c r="DH95" s="112"/>
      <c r="DI95" s="112"/>
      <c r="DJ95" s="112"/>
      <c r="DK95" s="112"/>
      <c r="DL95" s="96"/>
      <c r="DM95" s="112"/>
      <c r="DN95" s="112"/>
      <c r="DO95" s="112"/>
      <c r="DP95" s="112"/>
    </row>
    <row r="96" spans="1:120" x14ac:dyDescent="0.2">
      <c r="A96" s="91" t="str">
        <f ca="1">CELL("filename")</f>
        <v>M:\IE\Projects\Nuffield via NFER AI and automation\Data\Results\Workbooks\LEPs\M3_LEP\[M3_LEP_MainTables.Main.xlsm]Manager</v>
      </c>
      <c r="Y96" s="91" t="str">
        <f ca="1">CELL("filename")</f>
        <v>M:\IE\Projects\Nuffield via NFER AI and automation\Data\Results\Workbooks\LEPs\M3_LEP\[M3_LEP_MainTables.Main.xlsm]Manager</v>
      </c>
      <c r="AW96" s="91" t="str">
        <f ca="1">CELL("filename")</f>
        <v>M:\IE\Projects\Nuffield via NFER AI and automation\Data\Results\Workbooks\LEPs\M3_LEP\[M3_LEP_MainTables.Main.xlsm]Manager</v>
      </c>
      <c r="BU96" s="91" t="str">
        <f ca="1">CELL("filename")</f>
        <v>M:\IE\Projects\Nuffield via NFER AI and automation\Data\Results\Workbooks\LEPs\M3_LEP\[M3_LEP_MainTables.Main.xlsm]Manager</v>
      </c>
      <c r="CS96" s="91" t="str">
        <f ca="1">CELL("filename")</f>
        <v>M:\IE\Projects\Nuffield via NFER AI and automation\Data\Results\Workbooks\LEPs\M3_LEP\[M3_LEP_MainTables.Main.xlsm]Manager</v>
      </c>
    </row>
    <row r="99" spans="1:1" x14ac:dyDescent="0.2">
      <c r="A99" s="91" t="s">
        <v>51</v>
      </c>
    </row>
    <row r="100" spans="1:1" x14ac:dyDescent="0.2">
      <c r="A100" s="91">
        <v>2015</v>
      </c>
    </row>
    <row r="101" spans="1:1" x14ac:dyDescent="0.2">
      <c r="A101" s="91">
        <v>2025</v>
      </c>
    </row>
  </sheetData>
  <mergeCells count="60">
    <mergeCell ref="BV56:BZ56"/>
    <mergeCell ref="B83:F83"/>
    <mergeCell ref="H83:L83"/>
    <mergeCell ref="B4:F4"/>
    <mergeCell ref="H4:L4"/>
    <mergeCell ref="B56:F56"/>
    <mergeCell ref="H56:L56"/>
    <mergeCell ref="AF4:AJ4"/>
    <mergeCell ref="Z56:AD56"/>
    <mergeCell ref="AF56:AJ56"/>
    <mergeCell ref="Z83:AD83"/>
    <mergeCell ref="AF83:AJ83"/>
    <mergeCell ref="DF4:DJ4"/>
    <mergeCell ref="DL4:DP4"/>
    <mergeCell ref="AX83:BB83"/>
    <mergeCell ref="BD83:BH83"/>
    <mergeCell ref="CH4:CL4"/>
    <mergeCell ref="CN4:CR4"/>
    <mergeCell ref="CB56:CF56"/>
    <mergeCell ref="BV83:BZ83"/>
    <mergeCell ref="CB83:CF83"/>
    <mergeCell ref="AX4:BB4"/>
    <mergeCell ref="BD4:BH4"/>
    <mergeCell ref="AX56:BB56"/>
    <mergeCell ref="BD56:BH56"/>
    <mergeCell ref="BJ56:BN56"/>
    <mergeCell ref="BV4:BZ4"/>
    <mergeCell ref="CB4:CF4"/>
    <mergeCell ref="CZ83:DD83"/>
    <mergeCell ref="N4:R4"/>
    <mergeCell ref="T4:X4"/>
    <mergeCell ref="AL4:AP4"/>
    <mergeCell ref="AR4:AV4"/>
    <mergeCell ref="BJ4:BN4"/>
    <mergeCell ref="BP4:BT4"/>
    <mergeCell ref="CT4:CX4"/>
    <mergeCell ref="CZ4:DD4"/>
    <mergeCell ref="CT56:CX56"/>
    <mergeCell ref="CZ56:DD56"/>
    <mergeCell ref="AL56:AP56"/>
    <mergeCell ref="AR56:AV56"/>
    <mergeCell ref="AL83:AP83"/>
    <mergeCell ref="AR83:AV83"/>
    <mergeCell ref="Z4:AD4"/>
    <mergeCell ref="DL83:DP83"/>
    <mergeCell ref="N83:R83"/>
    <mergeCell ref="T83:X83"/>
    <mergeCell ref="N56:R56"/>
    <mergeCell ref="T56:X56"/>
    <mergeCell ref="BP56:BT56"/>
    <mergeCell ref="CH56:CL56"/>
    <mergeCell ref="CN56:CR56"/>
    <mergeCell ref="DF56:DJ56"/>
    <mergeCell ref="DL56:DP56"/>
    <mergeCell ref="BJ83:BN83"/>
    <mergeCell ref="BP83:BT83"/>
    <mergeCell ref="CH83:CL83"/>
    <mergeCell ref="CN83:CR83"/>
    <mergeCell ref="DF83:DJ83"/>
    <mergeCell ref="CT83:CX83"/>
  </mergeCells>
  <pageMargins left="0.31496062992125984" right="0.31496062992125984" top="0.74803149606299213" bottom="0.74803149606299213" header="0.31496062992125984" footer="0.31496062992125984"/>
  <pageSetup paperSize="9" scale="65" pageOrder="overThenDown" orientation="landscape" r:id="rId1"/>
  <rowBreaks count="2" manualBreakCount="2">
    <brk id="52" max="16383" man="1"/>
    <brk id="96" max="16383" man="1"/>
  </rowBreaks>
  <colBreaks count="4" manualBreakCount="4">
    <brk id="24" max="1048575" man="1"/>
    <brk id="48" max="1048575" man="1"/>
    <brk id="96" max="1048575" man="1"/>
    <brk id="120" max="1048575" man="1"/>
  </colBreaks>
  <ignoredErrors>
    <ignoredError sqref="F8:F48 L8 L9:L50 F50 R8:R50 X8:X50 AD8:AD50 AJ8:AJ50 AP8:AP50 AV8:AV50 BB8:BB50 BH8:BH50 BN8:BN50 BT8:BT50 BZ8:BZ50 CF8:CF50 CL8:CM50 CR8:CR50 CX8:CX50 DD8:DD50 DJ8:DJ50 DP8:DP50" formulaRange="1"/>
  </ignoredError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56">
    <pageSetUpPr fitToPage="1"/>
  </sheetPr>
  <dimension ref="A1:AF81"/>
  <sheetViews>
    <sheetView zoomScale="85" zoomScaleNormal="85" zoomScaleSheetLayoutView="85" workbookViewId="0">
      <selection activeCell="E45" sqref="E45"/>
    </sheetView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9.7109375" style="130" customWidth="1"/>
    <col min="4" max="4" width="10.140625" style="130" customWidth="1"/>
    <col min="5" max="5" width="13" style="130" customWidth="1"/>
    <col min="6" max="6" width="9.710937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4" width="11.42578125" style="130" customWidth="1"/>
    <col min="15" max="15" width="10.140625" style="130" customWidth="1"/>
    <col min="16" max="16" width="3.7109375" style="130" customWidth="1"/>
    <col min="17" max="18" width="10.140625" style="130" customWidth="1"/>
    <col min="19" max="19" width="2.42578125" style="130" customWidth="1"/>
    <col min="20" max="22" width="13" style="130" customWidth="1"/>
    <col min="23" max="23" width="23.28515625" style="130" customWidth="1"/>
    <col min="24" max="24" width="9.140625" style="130"/>
    <col min="25" max="25" width="12.28515625" style="130" customWidth="1"/>
    <col min="26" max="26" width="10.85546875" style="130" customWidth="1"/>
    <col min="27" max="27" width="8.140625" style="130" customWidth="1"/>
    <col min="28" max="28" width="8" style="130" customWidth="1"/>
    <col min="29" max="16384" width="9.140625" style="130"/>
  </cols>
  <sheetData>
    <row r="1" spans="1:32" ht="12.75" customHeight="1" x14ac:dyDescent="0.2">
      <c r="A1" s="128" t="e">
        <f>CONCATENATE("Table 4.6  Shift-share by industry, ",I3)</f>
        <v>#REF!</v>
      </c>
      <c r="B1" s="129"/>
      <c r="C1" s="129"/>
      <c r="D1" s="129"/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29"/>
    </row>
    <row r="2" spans="1:32" ht="12.75" customHeight="1" x14ac:dyDescent="0.2">
      <c r="A2" s="128"/>
      <c r="B2" s="128"/>
      <c r="C2" s="128"/>
      <c r="D2" s="128"/>
      <c r="E2" s="128"/>
      <c r="F2" s="128"/>
      <c r="G2" s="128"/>
      <c r="H2" s="128"/>
      <c r="I2" s="128"/>
      <c r="J2" s="128"/>
      <c r="K2" s="386" t="s">
        <v>59</v>
      </c>
      <c r="L2" s="386"/>
      <c r="M2" s="386"/>
      <c r="N2" s="386"/>
      <c r="O2" s="386"/>
      <c r="P2" s="386"/>
      <c r="Q2" s="386"/>
      <c r="R2" s="386"/>
      <c r="S2" s="192"/>
      <c r="T2" s="192"/>
      <c r="U2" s="129"/>
    </row>
    <row r="3" spans="1:32" ht="12.75" customHeight="1" x14ac:dyDescent="0.2">
      <c r="A3" s="129"/>
      <c r="B3" s="131" t="s">
        <v>60</v>
      </c>
      <c r="C3" s="132" t="e">
        <f>#REF!</f>
        <v>#REF!</v>
      </c>
      <c r="D3" s="128"/>
      <c r="E3" s="131" t="s">
        <v>61</v>
      </c>
      <c r="F3" s="132" t="e">
        <f>#REF!</f>
        <v>#REF!</v>
      </c>
      <c r="G3" s="128"/>
      <c r="H3" s="131" t="s">
        <v>19</v>
      </c>
      <c r="I3" s="131" t="e">
        <f>CONCATENATE(C3,"-",F3)</f>
        <v>#REF!</v>
      </c>
      <c r="J3" s="128"/>
      <c r="K3" s="387" t="s">
        <v>62</v>
      </c>
      <c r="L3" s="387"/>
      <c r="M3" s="128"/>
      <c r="N3" s="388" t="s">
        <v>75</v>
      </c>
      <c r="O3" s="388"/>
      <c r="P3" s="128"/>
      <c r="Q3" s="388" t="s">
        <v>74</v>
      </c>
      <c r="R3" s="388"/>
      <c r="S3" s="192"/>
      <c r="T3" s="193" t="s">
        <v>78</v>
      </c>
      <c r="U3" s="153" t="s">
        <v>77</v>
      </c>
      <c r="V3" s="160"/>
      <c r="AA3" s="160"/>
      <c r="AD3" s="160"/>
    </row>
    <row r="4" spans="1:32" ht="12.75" customHeight="1" x14ac:dyDescent="0.2">
      <c r="A4" s="133" t="s">
        <v>65</v>
      </c>
      <c r="B4" s="134" t="s">
        <v>66</v>
      </c>
      <c r="C4" s="134" t="s">
        <v>67</v>
      </c>
      <c r="D4" s="128"/>
      <c r="E4" s="134" t="str">
        <f>B4</f>
        <v>000s</v>
      </c>
      <c r="F4" s="134" t="str">
        <f>C4</f>
        <v>% share</v>
      </c>
      <c r="G4" s="128"/>
      <c r="H4" s="134" t="str">
        <f>E4</f>
        <v>000s</v>
      </c>
      <c r="I4" s="134" t="s">
        <v>68</v>
      </c>
      <c r="J4" s="128"/>
      <c r="K4" s="134" t="str">
        <f>H4</f>
        <v>000s</v>
      </c>
      <c r="L4" s="134" t="str">
        <f>I4</f>
        <v xml:space="preserve">%   </v>
      </c>
      <c r="M4" s="128"/>
      <c r="N4" s="134" t="str">
        <f>K4</f>
        <v>000s</v>
      </c>
      <c r="O4" s="134" t="str">
        <f>L4</f>
        <v xml:space="preserve">%   </v>
      </c>
      <c r="P4" s="128"/>
      <c r="Q4" s="134" t="str">
        <f>N4</f>
        <v>000s</v>
      </c>
      <c r="R4" s="134" t="str">
        <f>O4</f>
        <v xml:space="preserve">%   </v>
      </c>
      <c r="S4" s="154"/>
      <c r="T4" s="134"/>
      <c r="U4" s="166"/>
      <c r="V4" s="160"/>
      <c r="W4" s="168"/>
      <c r="Y4" s="161"/>
      <c r="Z4" s="161"/>
      <c r="AA4" s="160"/>
      <c r="AB4" s="161"/>
      <c r="AC4" s="160"/>
    </row>
    <row r="5" spans="1:32" ht="12.75" customHeight="1" x14ac:dyDescent="0.2">
      <c r="A5" s="133"/>
      <c r="B5" s="131"/>
      <c r="C5" s="159"/>
      <c r="D5" s="128" t="s">
        <v>76</v>
      </c>
      <c r="E5" s="131"/>
      <c r="F5" s="159"/>
      <c r="G5" s="128"/>
      <c r="H5" s="131"/>
      <c r="I5" s="131"/>
      <c r="J5" s="128"/>
      <c r="K5" s="131"/>
      <c r="L5" s="131"/>
      <c r="M5" s="128"/>
      <c r="N5" s="131"/>
      <c r="O5" s="131"/>
      <c r="P5" s="128"/>
      <c r="Q5" s="159"/>
      <c r="R5" s="159"/>
      <c r="S5" s="134"/>
      <c r="T5" s="134"/>
      <c r="U5" s="155"/>
      <c r="V5" s="160"/>
      <c r="W5" s="136"/>
    </row>
    <row r="6" spans="1:32" x14ac:dyDescent="0.2">
      <c r="A6" s="36" t="str">
        <f>name!A4</f>
        <v>Agriculture, etc</v>
      </c>
      <c r="B6" s="150">
        <v>290.31999999994002</v>
      </c>
      <c r="C6" s="141">
        <v>0.93859557238401636</v>
      </c>
      <c r="D6" s="164">
        <v>100</v>
      </c>
      <c r="E6" s="150">
        <v>302.0150000000844</v>
      </c>
      <c r="F6" s="141">
        <v>0.90967729595909619</v>
      </c>
      <c r="G6" s="146"/>
      <c r="H6" s="150">
        <v>11.695000000144354</v>
      </c>
      <c r="I6" s="142">
        <v>4.0283135850601992</v>
      </c>
      <c r="J6" s="146"/>
      <c r="K6" s="150">
        <v>21.295935731168065</v>
      </c>
      <c r="L6" s="142">
        <v>7.3353319547990026</v>
      </c>
      <c r="M6" s="146"/>
      <c r="N6" s="150">
        <v>-0.65613111154677028</v>
      </c>
      <c r="O6" s="142">
        <v>-0.22600272511260189</v>
      </c>
      <c r="P6" s="146"/>
      <c r="Q6" s="151">
        <v>-8.9448046194769404</v>
      </c>
      <c r="R6" s="141">
        <v>-3.0810156446262016</v>
      </c>
      <c r="S6" s="141"/>
      <c r="T6" s="162">
        <v>290.31999999994002</v>
      </c>
      <c r="U6" s="163">
        <v>302.0150000000844</v>
      </c>
      <c r="V6" s="169"/>
      <c r="Y6" s="135"/>
      <c r="Z6" s="151"/>
      <c r="AA6" s="151"/>
      <c r="AB6" s="135"/>
      <c r="AC6" s="151"/>
      <c r="AE6" s="135"/>
      <c r="AF6" s="151"/>
    </row>
    <row r="7" spans="1:32" x14ac:dyDescent="0.2">
      <c r="A7" t="str">
        <f>name!A5</f>
        <v>Coal, oil &amp; gas; Mining &amp; related</v>
      </c>
      <c r="B7" s="151">
        <v>12.074999999997509</v>
      </c>
      <c r="C7" s="141">
        <v>3.9038101186749101E-2</v>
      </c>
      <c r="D7" s="165">
        <v>100</v>
      </c>
      <c r="E7" s="151">
        <v>12.334000000003453</v>
      </c>
      <c r="F7" s="141">
        <v>3.715033944790655E-2</v>
      </c>
      <c r="H7" s="151">
        <v>0.25900000000594448</v>
      </c>
      <c r="I7" s="141">
        <v>2.1449275362815561</v>
      </c>
      <c r="K7" s="151">
        <v>0.88574133354179663</v>
      </c>
      <c r="L7" s="141">
        <v>7.3353319547990017</v>
      </c>
      <c r="N7" s="151">
        <v>-4.283170925688029E-2</v>
      </c>
      <c r="O7" s="141">
        <v>-0.35471394829721842</v>
      </c>
      <c r="Q7" s="151">
        <v>-0.58390962427897186</v>
      </c>
      <c r="R7" s="141">
        <v>-4.8356904702202259</v>
      </c>
      <c r="S7" s="141"/>
      <c r="T7" s="162">
        <v>12.074999999997509</v>
      </c>
      <c r="U7" s="163">
        <v>12.334000000003453</v>
      </c>
      <c r="V7" s="169"/>
      <c r="W7" s="136"/>
      <c r="Y7" s="135"/>
      <c r="Z7" s="151"/>
      <c r="AA7" s="151"/>
      <c r="AB7" s="135"/>
      <c r="AC7" s="151"/>
      <c r="AE7" s="135"/>
      <c r="AF7" s="151"/>
    </row>
    <row r="8" spans="1:32" x14ac:dyDescent="0.2">
      <c r="A8" t="str">
        <f>name!A6</f>
        <v>Food products</v>
      </c>
      <c r="B8" s="151">
        <v>10.050999999997924</v>
      </c>
      <c r="C8" s="141">
        <v>3.2494571844970191E-2</v>
      </c>
      <c r="D8" s="165">
        <v>100</v>
      </c>
      <c r="E8" s="151">
        <v>9.1810000000025642</v>
      </c>
      <c r="F8" s="141">
        <v>2.7653418718277107E-2</v>
      </c>
      <c r="H8" s="151">
        <v>-0.86999999999535793</v>
      </c>
      <c r="I8" s="141">
        <v>-8.6558551387477642</v>
      </c>
      <c r="K8" s="151">
        <v>0.7372742147766953</v>
      </c>
      <c r="L8" s="141">
        <v>7.3353319547990017</v>
      </c>
      <c r="N8" s="151">
        <v>-0.1098416494645672</v>
      </c>
      <c r="O8" s="141">
        <v>-1.0928429953695145</v>
      </c>
      <c r="Q8" s="151">
        <v>-1.497432565307486</v>
      </c>
      <c r="R8" s="141">
        <v>-14.898344098177249</v>
      </c>
      <c r="S8" s="141"/>
      <c r="T8" s="162">
        <v>10.050999999997924</v>
      </c>
      <c r="U8" s="163">
        <v>9.1810000000025642</v>
      </c>
      <c r="V8" s="169"/>
      <c r="Y8" s="135"/>
      <c r="Z8" s="151"/>
      <c r="AA8" s="151"/>
      <c r="AB8" s="135"/>
      <c r="AC8" s="151"/>
      <c r="AE8" s="135"/>
      <c r="AF8" s="151"/>
    </row>
    <row r="9" spans="1:32" x14ac:dyDescent="0.2">
      <c r="A9" t="str">
        <f>name!A7</f>
        <v>Beverages and tobacco</v>
      </c>
      <c r="B9" s="151">
        <v>2.1699999999991144</v>
      </c>
      <c r="C9" s="141">
        <v>7.0155428219650902E-3</v>
      </c>
      <c r="D9" s="165">
        <v>100</v>
      </c>
      <c r="E9" s="151">
        <v>1.1269999999995304</v>
      </c>
      <c r="F9" s="141">
        <v>3.3945542855327972E-3</v>
      </c>
      <c r="H9" s="151">
        <v>-1.042999999999584</v>
      </c>
      <c r="I9" s="141">
        <v>-48.064516129032704</v>
      </c>
      <c r="K9" s="151">
        <v>0.15917670341907339</v>
      </c>
      <c r="L9" s="141">
        <v>7.3353319547990026</v>
      </c>
      <c r="N9" s="151">
        <v>-8.2157152051436144E-2</v>
      </c>
      <c r="O9" s="141">
        <v>-3.786043873339616</v>
      </c>
      <c r="Q9" s="151">
        <v>-1.1200195513672213</v>
      </c>
      <c r="R9" s="141">
        <v>-51.613804210492084</v>
      </c>
      <c r="S9" s="141"/>
      <c r="T9" s="162">
        <v>2.1699999999991144</v>
      </c>
      <c r="U9" s="163">
        <v>1.1269999999995304</v>
      </c>
      <c r="V9" s="169"/>
      <c r="W9" s="136"/>
      <c r="Y9" s="135"/>
      <c r="Z9" s="151"/>
      <c r="AA9" s="151"/>
      <c r="AB9" s="135"/>
      <c r="AC9" s="151"/>
      <c r="AE9" s="135"/>
      <c r="AF9" s="151"/>
    </row>
    <row r="10" spans="1:32" x14ac:dyDescent="0.2">
      <c r="A10" t="str">
        <f>name!A8</f>
        <v>Textiles</v>
      </c>
      <c r="B10" s="151">
        <v>11.083999999995481</v>
      </c>
      <c r="C10" s="141">
        <v>3.5834228865742432E-2</v>
      </c>
      <c r="D10" s="165">
        <v>100</v>
      </c>
      <c r="E10" s="151">
        <v>7.2319999999969857</v>
      </c>
      <c r="F10" s="141">
        <v>2.1782978343365737E-2</v>
      </c>
      <c r="H10" s="151">
        <v>-3.851999999998494</v>
      </c>
      <c r="I10" s="141">
        <v>-34.75279682425176</v>
      </c>
      <c r="K10" s="151">
        <v>0.81304819386958971</v>
      </c>
      <c r="L10" s="141">
        <v>7.3353319547989999</v>
      </c>
      <c r="N10" s="151">
        <v>-0.31881093078995182</v>
      </c>
      <c r="O10" s="141">
        <v>-2.8763165895893343</v>
      </c>
      <c r="Q10" s="151">
        <v>-4.3462372630781321</v>
      </c>
      <c r="R10" s="141">
        <v>-39.211812189461426</v>
      </c>
      <c r="S10" s="141"/>
      <c r="T10" s="162">
        <v>11.083999999995481</v>
      </c>
      <c r="U10" s="163">
        <v>7.2319999999969857</v>
      </c>
      <c r="V10" s="169"/>
      <c r="Y10" s="135"/>
      <c r="Z10" s="151"/>
      <c r="AA10" s="151"/>
      <c r="AB10" s="135"/>
      <c r="AC10" s="151"/>
      <c r="AE10" s="135"/>
      <c r="AF10" s="151"/>
    </row>
    <row r="11" spans="1:32" x14ac:dyDescent="0.2">
      <c r="A11" t="str">
        <f>name!A9</f>
        <v>Wearing apparel; Leather, etc</v>
      </c>
      <c r="B11" s="151">
        <v>37.589999999984677</v>
      </c>
      <c r="C11" s="141">
        <v>0.12152730630307274</v>
      </c>
      <c r="D11" s="165">
        <v>100</v>
      </c>
      <c r="E11" s="151">
        <v>29.919999999987525</v>
      </c>
      <c r="F11" s="141">
        <v>9.0119844031181243E-2</v>
      </c>
      <c r="H11" s="151">
        <v>-7.6699999999971515</v>
      </c>
      <c r="I11" s="141">
        <v>-20.404362862464161</v>
      </c>
      <c r="K11" s="151">
        <v>2.7573512818078205</v>
      </c>
      <c r="L11" s="141">
        <v>7.3353319547990017</v>
      </c>
      <c r="N11" s="151">
        <v>-0.7126086226066608</v>
      </c>
      <c r="O11" s="141">
        <v>-1.8957398845622542</v>
      </c>
      <c r="Q11" s="151">
        <v>-9.7147426591983113</v>
      </c>
      <c r="R11" s="141">
        <v>-25.843954932700907</v>
      </c>
      <c r="S11" s="141"/>
      <c r="T11" s="162">
        <v>37.589999999984677</v>
      </c>
      <c r="U11" s="163">
        <v>29.919999999987525</v>
      </c>
      <c r="V11" s="169"/>
      <c r="W11" s="136"/>
      <c r="Y11" s="135"/>
      <c r="Z11" s="151"/>
      <c r="AA11" s="151"/>
      <c r="AB11" s="135"/>
      <c r="AC11" s="151"/>
      <c r="AE11" s="135"/>
      <c r="AF11" s="151"/>
    </row>
    <row r="12" spans="1:32" x14ac:dyDescent="0.2">
      <c r="A12" t="str">
        <f>name!A10</f>
        <v xml:space="preserve">Wood and cork </v>
      </c>
      <c r="B12" s="151">
        <v>395.97300000001809</v>
      </c>
      <c r="C12" s="141">
        <v>1.2801684506190061</v>
      </c>
      <c r="D12" s="165">
        <v>100</v>
      </c>
      <c r="E12" s="151">
        <v>368.47099999980418</v>
      </c>
      <c r="F12" s="141">
        <v>1.1098445538104806</v>
      </c>
      <c r="H12" s="151">
        <v>-27.502000000213915</v>
      </c>
      <c r="I12" s="141">
        <v>-6.945423046574553</v>
      </c>
      <c r="K12" s="151">
        <v>29.045934001377578</v>
      </c>
      <c r="L12" s="141">
        <v>7.3353319547990017</v>
      </c>
      <c r="N12" s="151">
        <v>-3.864504443275159</v>
      </c>
      <c r="O12" s="141">
        <v>-0.97595150257087782</v>
      </c>
      <c r="Q12" s="151">
        <v>-52.683429558316334</v>
      </c>
      <c r="R12" s="141">
        <v>-13.304803498802679</v>
      </c>
      <c r="S12" s="141"/>
      <c r="T12" s="162">
        <v>395.97300000001809</v>
      </c>
      <c r="U12" s="163">
        <v>368.47099999980418</v>
      </c>
      <c r="V12" s="169"/>
      <c r="Y12" s="135"/>
      <c r="Z12" s="151"/>
      <c r="AA12" s="151"/>
      <c r="AB12" s="135"/>
      <c r="AC12" s="151"/>
      <c r="AE12" s="135"/>
      <c r="AF12" s="151"/>
    </row>
    <row r="13" spans="1:32" x14ac:dyDescent="0.2">
      <c r="A13" t="str">
        <f>name!A11</f>
        <v>Paper, etc</v>
      </c>
      <c r="B13" s="151">
        <v>75.845999999976854</v>
      </c>
      <c r="C13" s="141">
        <v>0.24520776998839583</v>
      </c>
      <c r="D13" s="165">
        <v>100</v>
      </c>
      <c r="E13" s="151">
        <v>49.305999999976621</v>
      </c>
      <c r="F13" s="141">
        <v>0.14851099698533315</v>
      </c>
      <c r="H13" s="151">
        <v>-26.540000000000227</v>
      </c>
      <c r="I13" s="141">
        <v>-34.991957387348478</v>
      </c>
      <c r="K13" s="151">
        <v>5.5635558744351528</v>
      </c>
      <c r="L13" s="141">
        <v>7.3353319547990017</v>
      </c>
      <c r="N13" s="151">
        <v>-2.1939675871835931</v>
      </c>
      <c r="O13" s="141">
        <v>-2.8926609012792532</v>
      </c>
      <c r="Q13" s="151">
        <v>-29.909588287251786</v>
      </c>
      <c r="R13" s="141">
        <v>-39.434628440868224</v>
      </c>
      <c r="S13" s="141"/>
      <c r="T13" s="162">
        <v>75.845999999976854</v>
      </c>
      <c r="U13" s="163">
        <v>49.305999999976621</v>
      </c>
      <c r="V13" s="169"/>
      <c r="Y13" s="135"/>
      <c r="Z13" s="151"/>
      <c r="AA13" s="151"/>
      <c r="AB13" s="135"/>
      <c r="AC13" s="151"/>
      <c r="AE13" s="135"/>
      <c r="AF13" s="151"/>
    </row>
    <row r="14" spans="1:32" x14ac:dyDescent="0.2">
      <c r="A14" t="str">
        <f>name!A12</f>
        <v>Printing and recording</v>
      </c>
      <c r="B14" s="151">
        <v>73.1450000000373</v>
      </c>
      <c r="C14" s="141">
        <v>0.2364755206051187</v>
      </c>
      <c r="D14" s="165">
        <v>100</v>
      </c>
      <c r="E14" s="151">
        <v>122.94699999997626</v>
      </c>
      <c r="F14" s="141">
        <v>0.37031966791791843</v>
      </c>
      <c r="H14" s="151">
        <v>49.801999999938957</v>
      </c>
      <c r="I14" s="141">
        <v>68.086677148012257</v>
      </c>
      <c r="K14" s="151">
        <v>5.3654285583404651</v>
      </c>
      <c r="L14" s="141">
        <v>7.3353319547989999</v>
      </c>
      <c r="N14" s="151">
        <v>3.0368099350038165</v>
      </c>
      <c r="O14" s="141">
        <v>4.1517669492135729</v>
      </c>
      <c r="Q14" s="151">
        <v>41.399761506594672</v>
      </c>
      <c r="R14" s="141">
        <v>56.599578243999673</v>
      </c>
      <c r="S14" s="141"/>
      <c r="T14" s="162">
        <v>73.1450000000373</v>
      </c>
      <c r="U14" s="163">
        <v>122.94699999997626</v>
      </c>
      <c r="V14" s="169"/>
      <c r="Y14" s="135"/>
      <c r="Z14" s="151"/>
      <c r="AA14" s="151"/>
      <c r="AB14" s="135"/>
      <c r="AC14" s="151"/>
      <c r="AE14" s="135"/>
      <c r="AF14" s="151"/>
    </row>
    <row r="15" spans="1:32" x14ac:dyDescent="0.2">
      <c r="A15" t="str">
        <f>name!A13</f>
        <v>Coke and petroleum; Chemicals, etc</v>
      </c>
      <c r="B15" s="151">
        <v>80.073000000040807</v>
      </c>
      <c r="C15" s="141">
        <v>0.25887353013074937</v>
      </c>
      <c r="D15" s="165">
        <v>100</v>
      </c>
      <c r="E15" s="151">
        <v>72.98899999998595</v>
      </c>
      <c r="F15" s="141">
        <v>0.2198448294115429</v>
      </c>
      <c r="H15" s="151">
        <v>-7.0840000000548606</v>
      </c>
      <c r="I15" s="141">
        <v>-8.846927179013214</v>
      </c>
      <c r="K15" s="151">
        <v>5.873620356169198</v>
      </c>
      <c r="L15" s="141">
        <v>7.3353319547990017</v>
      </c>
      <c r="N15" s="151">
        <v>-0.88552804492364956</v>
      </c>
      <c r="O15" s="141">
        <v>-1.1059009215630717</v>
      </c>
      <c r="Q15" s="151">
        <v>-12.072092311300409</v>
      </c>
      <c r="R15" s="141">
        <v>-15.076358212249144</v>
      </c>
      <c r="S15" s="141"/>
      <c r="T15" s="162">
        <v>80.073000000040807</v>
      </c>
      <c r="U15" s="163">
        <v>72.98899999998595</v>
      </c>
      <c r="V15" s="169"/>
      <c r="Y15" s="135"/>
      <c r="Z15" s="151"/>
      <c r="AA15" s="151"/>
      <c r="AB15" s="135"/>
      <c r="AC15" s="151"/>
      <c r="AE15" s="135"/>
      <c r="AF15" s="151"/>
    </row>
    <row r="16" spans="1:32" x14ac:dyDescent="0.2">
      <c r="A16" t="str">
        <f>name!A14</f>
        <v>Pharmaceuticals</v>
      </c>
      <c r="B16" s="151">
        <v>104.71500000005337</v>
      </c>
      <c r="C16" s="141">
        <v>0.33854035327315601</v>
      </c>
      <c r="D16" s="165">
        <v>100</v>
      </c>
      <c r="E16" s="151">
        <v>86.702999999983263</v>
      </c>
      <c r="F16" s="141">
        <v>0.26115176594375861</v>
      </c>
      <c r="H16" s="151">
        <v>-18.012000000070095</v>
      </c>
      <c r="I16" s="141">
        <v>-17.200974072540628</v>
      </c>
      <c r="K16" s="151">
        <v>7.6811928564716885</v>
      </c>
      <c r="L16" s="141">
        <v>7.3353319547990017</v>
      </c>
      <c r="N16" s="151">
        <v>-1.7558812662057193</v>
      </c>
      <c r="O16" s="141">
        <v>-1.6768192390821033</v>
      </c>
      <c r="Q16" s="151">
        <v>-23.937311590336066</v>
      </c>
      <c r="R16" s="141">
        <v>-22.859486788257524</v>
      </c>
      <c r="S16" s="141"/>
      <c r="T16" s="162">
        <v>104.71500000005337</v>
      </c>
      <c r="U16" s="163">
        <v>86.702999999983263</v>
      </c>
      <c r="V16" s="169"/>
      <c r="Y16" s="135"/>
      <c r="Z16" s="151"/>
      <c r="AA16" s="151"/>
      <c r="AB16" s="135"/>
      <c r="AC16" s="151"/>
      <c r="AE16" s="135"/>
      <c r="AF16" s="151"/>
    </row>
    <row r="17" spans="1:32" x14ac:dyDescent="0.2">
      <c r="A17" t="str">
        <f>name!A15</f>
        <v>Rubber and plastic</v>
      </c>
      <c r="B17" s="151">
        <v>11.055999999985691</v>
      </c>
      <c r="C17" s="141">
        <v>3.5743705732524098E-2</v>
      </c>
      <c r="D17" s="165">
        <v>100</v>
      </c>
      <c r="E17" s="151">
        <v>18.25699999999954</v>
      </c>
      <c r="F17" s="141">
        <v>5.4990574614903753E-2</v>
      </c>
      <c r="H17" s="151">
        <v>7.2010000000138481</v>
      </c>
      <c r="I17" s="141">
        <v>65.132054992973664</v>
      </c>
      <c r="K17" s="151">
        <v>0.81099430092152791</v>
      </c>
      <c r="L17" s="141">
        <v>7.3353319547990017</v>
      </c>
      <c r="N17" s="151">
        <v>0.43669509510288052</v>
      </c>
      <c r="O17" s="141">
        <v>3.9498470975347839</v>
      </c>
      <c r="Q17" s="151">
        <v>5.9533106039894399</v>
      </c>
      <c r="R17" s="141">
        <v>53.846875940639883</v>
      </c>
      <c r="S17" s="141"/>
      <c r="T17" s="162">
        <v>11.055999999985691</v>
      </c>
      <c r="U17" s="163">
        <v>18.25699999999954</v>
      </c>
      <c r="V17" s="169"/>
      <c r="Y17" s="135"/>
      <c r="Z17" s="151"/>
      <c r="AA17" s="151"/>
      <c r="AB17" s="135"/>
      <c r="AC17" s="151"/>
      <c r="AE17" s="135"/>
      <c r="AF17" s="151"/>
    </row>
    <row r="18" spans="1:32" x14ac:dyDescent="0.2">
      <c r="A18" t="str">
        <f>name!A16</f>
        <v>Other non-metallic</v>
      </c>
      <c r="B18" s="151">
        <v>93.389000000008025</v>
      </c>
      <c r="C18" s="141">
        <v>0.30192374589899607</v>
      </c>
      <c r="D18" s="165">
        <v>100</v>
      </c>
      <c r="E18" s="151">
        <v>88.958999999932729</v>
      </c>
      <c r="F18" s="141">
        <v>0.26794689856842019</v>
      </c>
      <c r="H18" s="151">
        <v>-4.4300000000752915</v>
      </c>
      <c r="I18" s="141">
        <v>-4.7435993533231011</v>
      </c>
      <c r="K18" s="151">
        <v>6.8503931592678278</v>
      </c>
      <c r="L18" s="141">
        <v>7.3353319547990017</v>
      </c>
      <c r="N18" s="151">
        <v>-0.77090578561093448</v>
      </c>
      <c r="O18" s="141">
        <v>-0.82547814583180912</v>
      </c>
      <c r="Q18" s="151">
        <v>-10.509487373732185</v>
      </c>
      <c r="R18" s="141">
        <v>-11.253453162290294</v>
      </c>
      <c r="S18" s="141"/>
      <c r="T18" s="162">
        <v>93.389000000008025</v>
      </c>
      <c r="U18" s="163">
        <v>88.958999999932729</v>
      </c>
      <c r="V18" s="169"/>
      <c r="Y18" s="135"/>
      <c r="Z18" s="151"/>
      <c r="AA18" s="151"/>
      <c r="AB18" s="135"/>
      <c r="AC18" s="151"/>
      <c r="AE18" s="135"/>
      <c r="AF18" s="151"/>
    </row>
    <row r="19" spans="1:32" x14ac:dyDescent="0.2">
      <c r="A19" t="str">
        <f>name!A17</f>
        <v>Basic metals</v>
      </c>
      <c r="B19" s="151">
        <v>27.854999999989587</v>
      </c>
      <c r="C19" s="141">
        <v>9.0054352675504282E-2</v>
      </c>
      <c r="D19" s="165">
        <v>100</v>
      </c>
      <c r="E19" s="151">
        <v>33.922000000006818</v>
      </c>
      <c r="F19" s="141">
        <v>0.1021739755757894</v>
      </c>
      <c r="H19" s="151">
        <v>6.0670000000172291</v>
      </c>
      <c r="I19" s="141">
        <v>21.78064979364386</v>
      </c>
      <c r="K19" s="151">
        <v>2.0432567160084982</v>
      </c>
      <c r="L19" s="141">
        <v>7.3353319547990017</v>
      </c>
      <c r="N19" s="151">
        <v>0.27498394192814857</v>
      </c>
      <c r="O19" s="141">
        <v>0.98719778111021839</v>
      </c>
      <c r="Q19" s="151">
        <v>3.7487593420805823</v>
      </c>
      <c r="R19" s="141">
        <v>13.458120057734638</v>
      </c>
      <c r="S19" s="141"/>
      <c r="T19" s="162">
        <v>27.854999999989587</v>
      </c>
      <c r="U19" s="163">
        <v>33.922000000006818</v>
      </c>
      <c r="V19" s="169"/>
      <c r="Y19" s="135"/>
      <c r="Z19" s="151"/>
      <c r="AA19" s="151"/>
      <c r="AB19" s="135"/>
      <c r="AC19" s="151"/>
      <c r="AE19" s="135"/>
      <c r="AF19" s="151"/>
    </row>
    <row r="20" spans="1:32" x14ac:dyDescent="0.2">
      <c r="A20" t="str">
        <f>name!A18</f>
        <v>Metal products</v>
      </c>
      <c r="B20" s="151">
        <v>171.25499999999897</v>
      </c>
      <c r="C20" s="141">
        <v>0.55366211335304816</v>
      </c>
      <c r="D20" s="165">
        <v>100</v>
      </c>
      <c r="E20" s="151">
        <v>174.72100000005108</v>
      </c>
      <c r="F20" s="141">
        <v>0.52626434722537385</v>
      </c>
      <c r="H20" s="151">
        <v>3.4660000000520959</v>
      </c>
      <c r="I20" s="141">
        <v>2.0238825144095745</v>
      </c>
      <c r="K20" s="151">
        <v>12.562122739190956</v>
      </c>
      <c r="L20" s="141">
        <v>7.3353319547990026</v>
      </c>
      <c r="N20" s="151">
        <v>-0.62163202533603767</v>
      </c>
      <c r="O20" s="141">
        <v>-0.36298620497856493</v>
      </c>
      <c r="Q20" s="151">
        <v>-8.4744907138028225</v>
      </c>
      <c r="R20" s="141">
        <v>-4.9484632354108635</v>
      </c>
      <c r="S20" s="141"/>
      <c r="T20" s="162">
        <v>171.25499999999897</v>
      </c>
      <c r="U20" s="163">
        <v>174.72100000005108</v>
      </c>
      <c r="V20" s="169"/>
      <c r="Y20" s="135"/>
      <c r="Z20" s="151"/>
      <c r="AA20" s="151"/>
      <c r="AB20" s="135"/>
      <c r="AC20" s="151"/>
      <c r="AE20" s="135"/>
      <c r="AF20" s="151"/>
    </row>
    <row r="21" spans="1:32" x14ac:dyDescent="0.2">
      <c r="A21" t="str">
        <f>name!A19</f>
        <v>Computer, etc</v>
      </c>
      <c r="B21" s="151">
        <v>80.063999999999524</v>
      </c>
      <c r="C21" s="141">
        <v>0.25884443340923446</v>
      </c>
      <c r="D21" s="165">
        <v>100</v>
      </c>
      <c r="E21" s="151">
        <v>93.491000000027313</v>
      </c>
      <c r="F21" s="141">
        <v>0.28159740435578678</v>
      </c>
      <c r="H21" s="151">
        <v>13.427000000027794</v>
      </c>
      <c r="I21" s="141">
        <v>16.770333733048403</v>
      </c>
      <c r="K21" s="151">
        <v>5.8729601762902375</v>
      </c>
      <c r="L21" s="141">
        <v>7.3353319547990017</v>
      </c>
      <c r="N21" s="151">
        <v>0.51624557075223443</v>
      </c>
      <c r="O21" s="141">
        <v>0.64479113053586812</v>
      </c>
      <c r="Q21" s="151">
        <v>7.0377942529853215</v>
      </c>
      <c r="R21" s="141">
        <v>8.7902106477135344</v>
      </c>
      <c r="S21" s="141"/>
      <c r="T21" s="162">
        <v>80.063999999999524</v>
      </c>
      <c r="U21" s="163">
        <v>93.491000000027313</v>
      </c>
      <c r="V21" s="169"/>
      <c r="Y21" s="135"/>
      <c r="Z21" s="151"/>
      <c r="AA21" s="151"/>
      <c r="AB21" s="135"/>
      <c r="AC21" s="151"/>
      <c r="AE21" s="135"/>
      <c r="AF21" s="151"/>
    </row>
    <row r="22" spans="1:32" x14ac:dyDescent="0.2">
      <c r="A22" t="str">
        <f>name!A20</f>
        <v>Electrical equipment</v>
      </c>
      <c r="B22" s="151">
        <v>66.058000000045865</v>
      </c>
      <c r="C22" s="141">
        <v>0.21356346900178841</v>
      </c>
      <c r="D22" s="165">
        <v>100</v>
      </c>
      <c r="E22" s="151">
        <v>69.29699999994429</v>
      </c>
      <c r="F22" s="141">
        <v>0.20872442619740475</v>
      </c>
      <c r="H22" s="151">
        <v>3.2389999998984278</v>
      </c>
      <c r="I22" s="141">
        <v>4.9032668259653311</v>
      </c>
      <c r="K22" s="151">
        <v>4.845573582704489</v>
      </c>
      <c r="L22" s="141">
        <v>7.3353319547990017</v>
      </c>
      <c r="N22" s="151">
        <v>-0.10979376804513397</v>
      </c>
      <c r="O22" s="141">
        <v>-0.16620813231562828</v>
      </c>
      <c r="Q22" s="151">
        <v>-1.4967798147609273</v>
      </c>
      <c r="R22" s="141">
        <v>-2.2658569965180417</v>
      </c>
      <c r="S22" s="141"/>
      <c r="T22" s="162">
        <v>66.058000000045865</v>
      </c>
      <c r="U22" s="163">
        <v>69.29699999994429</v>
      </c>
      <c r="V22" s="169"/>
      <c r="Y22" s="135"/>
      <c r="Z22" s="151"/>
      <c r="AA22" s="151"/>
      <c r="AB22" s="135"/>
      <c r="AC22" s="151"/>
      <c r="AE22" s="135"/>
      <c r="AF22" s="151"/>
    </row>
    <row r="23" spans="1:32" x14ac:dyDescent="0.2">
      <c r="A23" t="str">
        <f>name!A21</f>
        <v>Machinery n.e.c.</v>
      </c>
      <c r="B23" s="151">
        <v>320.67900000022286</v>
      </c>
      <c r="C23" s="141">
        <v>1.036745279542592</v>
      </c>
      <c r="D23" s="165">
        <v>100</v>
      </c>
      <c r="E23" s="151">
        <v>294.9469999997628</v>
      </c>
      <c r="F23" s="141">
        <v>0.88838829002187569</v>
      </c>
      <c r="H23" s="151">
        <v>-25.732000000460072</v>
      </c>
      <c r="I23" s="141">
        <v>-8.0242236006854792</v>
      </c>
      <c r="K23" s="151">
        <v>23.522869159346239</v>
      </c>
      <c r="L23" s="141">
        <v>7.3353319547990017</v>
      </c>
      <c r="N23" s="151">
        <v>-3.366093988785714</v>
      </c>
      <c r="O23" s="141">
        <v>-1.0496770879238662</v>
      </c>
      <c r="Q23" s="151">
        <v>-45.888775171020598</v>
      </c>
      <c r="R23" s="141">
        <v>-14.309878467560615</v>
      </c>
      <c r="S23" s="141"/>
      <c r="T23" s="162">
        <v>320.67900000022286</v>
      </c>
      <c r="U23" s="163">
        <v>294.9469999997628</v>
      </c>
      <c r="V23" s="169"/>
      <c r="Y23" s="135"/>
      <c r="Z23" s="151"/>
      <c r="AA23" s="151"/>
      <c r="AB23" s="135"/>
      <c r="AC23" s="151"/>
      <c r="AE23" s="135"/>
      <c r="AF23" s="151"/>
    </row>
    <row r="24" spans="1:32" x14ac:dyDescent="0.2">
      <c r="A24" t="str">
        <f>name!A22</f>
        <v>Motor vehicles, etc</v>
      </c>
      <c r="B24" s="151">
        <v>140.47299999999331</v>
      </c>
      <c r="C24" s="141">
        <v>0.45414486029044115</v>
      </c>
      <c r="D24" s="165">
        <v>100</v>
      </c>
      <c r="E24" s="151">
        <v>162.91900000005276</v>
      </c>
      <c r="F24" s="141">
        <v>0.49071640607375983</v>
      </c>
      <c r="H24" s="151">
        <v>22.44600000005946</v>
      </c>
      <c r="I24" s="141">
        <v>15.97887138457962</v>
      </c>
      <c r="K24" s="151">
        <v>10.304160856864311</v>
      </c>
      <c r="L24" s="141">
        <v>7.3353319547990017</v>
      </c>
      <c r="N24" s="151">
        <v>0.82977728801001405</v>
      </c>
      <c r="O24" s="141">
        <v>0.59070233283980089</v>
      </c>
      <c r="Q24" s="151">
        <v>11.312061855185135</v>
      </c>
      <c r="R24" s="141">
        <v>8.0528370969408165</v>
      </c>
      <c r="S24" s="141"/>
      <c r="T24" s="162">
        <v>140.47299999999331</v>
      </c>
      <c r="U24" s="163">
        <v>162.91900000005276</v>
      </c>
      <c r="V24" s="169"/>
      <c r="Y24" s="135"/>
      <c r="Z24" s="151"/>
      <c r="AA24" s="151"/>
      <c r="AB24" s="135"/>
      <c r="AC24" s="151"/>
      <c r="AE24" s="135"/>
      <c r="AF24" s="151"/>
    </row>
    <row r="25" spans="1:32" x14ac:dyDescent="0.2">
      <c r="A25" t="str">
        <f>name!A23</f>
        <v>Other transport equipment</v>
      </c>
      <c r="B25" s="151">
        <v>67.744000000034035</v>
      </c>
      <c r="C25" s="141">
        <v>0.21901425480720543</v>
      </c>
      <c r="D25" s="165">
        <v>100</v>
      </c>
      <c r="E25" s="151">
        <v>77.434000000005142</v>
      </c>
      <c r="F25" s="141">
        <v>0.23323328886075737</v>
      </c>
      <c r="H25" s="151">
        <v>9.6899999999711</v>
      </c>
      <c r="I25" s="141">
        <v>14.303849787385202</v>
      </c>
      <c r="K25" s="151">
        <v>4.9692472794615323</v>
      </c>
      <c r="L25" s="141">
        <v>7.3353319547990017</v>
      </c>
      <c r="N25" s="151">
        <v>0.32261779649633304</v>
      </c>
      <c r="O25" s="141">
        <v>0.4762308049364829</v>
      </c>
      <c r="Q25" s="151">
        <v>4.3981349240132346</v>
      </c>
      <c r="R25" s="141">
        <v>6.4922870276497182</v>
      </c>
      <c r="S25" s="141"/>
      <c r="T25" s="162">
        <v>67.744000000034035</v>
      </c>
      <c r="U25" s="163">
        <v>77.434000000005142</v>
      </c>
      <c r="V25" s="169"/>
      <c r="Y25" s="135"/>
      <c r="Z25" s="151"/>
      <c r="AA25" s="151"/>
      <c r="AB25" s="135"/>
      <c r="AC25" s="151"/>
      <c r="AE25" s="135"/>
      <c r="AF25" s="151"/>
    </row>
    <row r="26" spans="1:32" x14ac:dyDescent="0.2">
      <c r="A26" t="str">
        <f>name!A24</f>
        <v>Furniture</v>
      </c>
      <c r="B26" s="151">
        <v>182.40299999999939</v>
      </c>
      <c r="C26" s="141">
        <v>0.58970325223751896</v>
      </c>
      <c r="D26" s="165">
        <v>100</v>
      </c>
      <c r="E26" s="151">
        <v>185.13999999993501</v>
      </c>
      <c r="F26" s="141">
        <v>0.55764665521169765</v>
      </c>
      <c r="H26" s="151">
        <v>2.7369999999356223</v>
      </c>
      <c r="I26" s="141">
        <v>1.5005235659148322</v>
      </c>
      <c r="K26" s="151">
        <v>13.379865545511977</v>
      </c>
      <c r="L26" s="141">
        <v>7.3353319547990017</v>
      </c>
      <c r="N26" s="151">
        <v>-0.727336938408782</v>
      </c>
      <c r="O26" s="141">
        <v>-0.39875272797529882</v>
      </c>
      <c r="Q26" s="151">
        <v>-9.9155286071675732</v>
      </c>
      <c r="R26" s="141">
        <v>-5.4360556609088704</v>
      </c>
      <c r="S26" s="141"/>
      <c r="T26" s="162">
        <v>182.40299999999939</v>
      </c>
      <c r="U26" s="163">
        <v>185.13999999993501</v>
      </c>
      <c r="V26" s="169"/>
      <c r="Y26" s="135"/>
      <c r="Z26" s="151"/>
      <c r="AA26" s="151"/>
      <c r="AB26" s="135"/>
      <c r="AC26" s="151"/>
      <c r="AE26" s="135"/>
      <c r="AF26" s="151"/>
    </row>
    <row r="27" spans="1:32" x14ac:dyDescent="0.2">
      <c r="A27" t="str">
        <f>name!A25</f>
        <v>Other manufacturing</v>
      </c>
      <c r="B27" s="151">
        <v>90.135000000064551</v>
      </c>
      <c r="C27" s="141">
        <v>0.29140366463526929</v>
      </c>
      <c r="D27" s="165">
        <v>100</v>
      </c>
      <c r="E27" s="151">
        <v>65.68600000003066</v>
      </c>
      <c r="F27" s="141">
        <v>0.19784799716034099</v>
      </c>
      <c r="H27" s="151">
        <v>-24.449000000033891</v>
      </c>
      <c r="I27" s="141">
        <v>-27.124868253193966</v>
      </c>
      <c r="K27" s="151">
        <v>6.6117014574628152</v>
      </c>
      <c r="L27" s="141">
        <v>7.3353319547990017</v>
      </c>
      <c r="N27" s="151">
        <v>-2.1226985726898846</v>
      </c>
      <c r="O27" s="141">
        <v>-2.3550214374974918</v>
      </c>
      <c r="Q27" s="151">
        <v>-28.938002884806821</v>
      </c>
      <c r="R27" s="141">
        <v>-32.105178770495471</v>
      </c>
      <c r="S27" s="141"/>
      <c r="T27" s="162">
        <v>90.135000000064551</v>
      </c>
      <c r="U27" s="163">
        <v>65.68600000003066</v>
      </c>
      <c r="V27" s="169"/>
      <c r="Y27" s="135"/>
      <c r="Z27" s="151"/>
      <c r="AA27" s="151"/>
      <c r="AB27" s="135"/>
      <c r="AC27" s="151"/>
      <c r="AE27" s="135"/>
      <c r="AF27" s="151"/>
    </row>
    <row r="28" spans="1:32" x14ac:dyDescent="0.2">
      <c r="A28" t="str">
        <f>name!A26</f>
        <v>Repair and installation</v>
      </c>
      <c r="B28" s="151">
        <v>65.316000000028879</v>
      </c>
      <c r="C28" s="141">
        <v>0.2111646059722864</v>
      </c>
      <c r="D28" s="165">
        <v>100</v>
      </c>
      <c r="E28" s="151">
        <v>58.65599999997378</v>
      </c>
      <c r="F28" s="141">
        <v>0.17667344824508047</v>
      </c>
      <c r="H28" s="151">
        <v>-6.6600000000551081</v>
      </c>
      <c r="I28" s="141">
        <v>-10.196582766936375</v>
      </c>
      <c r="K28" s="151">
        <v>4.7911454195986343</v>
      </c>
      <c r="L28" s="141">
        <v>7.3353319547990017</v>
      </c>
      <c r="N28" s="151">
        <v>-0.78257505134664118</v>
      </c>
      <c r="O28" s="141">
        <v>-1.1981368291786012</v>
      </c>
      <c r="Q28" s="151">
        <v>-10.668570368307101</v>
      </c>
      <c r="R28" s="141">
        <v>-16.333777892556778</v>
      </c>
      <c r="S28" s="141"/>
      <c r="T28" s="162">
        <v>65.316000000028879</v>
      </c>
      <c r="U28" s="163">
        <v>58.65599999997378</v>
      </c>
      <c r="V28" s="169"/>
      <c r="Y28" s="135"/>
      <c r="Z28" s="151"/>
      <c r="AA28" s="151"/>
      <c r="AB28" s="135"/>
      <c r="AC28" s="151"/>
      <c r="AE28" s="135"/>
      <c r="AF28" s="151"/>
    </row>
    <row r="29" spans="1:32" x14ac:dyDescent="0.2">
      <c r="A29" t="str">
        <f>name!A27</f>
        <v>Electricity, gas, etc</v>
      </c>
      <c r="B29" s="151">
        <v>217.60999999992853</v>
      </c>
      <c r="C29" s="141">
        <v>0.70352639331241695</v>
      </c>
      <c r="D29" s="165">
        <v>100</v>
      </c>
      <c r="E29" s="151">
        <v>203.759000000095</v>
      </c>
      <c r="F29" s="141">
        <v>0.61372758355500256</v>
      </c>
      <c r="H29" s="151">
        <v>-13.850999999833526</v>
      </c>
      <c r="I29" s="141">
        <v>-6.3650567528321655</v>
      </c>
      <c r="K29" s="151">
        <v>15.962415866832863</v>
      </c>
      <c r="L29" s="141">
        <v>7.3353319547990017</v>
      </c>
      <c r="N29" s="151">
        <v>-2.03745866440849</v>
      </c>
      <c r="O29" s="141">
        <v>-0.93628907881492551</v>
      </c>
      <c r="Q29" s="151">
        <v>-27.775957202257899</v>
      </c>
      <c r="R29" s="141">
        <v>-12.764099628816242</v>
      </c>
      <c r="S29" s="141"/>
      <c r="T29" s="162">
        <v>217.60999999992853</v>
      </c>
      <c r="U29" s="163">
        <v>203.759000000095</v>
      </c>
      <c r="V29" s="169"/>
      <c r="W29" s="140"/>
      <c r="Y29" s="135"/>
      <c r="Z29" s="151"/>
      <c r="AA29" s="151"/>
      <c r="AB29" s="135"/>
      <c r="AC29" s="151"/>
      <c r="AE29" s="135"/>
      <c r="AF29" s="151"/>
    </row>
    <row r="30" spans="1:32" x14ac:dyDescent="0.2">
      <c r="A30" t="str">
        <f>name!A28</f>
        <v>Water</v>
      </c>
      <c r="B30" s="151">
        <v>76.56499999997483</v>
      </c>
      <c r="C30" s="141">
        <v>0.24753227472986161</v>
      </c>
      <c r="D30" s="165">
        <v>100</v>
      </c>
      <c r="E30" s="151">
        <v>91.782000000042814</v>
      </c>
      <c r="F30" s="141">
        <v>0.27644985043038717</v>
      </c>
      <c r="H30" s="151">
        <v>15.217000000067987</v>
      </c>
      <c r="I30" s="141">
        <v>19.874616339153647</v>
      </c>
      <c r="K30" s="151">
        <v>5.616296911190009</v>
      </c>
      <c r="L30" s="141">
        <v>7.3353319547990017</v>
      </c>
      <c r="N30" s="151">
        <v>0.65611521270592732</v>
      </c>
      <c r="O30" s="141">
        <v>0.85693882675653765</v>
      </c>
      <c r="Q30" s="151">
        <v>8.9445878761720508</v>
      </c>
      <c r="R30" s="141">
        <v>11.682345557598108</v>
      </c>
      <c r="S30" s="141"/>
      <c r="T30" s="162">
        <v>76.56499999997483</v>
      </c>
      <c r="U30" s="163">
        <v>91.782000000042814</v>
      </c>
      <c r="V30" s="169"/>
      <c r="Y30" s="135"/>
      <c r="Z30" s="151"/>
      <c r="AA30" s="151"/>
      <c r="AB30" s="135"/>
      <c r="AC30" s="151"/>
      <c r="AE30" s="135"/>
      <c r="AF30" s="151"/>
    </row>
    <row r="31" spans="1:32" x14ac:dyDescent="0.2">
      <c r="A31" t="str">
        <f>name!A29</f>
        <v>Sewerage</v>
      </c>
      <c r="B31" s="151">
        <v>82.465999999925302</v>
      </c>
      <c r="C31" s="141">
        <v>0.266610025048795</v>
      </c>
      <c r="D31" s="165">
        <v>100</v>
      </c>
      <c r="E31" s="151">
        <v>87.377999999966974</v>
      </c>
      <c r="F31" s="141">
        <v>0.26318488408278279</v>
      </c>
      <c r="H31" s="151">
        <v>4.9120000000416617</v>
      </c>
      <c r="I31" s="141">
        <v>5.9563941503724092</v>
      </c>
      <c r="K31" s="151">
        <v>6.0491548498390655</v>
      </c>
      <c r="L31" s="141">
        <v>7.3353319547990017</v>
      </c>
      <c r="N31" s="151">
        <v>-7.7713537149029399E-2</v>
      </c>
      <c r="O31" s="141">
        <v>-9.4237063940411564E-2</v>
      </c>
      <c r="Q31" s="151">
        <v>-1.0594413126483744</v>
      </c>
      <c r="R31" s="141">
        <v>-1.284700740486181</v>
      </c>
      <c r="S31" s="141"/>
      <c r="T31" s="162">
        <v>82.465999999925302</v>
      </c>
      <c r="U31" s="163">
        <v>87.377999999966974</v>
      </c>
      <c r="V31" s="169"/>
      <c r="Y31" s="135"/>
      <c r="Z31" s="151"/>
      <c r="AA31" s="151"/>
      <c r="AB31" s="135"/>
      <c r="AC31" s="151"/>
      <c r="AE31" s="135"/>
      <c r="AF31" s="151"/>
    </row>
    <row r="32" spans="1:32" x14ac:dyDescent="0.2">
      <c r="A32" t="str">
        <f>name!A30</f>
        <v>Waste management</v>
      </c>
      <c r="B32" s="151">
        <v>32.932999999964288</v>
      </c>
      <c r="C32" s="141">
        <v>0.10647136947263597</v>
      </c>
      <c r="D32" s="165">
        <v>100</v>
      </c>
      <c r="E32" s="151">
        <v>34.895000000015962</v>
      </c>
      <c r="F32" s="141">
        <v>0.10510467772295519</v>
      </c>
      <c r="H32" s="151">
        <v>1.9620000000516737</v>
      </c>
      <c r="I32" s="141">
        <v>5.957550177796743</v>
      </c>
      <c r="K32" s="151">
        <v>2.4157448726713358</v>
      </c>
      <c r="L32" s="141">
        <v>7.3353319547990017</v>
      </c>
      <c r="N32" s="151">
        <v>-3.1009074112286816E-2</v>
      </c>
      <c r="O32" s="141">
        <v>-9.4158060645311514E-2</v>
      </c>
      <c r="Q32" s="151">
        <v>-0.42273579850737519</v>
      </c>
      <c r="R32" s="141">
        <v>-1.2836237163569477</v>
      </c>
      <c r="S32" s="141"/>
      <c r="T32" s="162">
        <v>32.932999999964288</v>
      </c>
      <c r="U32" s="163">
        <v>34.895000000015962</v>
      </c>
      <c r="V32" s="169"/>
      <c r="Y32" s="135"/>
      <c r="Z32" s="151"/>
      <c r="AA32" s="151"/>
      <c r="AB32" s="135"/>
      <c r="AC32" s="151"/>
      <c r="AE32" s="135"/>
      <c r="AF32" s="151"/>
    </row>
    <row r="33" spans="1:32" x14ac:dyDescent="0.2">
      <c r="A33" t="str">
        <f>name!A31</f>
        <v>Construction</v>
      </c>
      <c r="B33" s="151">
        <v>35.430000000000284</v>
      </c>
      <c r="C33" s="141">
        <v>0.11454409317157906</v>
      </c>
      <c r="D33" s="165">
        <v>100</v>
      </c>
      <c r="E33" s="151">
        <v>35.217999999995349</v>
      </c>
      <c r="F33" s="141">
        <v>0.10607756240277558</v>
      </c>
      <c r="H33" s="151">
        <v>-0.2120000000049331</v>
      </c>
      <c r="I33" s="141">
        <v>-0.59836296924903021</v>
      </c>
      <c r="K33" s="151">
        <v>2.598908111585307</v>
      </c>
      <c r="L33" s="141">
        <v>7.3353319547990017</v>
      </c>
      <c r="N33" s="151">
        <v>-0.19209838659309805</v>
      </c>
      <c r="O33" s="141">
        <v>-0.54219132541094139</v>
      </c>
      <c r="Q33" s="151">
        <v>-2.618809724997142</v>
      </c>
      <c r="R33" s="141">
        <v>-7.3915035986370903</v>
      </c>
      <c r="S33" s="141"/>
      <c r="T33" s="162">
        <v>35.430000000000284</v>
      </c>
      <c r="U33" s="163">
        <v>35.217999999995349</v>
      </c>
      <c r="V33" s="169"/>
      <c r="Y33" s="135"/>
      <c r="Z33" s="151"/>
      <c r="AA33" s="151"/>
      <c r="AB33" s="135"/>
      <c r="AC33" s="151"/>
      <c r="AE33" s="135"/>
      <c r="AF33" s="151"/>
    </row>
    <row r="34" spans="1:32" x14ac:dyDescent="0.2">
      <c r="A34" t="str">
        <f>name!A32</f>
        <v>Civil engineering</v>
      </c>
      <c r="B34" s="151">
        <v>145.50300000000124</v>
      </c>
      <c r="C34" s="141">
        <v>0.47040669457364592</v>
      </c>
      <c r="D34" s="165">
        <v>100</v>
      </c>
      <c r="E34" s="151">
        <v>144.62799999998086</v>
      </c>
      <c r="F34" s="141">
        <v>0.43562342254496622</v>
      </c>
      <c r="H34" s="151">
        <v>-0.8750000000203727</v>
      </c>
      <c r="I34" s="141">
        <v>-0.60136217124070657</v>
      </c>
      <c r="K34" s="151">
        <v>10.673128054191281</v>
      </c>
      <c r="L34" s="141">
        <v>7.3353319547990017</v>
      </c>
      <c r="N34" s="151">
        <v>-0.78920287654993049</v>
      </c>
      <c r="O34" s="141">
        <v>-0.54239629186334559</v>
      </c>
      <c r="Q34" s="151">
        <v>-10.758925177661723</v>
      </c>
      <c r="R34" s="141">
        <v>-7.3942978341763625</v>
      </c>
      <c r="S34" s="141"/>
      <c r="T34" s="162">
        <v>145.50300000000124</v>
      </c>
      <c r="U34" s="163">
        <v>144.62799999998086</v>
      </c>
      <c r="V34" s="169"/>
      <c r="Y34" s="135"/>
      <c r="Z34" s="151"/>
      <c r="AA34" s="151"/>
      <c r="AB34" s="135"/>
      <c r="AC34" s="151"/>
      <c r="AE34" s="135"/>
      <c r="AF34" s="151"/>
    </row>
    <row r="35" spans="1:32" x14ac:dyDescent="0.2">
      <c r="A35" t="str">
        <f>name!A33</f>
        <v>Specialised construction</v>
      </c>
      <c r="B35" s="151">
        <v>1697.6410000011963</v>
      </c>
      <c r="C35" s="141">
        <v>5.4884207980815161</v>
      </c>
      <c r="D35" s="165">
        <v>100</v>
      </c>
      <c r="E35" s="151">
        <v>1865.8430000002486</v>
      </c>
      <c r="F35" s="141">
        <v>5.619969256242106</v>
      </c>
      <c r="H35" s="151">
        <v>168.20199999905239</v>
      </c>
      <c r="I35" s="141">
        <v>9.9079840790210572</v>
      </c>
      <c r="K35" s="151">
        <v>124.52760275085707</v>
      </c>
      <c r="L35" s="141">
        <v>7.3353319547990017</v>
      </c>
      <c r="N35" s="151">
        <v>2.9847226994760661</v>
      </c>
      <c r="O35" s="141">
        <v>0.17581589390654223</v>
      </c>
      <c r="Q35" s="151">
        <v>40.689674548719267</v>
      </c>
      <c r="R35" s="141">
        <v>2.3968362303155142</v>
      </c>
      <c r="S35" s="141"/>
      <c r="T35" s="162">
        <v>1697.6410000011963</v>
      </c>
      <c r="U35" s="163">
        <v>1865.8430000002486</v>
      </c>
      <c r="V35" s="169"/>
      <c r="Y35" s="135"/>
      <c r="Z35" s="151"/>
      <c r="AA35" s="151"/>
      <c r="AB35" s="135"/>
      <c r="AC35" s="151"/>
      <c r="AE35" s="135"/>
      <c r="AF35" s="151"/>
    </row>
    <row r="36" spans="1:32" x14ac:dyDescent="0.2">
      <c r="A36" t="str">
        <f>name!A34</f>
        <v>Motor vehicle trade</v>
      </c>
      <c r="B36" s="151">
        <v>569.9599999994731</v>
      </c>
      <c r="C36" s="141">
        <v>1.842663035394082</v>
      </c>
      <c r="D36" s="165">
        <v>100</v>
      </c>
      <c r="E36" s="151">
        <v>641.79699999991612</v>
      </c>
      <c r="F36" s="141">
        <v>1.9331098108187363</v>
      </c>
      <c r="H36" s="151">
        <v>71.837000000443084</v>
      </c>
      <c r="I36" s="141">
        <v>12.603866938120129</v>
      </c>
      <c r="K36" s="151">
        <v>41.808458009533737</v>
      </c>
      <c r="L36" s="141">
        <v>7.3353319547990017</v>
      </c>
      <c r="N36" s="151">
        <v>2.0521604546274403</v>
      </c>
      <c r="O36" s="141">
        <v>0.36005341684141651</v>
      </c>
      <c r="Q36" s="151">
        <v>27.976381536281906</v>
      </c>
      <c r="R36" s="141">
        <v>4.9084815664797121</v>
      </c>
      <c r="S36" s="141"/>
      <c r="T36" s="162">
        <v>569.9599999994731</v>
      </c>
      <c r="U36" s="163">
        <v>641.79699999991612</v>
      </c>
      <c r="V36" s="169"/>
      <c r="Y36" s="135"/>
      <c r="Z36" s="151"/>
      <c r="AA36" s="151"/>
      <c r="AB36" s="135"/>
      <c r="AC36" s="151"/>
      <c r="AE36" s="135"/>
      <c r="AF36" s="151"/>
    </row>
    <row r="37" spans="1:32" x14ac:dyDescent="0.2">
      <c r="A37" t="str">
        <f>name!A35</f>
        <v>Wholesale trade</v>
      </c>
      <c r="B37" s="151">
        <v>1164.0059999989242</v>
      </c>
      <c r="C37" s="141">
        <v>3.7631953631428945</v>
      </c>
      <c r="D37" s="165">
        <v>100</v>
      </c>
      <c r="E37" s="151">
        <v>1232.8599999998389</v>
      </c>
      <c r="F37" s="141">
        <v>3.7134074502778711</v>
      </c>
      <c r="H37" s="151">
        <v>68.854000000914795</v>
      </c>
      <c r="I37" s="141">
        <v>5.9152616052647868</v>
      </c>
      <c r="K37" s="151">
        <v>85.383704073698738</v>
      </c>
      <c r="L37" s="141">
        <v>7.3353319547989999</v>
      </c>
      <c r="N37" s="151">
        <v>-1.1296454231819553</v>
      </c>
      <c r="O37" s="141">
        <v>-9.7048075627015618E-2</v>
      </c>
      <c r="Q37" s="151">
        <v>-15.400058649601988</v>
      </c>
      <c r="R37" s="141">
        <v>-1.3230222739071982</v>
      </c>
      <c r="S37" s="141"/>
      <c r="T37" s="162">
        <v>1164.0059999989242</v>
      </c>
      <c r="U37" s="163">
        <v>1232.8599999998389</v>
      </c>
      <c r="V37" s="169"/>
      <c r="Y37" s="135"/>
      <c r="Z37" s="151"/>
      <c r="AA37" s="151"/>
      <c r="AB37" s="135"/>
      <c r="AC37" s="151"/>
      <c r="AE37" s="135"/>
      <c r="AF37" s="151"/>
    </row>
    <row r="38" spans="1:32" x14ac:dyDescent="0.2">
      <c r="A38" t="str">
        <f>name!A36</f>
        <v>Retail trade</v>
      </c>
      <c r="B38" s="151">
        <v>3028.8189999972019</v>
      </c>
      <c r="C38" s="141">
        <v>9.7920780619679828</v>
      </c>
      <c r="D38" s="165">
        <v>100</v>
      </c>
      <c r="E38" s="151">
        <v>3261.3079999995739</v>
      </c>
      <c r="F38" s="141">
        <v>9.8231473361540029</v>
      </c>
      <c r="H38" s="151">
        <v>232.48900000237208</v>
      </c>
      <c r="I38" s="141">
        <v>7.675896116690593</v>
      </c>
      <c r="K38" s="151">
        <v>222.17392795981831</v>
      </c>
      <c r="L38" s="141">
        <v>7.3353319547990017</v>
      </c>
      <c r="N38" s="151">
        <v>0.70493542239819362</v>
      </c>
      <c r="O38" s="141">
        <v>2.3274267045962298E-2</v>
      </c>
      <c r="Q38" s="151">
        <v>9.610136620155572</v>
      </c>
      <c r="R38" s="141">
        <v>0.31728989484562958</v>
      </c>
      <c r="S38" s="141"/>
      <c r="T38" s="162">
        <v>3028.8189999972019</v>
      </c>
      <c r="U38" s="163">
        <v>3261.3079999995739</v>
      </c>
      <c r="V38" s="169"/>
      <c r="Y38" s="135"/>
      <c r="Z38" s="151"/>
      <c r="AA38" s="151"/>
      <c r="AB38" s="135"/>
      <c r="AC38" s="151"/>
      <c r="AE38" s="135"/>
      <c r="AF38" s="151"/>
    </row>
    <row r="39" spans="1:32" x14ac:dyDescent="0.2">
      <c r="A39" t="str">
        <f>name!A37</f>
        <v>Land transport, etc</v>
      </c>
      <c r="B39" s="151">
        <v>716.96500000073365</v>
      </c>
      <c r="C39" s="141">
        <v>2.3179256494734561</v>
      </c>
      <c r="D39" s="165">
        <v>100</v>
      </c>
      <c r="E39" s="151">
        <v>704.04699999997217</v>
      </c>
      <c r="F39" s="141">
        <v>2.1206084836445522</v>
      </c>
      <c r="H39" s="151">
        <v>-12.918000000761472</v>
      </c>
      <c r="I39" s="141">
        <v>-1.8017615923717691</v>
      </c>
      <c r="K39" s="151">
        <v>52.591762749778475</v>
      </c>
      <c r="L39" s="141">
        <v>7.3353319547990017</v>
      </c>
      <c r="N39" s="151">
        <v>-4.476958773069212</v>
      </c>
      <c r="O39" s="141">
        <v>-0.62443198385759846</v>
      </c>
      <c r="Q39" s="151">
        <v>-61.032803977470735</v>
      </c>
      <c r="R39" s="141">
        <v>-8.5126615633131717</v>
      </c>
      <c r="S39" s="141"/>
      <c r="T39" s="162">
        <v>716.96500000073365</v>
      </c>
      <c r="U39" s="163">
        <v>704.04699999997217</v>
      </c>
      <c r="V39" s="169"/>
      <c r="Y39" s="135"/>
      <c r="Z39" s="151"/>
      <c r="AA39" s="151"/>
      <c r="AB39" s="135"/>
      <c r="AC39" s="151"/>
      <c r="AE39" s="135"/>
      <c r="AF39" s="151"/>
    </row>
    <row r="40" spans="1:32" x14ac:dyDescent="0.2">
      <c r="A40" t="str">
        <f>name!A38</f>
        <v>Water transport</v>
      </c>
      <c r="B40" s="151">
        <v>18.247000000011084</v>
      </c>
      <c r="C40" s="141">
        <v>5.8991986116371888E-2</v>
      </c>
      <c r="D40" s="165">
        <v>100</v>
      </c>
      <c r="E40" s="151">
        <v>17.84799999999214</v>
      </c>
      <c r="F40" s="141">
        <v>5.3758655623946702E-2</v>
      </c>
      <c r="H40" s="151">
        <v>-0.39900000001894298</v>
      </c>
      <c r="I40" s="141">
        <v>-2.1866608210593554</v>
      </c>
      <c r="K40" s="151">
        <v>1.338478021792987</v>
      </c>
      <c r="L40" s="141">
        <v>7.3353319547990026</v>
      </c>
      <c r="N40" s="151">
        <v>-0.11873982054226906</v>
      </c>
      <c r="O40" s="141">
        <v>-0.65073612397762337</v>
      </c>
      <c r="Q40" s="151">
        <v>-1.6187382012696609</v>
      </c>
      <c r="R40" s="141">
        <v>-8.871256651880735</v>
      </c>
      <c r="S40" s="141"/>
      <c r="T40" s="162">
        <v>18.247000000011084</v>
      </c>
      <c r="U40" s="163">
        <v>17.84799999999214</v>
      </c>
      <c r="V40" s="169"/>
      <c r="Y40" s="135"/>
      <c r="Z40" s="151"/>
      <c r="AA40" s="151"/>
      <c r="AB40" s="135"/>
      <c r="AC40" s="151"/>
      <c r="AE40" s="135"/>
      <c r="AF40" s="151"/>
    </row>
    <row r="41" spans="1:32" x14ac:dyDescent="0.2">
      <c r="A41" t="str">
        <f>name!A39</f>
        <v>Air transport</v>
      </c>
      <c r="B41" s="151">
        <v>83.957000000060233</v>
      </c>
      <c r="C41" s="141">
        <v>0.2714303818914221</v>
      </c>
      <c r="D41" s="165">
        <v>100</v>
      </c>
      <c r="E41" s="151">
        <v>115.2650000001187</v>
      </c>
      <c r="F41" s="141">
        <v>0.34718127748225713</v>
      </c>
      <c r="H41" s="151">
        <v>31.30800000005847</v>
      </c>
      <c r="I41" s="141">
        <v>37.290517765089284</v>
      </c>
      <c r="K41" s="151">
        <v>6.1585246492950159</v>
      </c>
      <c r="L41" s="141">
        <v>7.3353319547990017</v>
      </c>
      <c r="N41" s="151">
        <v>1.7187234326956968</v>
      </c>
      <c r="O41" s="141">
        <v>2.0471472690716244</v>
      </c>
      <c r="Q41" s="151">
        <v>23.430751918067756</v>
      </c>
      <c r="R41" s="141">
        <v>27.908038541218655</v>
      </c>
      <c r="S41" s="141"/>
      <c r="T41" s="162">
        <v>83.957000000060233</v>
      </c>
      <c r="U41" s="163">
        <v>115.2650000001187</v>
      </c>
      <c r="V41" s="169"/>
      <c r="Y41" s="135"/>
      <c r="Z41" s="151"/>
      <c r="AA41" s="151"/>
      <c r="AB41" s="135"/>
      <c r="AC41" s="151"/>
      <c r="AE41" s="135"/>
      <c r="AF41" s="151"/>
    </row>
    <row r="42" spans="1:32" x14ac:dyDescent="0.2">
      <c r="A42" t="str">
        <f>name!A40</f>
        <v>Warehousing, etc</v>
      </c>
      <c r="B42" s="151">
        <v>340.75900000006266</v>
      </c>
      <c r="C42" s="141">
        <v>1.1016632979130954</v>
      </c>
      <c r="D42" s="165">
        <v>100</v>
      </c>
      <c r="E42" s="151">
        <v>336.28300000019055</v>
      </c>
      <c r="F42" s="141">
        <v>1.0128934328331394</v>
      </c>
      <c r="H42" s="151">
        <v>-4.4759999998720597</v>
      </c>
      <c r="I42" s="141">
        <v>-1.3135383070942328</v>
      </c>
      <c r="K42" s="151">
        <v>24.995803815858125</v>
      </c>
      <c r="L42" s="141">
        <v>7.3353319547990017</v>
      </c>
      <c r="N42" s="151">
        <v>-2.01411278427996</v>
      </c>
      <c r="O42" s="141">
        <v>-0.59106664366299633</v>
      </c>
      <c r="Q42" s="151">
        <v>-27.457691031450224</v>
      </c>
      <c r="R42" s="141">
        <v>-8.0578036182302366</v>
      </c>
      <c r="S42" s="141"/>
      <c r="T42" s="162">
        <v>340.75900000006266</v>
      </c>
      <c r="U42" s="163">
        <v>336.28300000019055</v>
      </c>
      <c r="V42" s="169"/>
      <c r="Y42" s="135"/>
      <c r="Z42" s="151"/>
      <c r="AA42" s="151"/>
      <c r="AB42" s="135"/>
      <c r="AC42" s="151"/>
      <c r="AE42" s="135"/>
      <c r="AF42" s="151"/>
    </row>
    <row r="43" spans="1:32" x14ac:dyDescent="0.2">
      <c r="A43" t="str">
        <f>name!A41</f>
        <v>Postal and courier</v>
      </c>
      <c r="B43" s="151">
        <v>325.27900000005985</v>
      </c>
      <c r="C43" s="141">
        <v>1.0516169371370201</v>
      </c>
      <c r="D43" s="165">
        <v>100</v>
      </c>
      <c r="E43" s="151">
        <v>535.52800000030322</v>
      </c>
      <c r="F43" s="141">
        <v>1.6130247270848221</v>
      </c>
      <c r="H43" s="151">
        <v>210.24900000024343</v>
      </c>
      <c r="I43" s="141">
        <v>64.63651204049593</v>
      </c>
      <c r="K43" s="151">
        <v>23.860294429255035</v>
      </c>
      <c r="L43" s="141">
        <v>7.3353319547990017</v>
      </c>
      <c r="N43" s="151">
        <v>12.737865557301006</v>
      </c>
      <c r="O43" s="141">
        <v>3.9159815288717268</v>
      </c>
      <c r="Q43" s="151">
        <v>173.6508400136874</v>
      </c>
      <c r="R43" s="141">
        <v>53.385198556825195</v>
      </c>
      <c r="S43" s="141"/>
      <c r="T43" s="162">
        <v>325.27900000005985</v>
      </c>
      <c r="U43" s="163">
        <v>535.52800000030322</v>
      </c>
      <c r="V43" s="169"/>
      <c r="Y43" s="135"/>
      <c r="Z43" s="151"/>
      <c r="AA43" s="151"/>
      <c r="AB43" s="135"/>
      <c r="AC43" s="151"/>
      <c r="AE43" s="135"/>
      <c r="AF43" s="151"/>
    </row>
    <row r="44" spans="1:32" x14ac:dyDescent="0.2">
      <c r="A44" t="str">
        <f>name!A42</f>
        <v>Accommodation</v>
      </c>
      <c r="B44" s="151">
        <v>2144.1589999988464</v>
      </c>
      <c r="C44" s="141">
        <v>6.9319996689400423</v>
      </c>
      <c r="D44" s="165">
        <v>100</v>
      </c>
      <c r="E44" s="151">
        <v>2258.3650000006869</v>
      </c>
      <c r="F44" s="141">
        <v>6.8022560683698323</v>
      </c>
      <c r="H44" s="151">
        <v>114.20600000184029</v>
      </c>
      <c r="I44" s="141">
        <v>5.3263773816168358</v>
      </c>
      <c r="K44" s="151">
        <v>157.28118028861411</v>
      </c>
      <c r="L44" s="141">
        <v>7.3353319547990017</v>
      </c>
      <c r="N44" s="151">
        <v>-2.9437720148788173</v>
      </c>
      <c r="O44" s="141">
        <v>-0.13729261751952168</v>
      </c>
      <c r="Q44" s="151">
        <v>-40.131408271894998</v>
      </c>
      <c r="R44" s="141">
        <v>-1.8716619556626439</v>
      </c>
      <c r="S44" s="141"/>
      <c r="T44" s="162">
        <v>2144.1589999988464</v>
      </c>
      <c r="U44" s="163">
        <v>2258.3650000006869</v>
      </c>
      <c r="V44" s="169"/>
      <c r="Y44" s="135"/>
      <c r="Z44" s="151"/>
      <c r="AA44" s="151"/>
      <c r="AB44" s="135"/>
      <c r="AC44" s="151"/>
      <c r="AE44" s="135"/>
      <c r="AF44" s="151"/>
    </row>
    <row r="45" spans="1:32" x14ac:dyDescent="0.2">
      <c r="A45" t="str">
        <f>name!A43</f>
        <v>Food and beverage services</v>
      </c>
      <c r="B45" s="151">
        <v>197.47100000001379</v>
      </c>
      <c r="C45" s="141">
        <v>0.63841762976817074</v>
      </c>
      <c r="D45" s="165">
        <v>100</v>
      </c>
      <c r="E45" s="151">
        <v>286.78200000015835</v>
      </c>
      <c r="F45" s="141">
        <v>0.86379509060746196</v>
      </c>
      <c r="H45" s="151">
        <v>89.311000000144531</v>
      </c>
      <c r="I45" s="141">
        <v>45.227400479127716</v>
      </c>
      <c r="K45" s="151">
        <v>14.485153364462148</v>
      </c>
      <c r="L45" s="141">
        <v>7.3353319547990017</v>
      </c>
      <c r="N45" s="151">
        <v>5.1136230156045031</v>
      </c>
      <c r="O45" s="141">
        <v>2.5895564491009546</v>
      </c>
      <c r="Q45" s="151">
        <v>69.712223620077879</v>
      </c>
      <c r="R45" s="141">
        <v>35.30251207522776</v>
      </c>
      <c r="S45" s="141"/>
      <c r="T45" s="162">
        <v>197.47100000001379</v>
      </c>
      <c r="U45" s="163">
        <v>286.78200000015835</v>
      </c>
      <c r="V45" s="169"/>
      <c r="Y45" s="135"/>
      <c r="Z45" s="151"/>
      <c r="AA45" s="151"/>
      <c r="AB45" s="135"/>
      <c r="AC45" s="151"/>
      <c r="AE45" s="135"/>
      <c r="AF45" s="151"/>
    </row>
    <row r="46" spans="1:32" x14ac:dyDescent="0.2">
      <c r="A46" t="str">
        <f>name!A44</f>
        <v>Publishing activities</v>
      </c>
      <c r="B46" s="151">
        <v>187.13600000001301</v>
      </c>
      <c r="C46" s="141">
        <v>0.60500489471515484</v>
      </c>
      <c r="D46" s="165">
        <v>100</v>
      </c>
      <c r="E46" s="151">
        <v>179.50800000009909</v>
      </c>
      <c r="F46" s="141">
        <v>0.54068291986513894</v>
      </c>
      <c r="H46" s="151">
        <v>-7.6279999999139108</v>
      </c>
      <c r="I46" s="141">
        <v>-4.076179890514589</v>
      </c>
      <c r="K46" s="151">
        <v>13.727046806933613</v>
      </c>
      <c r="L46" s="141">
        <v>7.3353319547990017</v>
      </c>
      <c r="N46" s="151">
        <v>-1.4594109356690108</v>
      </c>
      <c r="O46" s="141">
        <v>-0.77986647981623491</v>
      </c>
      <c r="Q46" s="151">
        <v>-19.895635871178513</v>
      </c>
      <c r="R46" s="141">
        <v>-10.631645365497354</v>
      </c>
      <c r="S46" s="141"/>
      <c r="T46" s="162">
        <v>187.13600000001301</v>
      </c>
      <c r="U46" s="162">
        <v>179.50800000009909</v>
      </c>
      <c r="V46" s="169"/>
      <c r="Y46" s="135"/>
      <c r="Z46" s="151"/>
      <c r="AA46" s="151"/>
      <c r="AB46" s="135"/>
      <c r="AC46" s="151"/>
      <c r="AE46" s="135"/>
      <c r="AF46" s="151"/>
    </row>
    <row r="47" spans="1:32" x14ac:dyDescent="0.2">
      <c r="A47" t="str">
        <f>name!A45</f>
        <v>Film and music</v>
      </c>
      <c r="B47" s="151">
        <v>199.87700000026544</v>
      </c>
      <c r="C47" s="141">
        <v>0.64619615328495417</v>
      </c>
      <c r="D47" s="165">
        <v>100</v>
      </c>
      <c r="E47" s="151">
        <v>198.79299999997147</v>
      </c>
      <c r="F47" s="141">
        <v>0.59876985810479655</v>
      </c>
      <c r="H47" s="151">
        <v>-1.0840000002939487</v>
      </c>
      <c r="I47" s="141">
        <v>-0.54233353527044592</v>
      </c>
      <c r="K47" s="151">
        <v>14.66164145131307</v>
      </c>
      <c r="L47" s="141">
        <v>7.3353319547990017</v>
      </c>
      <c r="N47" s="151">
        <v>-1.0760623252874428</v>
      </c>
      <c r="O47" s="141">
        <v>-0.53836225543009641</v>
      </c>
      <c r="Q47" s="151">
        <v>-14.669579126319576</v>
      </c>
      <c r="R47" s="141">
        <v>-7.3393032346393507</v>
      </c>
      <c r="S47" s="141"/>
      <c r="T47" s="162">
        <v>199.87700000026544</v>
      </c>
      <c r="U47" s="162">
        <v>198.79299999997147</v>
      </c>
      <c r="V47" s="169"/>
      <c r="Y47" s="135"/>
      <c r="Z47" s="135"/>
      <c r="AA47" s="135"/>
      <c r="AB47" s="135"/>
      <c r="AC47" s="135"/>
      <c r="AE47" s="135"/>
      <c r="AF47" s="151"/>
    </row>
    <row r="48" spans="1:32" x14ac:dyDescent="0.2">
      <c r="A48" t="str">
        <f>name!A46</f>
        <v>Broadcasting</v>
      </c>
      <c r="B48" s="151">
        <v>438.62000000015314</v>
      </c>
      <c r="C48" s="141">
        <v>1.4180448813698885</v>
      </c>
      <c r="D48" s="165">
        <v>100</v>
      </c>
      <c r="E48" s="151">
        <v>414.383999999926</v>
      </c>
      <c r="F48" s="141">
        <v>1.2481357436171761</v>
      </c>
      <c r="H48" s="151">
        <v>-24.236000000227126</v>
      </c>
      <c r="I48" s="141">
        <v>-5.525511832615627</v>
      </c>
      <c r="K48" s="151">
        <v>32.174233020150616</v>
      </c>
      <c r="L48" s="141">
        <v>7.3353319547990017</v>
      </c>
      <c r="N48" s="151">
        <v>-3.8550939128439801</v>
      </c>
      <c r="O48" s="141">
        <v>-0.87891430232151613</v>
      </c>
      <c r="Q48" s="151">
        <v>-52.555139107533762</v>
      </c>
      <c r="R48" s="141">
        <v>-11.981929485093113</v>
      </c>
      <c r="S48" s="141"/>
      <c r="T48" s="162">
        <v>438.62000000015314</v>
      </c>
      <c r="U48" s="162">
        <v>414.383999999926</v>
      </c>
      <c r="Y48" s="135"/>
      <c r="Z48" s="135"/>
      <c r="AA48" s="135"/>
      <c r="AB48" s="135"/>
      <c r="AC48" s="135"/>
      <c r="AE48" s="135"/>
    </row>
    <row r="49" spans="1:21" x14ac:dyDescent="0.2">
      <c r="A49" t="str">
        <f>name!A47</f>
        <v>Telecommunications</v>
      </c>
      <c r="B49" s="151">
        <v>613.98799999968332</v>
      </c>
      <c r="C49" s="141">
        <v>1.9850041963927363</v>
      </c>
      <c r="D49" s="165">
        <v>100</v>
      </c>
      <c r="E49" s="151">
        <v>538.85800000020777</v>
      </c>
      <c r="F49" s="141">
        <v>1.6230547765706296</v>
      </c>
      <c r="H49" s="151">
        <v>-75.129999999475544</v>
      </c>
      <c r="I49" s="141">
        <v>-12.236395499507205</v>
      </c>
      <c r="K49" s="151">
        <v>45.038057962608065</v>
      </c>
      <c r="L49" s="141">
        <v>7.3353319547990017</v>
      </c>
      <c r="N49" s="151">
        <v>-8.2123246787610498</v>
      </c>
      <c r="O49" s="141">
        <v>-1.3375383034791049</v>
      </c>
      <c r="Q49" s="151">
        <v>-111.95573328332256</v>
      </c>
      <c r="R49" s="141">
        <v>-18.234189150827103</v>
      </c>
      <c r="S49" s="141"/>
      <c r="T49" s="162">
        <v>613.98799999968332</v>
      </c>
      <c r="U49" s="162">
        <v>538.85800000020777</v>
      </c>
    </row>
    <row r="50" spans="1:21" x14ac:dyDescent="0.2">
      <c r="A50" t="str">
        <f>name!A48</f>
        <v>Computing services</v>
      </c>
      <c r="B50" s="151">
        <v>132.72299999993143</v>
      </c>
      <c r="C50" s="141">
        <v>0.42908935021178413</v>
      </c>
      <c r="D50" s="165">
        <v>100</v>
      </c>
      <c r="E50" s="151">
        <v>135.03200000005205</v>
      </c>
      <c r="F50" s="141">
        <v>0.40672001267474028</v>
      </c>
      <c r="H50" s="151">
        <v>2.3090000001206064</v>
      </c>
      <c r="I50" s="141">
        <v>1.7397135388152762</v>
      </c>
      <c r="K50" s="151">
        <v>9.7356726303628491</v>
      </c>
      <c r="L50" s="141">
        <v>7.3353319547990017</v>
      </c>
      <c r="N50" s="151">
        <v>-0.50754125477889156</v>
      </c>
      <c r="O50" s="141">
        <v>-0.38240640640970575</v>
      </c>
      <c r="Q50" s="151">
        <v>-6.9191313754633512</v>
      </c>
      <c r="R50" s="141">
        <v>-5.2132120095740202</v>
      </c>
      <c r="S50" s="141"/>
      <c r="T50" s="162">
        <v>132.72299999993143</v>
      </c>
      <c r="U50" s="162">
        <v>135.03200000005205</v>
      </c>
    </row>
    <row r="51" spans="1:21" x14ac:dyDescent="0.2">
      <c r="A51" t="str">
        <f>name!A49</f>
        <v>Information services</v>
      </c>
      <c r="B51" s="151">
        <v>312.76299999983866</v>
      </c>
      <c r="C51" s="141">
        <v>1.0111530966018576</v>
      </c>
      <c r="D51" s="165">
        <v>100</v>
      </c>
      <c r="E51" s="151">
        <v>502.44200000019339</v>
      </c>
      <c r="F51" s="141">
        <v>1.5133688059743005</v>
      </c>
      <c r="H51" s="151">
        <v>189.6790000003547</v>
      </c>
      <c r="I51" s="141">
        <v>60.646240124456078</v>
      </c>
      <c r="K51" s="151">
        <v>22.942204281776167</v>
      </c>
      <c r="L51" s="141">
        <v>7.3353319547990017</v>
      </c>
      <c r="N51" s="151">
        <v>11.394847562313828</v>
      </c>
      <c r="O51" s="141">
        <v>3.6432850312599978</v>
      </c>
      <c r="Q51" s="151">
        <v>155.34194815626472</v>
      </c>
      <c r="R51" s="141">
        <v>49.667623138397076</v>
      </c>
      <c r="S51" s="141"/>
      <c r="T51" s="162">
        <v>312.76299999983866</v>
      </c>
      <c r="U51" s="162">
        <v>502.44200000019339</v>
      </c>
    </row>
    <row r="52" spans="1:21" x14ac:dyDescent="0.2">
      <c r="A52" t="str">
        <f>name!A50</f>
        <v>Financial services</v>
      </c>
      <c r="B52" s="151">
        <v>548.61799999979723</v>
      </c>
      <c r="C52" s="141">
        <v>1.7736650100926228</v>
      </c>
      <c r="D52" s="165">
        <v>100</v>
      </c>
      <c r="E52" s="151">
        <v>580.38300000007268</v>
      </c>
      <c r="F52" s="141">
        <v>1.7481291924591382</v>
      </c>
      <c r="H52" s="151">
        <v>31.765000000275439</v>
      </c>
      <c r="I52" s="141">
        <v>5.7900032445685667</v>
      </c>
      <c r="K52" s="151">
        <v>40.242951463764314</v>
      </c>
      <c r="L52" s="141">
        <v>7.3353319547990017</v>
      </c>
      <c r="N52" s="151">
        <v>-0.57938599665903823</v>
      </c>
      <c r="O52" s="141">
        <v>-0.10560827327197655</v>
      </c>
      <c r="Q52" s="151">
        <v>-7.8985654668298366</v>
      </c>
      <c r="R52" s="141">
        <v>-1.4397204369584586</v>
      </c>
      <c r="S52" s="141"/>
      <c r="T52" s="162">
        <v>548.61799999979723</v>
      </c>
      <c r="U52" s="162">
        <v>580.38300000007268</v>
      </c>
    </row>
    <row r="53" spans="1:21" x14ac:dyDescent="0.2">
      <c r="A53" t="str">
        <f>name!A51</f>
        <v>Insurance and pensions</v>
      </c>
      <c r="B53" s="151">
        <v>1501.1650000006377</v>
      </c>
      <c r="C53" s="141">
        <v>4.8532199725087537</v>
      </c>
      <c r="D53" s="165">
        <v>100</v>
      </c>
      <c r="E53" s="151">
        <v>1898.5639999980804</v>
      </c>
      <c r="F53" s="141">
        <v>5.7185257875372297</v>
      </c>
      <c r="H53" s="151">
        <v>397.39899999744262</v>
      </c>
      <c r="I53" s="141">
        <v>26.472706198004467</v>
      </c>
      <c r="K53" s="151">
        <v>110.11543593930521</v>
      </c>
      <c r="L53" s="141">
        <v>7.3353319547990017</v>
      </c>
      <c r="N53" s="151">
        <v>19.633053433064049</v>
      </c>
      <c r="O53" s="141">
        <v>1.3078544619049677</v>
      </c>
      <c r="Q53" s="151">
        <v>267.65051062507337</v>
      </c>
      <c r="R53" s="141">
        <v>17.829519781300501</v>
      </c>
      <c r="S53" s="141"/>
      <c r="T53" s="162">
        <v>1501.1650000006377</v>
      </c>
      <c r="U53" s="162">
        <v>1898.5639999980804</v>
      </c>
    </row>
    <row r="54" spans="1:21" x14ac:dyDescent="0.2">
      <c r="A54" t="str">
        <f>name!A52</f>
        <v>Auxiliary financial services</v>
      </c>
      <c r="B54" s="151">
        <v>471.13500000027409</v>
      </c>
      <c r="C54" s="141">
        <v>1.5231648697833153</v>
      </c>
      <c r="D54" s="165">
        <v>100</v>
      </c>
      <c r="E54" s="151">
        <v>502.06400000003481</v>
      </c>
      <c r="F54" s="141">
        <v>1.5122302598159418</v>
      </c>
      <c r="H54" s="151">
        <v>30.928999999760709</v>
      </c>
      <c r="I54" s="141">
        <v>6.5647850403265977</v>
      </c>
      <c r="K54" s="151">
        <v>34.559316205262384</v>
      </c>
      <c r="L54" s="141">
        <v>7.3353319547990017</v>
      </c>
      <c r="N54" s="151">
        <v>-0.24809700574137494</v>
      </c>
      <c r="O54" s="141">
        <v>-5.2659430044728284E-2</v>
      </c>
      <c r="Q54" s="151">
        <v>-3.3822191997602999</v>
      </c>
      <c r="R54" s="141">
        <v>-0.71788748442767625</v>
      </c>
      <c r="S54" s="141"/>
      <c r="T54" s="162">
        <v>471.13500000027409</v>
      </c>
      <c r="U54" s="162">
        <v>502.06400000003481</v>
      </c>
    </row>
    <row r="55" spans="1:21" x14ac:dyDescent="0.2">
      <c r="A55" t="str">
        <f>name!A53</f>
        <v>Real estate</v>
      </c>
      <c r="B55" s="151">
        <v>106.49900000005229</v>
      </c>
      <c r="C55" s="141">
        <v>0.34430797004476121</v>
      </c>
      <c r="D55" s="165">
        <v>100</v>
      </c>
      <c r="E55" s="151">
        <v>125.1209999999075</v>
      </c>
      <c r="F55" s="141">
        <v>0.37686781433896366</v>
      </c>
      <c r="H55" s="151">
        <v>18.621999999855209</v>
      </c>
      <c r="I55" s="141">
        <v>17.485610193378402</v>
      </c>
      <c r="K55" s="151">
        <v>7.8120551785452239</v>
      </c>
      <c r="L55" s="141">
        <v>7.3353319547990017</v>
      </c>
      <c r="N55" s="151">
        <v>0.73875519116819888</v>
      </c>
      <c r="O55" s="141">
        <v>0.6936733595318606</v>
      </c>
      <c r="Q55" s="151">
        <v>10.071189630141788</v>
      </c>
      <c r="R55" s="141">
        <v>9.4566048790475428</v>
      </c>
      <c r="S55" s="141"/>
      <c r="T55" s="162">
        <v>106.49900000005229</v>
      </c>
      <c r="U55" s="162">
        <v>125.1209999999075</v>
      </c>
    </row>
    <row r="56" spans="1:21" x14ac:dyDescent="0.2">
      <c r="A56" t="str">
        <f>name!A54</f>
        <v>Legal and accounting</v>
      </c>
      <c r="B56" s="151">
        <v>216.71200000001988</v>
      </c>
      <c r="C56" s="141">
        <v>0.7006231871126537</v>
      </c>
      <c r="D56" s="165">
        <v>100</v>
      </c>
      <c r="E56" s="151">
        <v>307.62700000008448</v>
      </c>
      <c r="F56" s="141">
        <v>0.92658079076869526</v>
      </c>
      <c r="H56" s="151">
        <v>90.91500000006458</v>
      </c>
      <c r="I56" s="141">
        <v>41.951991583325444</v>
      </c>
      <c r="K56" s="151">
        <v>15.89654458588547</v>
      </c>
      <c r="L56" s="141">
        <v>7.3353319547990017</v>
      </c>
      <c r="N56" s="151">
        <v>5.1267859629951857</v>
      </c>
      <c r="O56" s="141">
        <v>2.3657139258530746</v>
      </c>
      <c r="Q56" s="151">
        <v>69.89166945118393</v>
      </c>
      <c r="R56" s="141">
        <v>32.25094570267337</v>
      </c>
      <c r="S56" s="141"/>
      <c r="T56" s="162">
        <v>216.71200000001988</v>
      </c>
      <c r="U56" s="162">
        <v>307.62700000008448</v>
      </c>
    </row>
    <row r="57" spans="1:21" ht="12.75" customHeight="1" x14ac:dyDescent="0.2">
      <c r="A57" t="str">
        <f>name!A55</f>
        <v>Head offices, etc</v>
      </c>
      <c r="B57" s="151">
        <v>488.51200000004457</v>
      </c>
      <c r="C57" s="141">
        <v>1.5793441728320374</v>
      </c>
      <c r="D57" s="165">
        <v>100</v>
      </c>
      <c r="E57" s="151">
        <v>554.93600000015249</v>
      </c>
      <c r="F57" s="141">
        <v>1.6714821446297523</v>
      </c>
      <c r="H57" s="151">
        <v>66.424000000107924</v>
      </c>
      <c r="I57" s="141">
        <v>13.597209485151206</v>
      </c>
      <c r="K57" s="151">
        <v>35.833976839030967</v>
      </c>
      <c r="L57" s="141">
        <v>7.3353319547990017</v>
      </c>
      <c r="N57" s="151">
        <v>2.0905322628152163</v>
      </c>
      <c r="O57" s="141">
        <v>0.42793877383053552</v>
      </c>
      <c r="Q57" s="151">
        <v>28.49949089826174</v>
      </c>
      <c r="R57" s="141">
        <v>5.83393875652167</v>
      </c>
      <c r="S57" s="141"/>
      <c r="T57" s="162">
        <v>488.51200000004457</v>
      </c>
      <c r="U57" s="162">
        <v>554.93600000015249</v>
      </c>
    </row>
    <row r="58" spans="1:21" x14ac:dyDescent="0.2">
      <c r="A58" t="str">
        <f>name!A56</f>
        <v>Architectural and related</v>
      </c>
      <c r="B58" s="151">
        <v>154.33900000012474</v>
      </c>
      <c r="C58" s="141">
        <v>0.49897320903252856</v>
      </c>
      <c r="D58" s="165">
        <v>100</v>
      </c>
      <c r="E58" s="151">
        <v>141.48199999997618</v>
      </c>
      <c r="F58" s="141">
        <v>0.42614758600343433</v>
      </c>
      <c r="H58" s="151">
        <v>-12.857000000148545</v>
      </c>
      <c r="I58" s="141">
        <v>-8.3303636800407901</v>
      </c>
      <c r="K58" s="151">
        <v>11.321277985726381</v>
      </c>
      <c r="L58" s="141">
        <v>7.3353319547990017</v>
      </c>
      <c r="N58" s="151">
        <v>-1.6523514847514473</v>
      </c>
      <c r="O58" s="141">
        <v>-1.0705988018259234</v>
      </c>
      <c r="Q58" s="151">
        <v>-22.525926501123479</v>
      </c>
      <c r="R58" s="141">
        <v>-14.595096833013868</v>
      </c>
      <c r="S58" s="141"/>
      <c r="T58" s="162">
        <v>154.33900000012474</v>
      </c>
      <c r="U58" s="162">
        <v>141.48199999997618</v>
      </c>
    </row>
    <row r="59" spans="1:21" x14ac:dyDescent="0.2">
      <c r="A59" t="str">
        <f>name!A57</f>
        <v>Scientific research and development</v>
      </c>
      <c r="B59" s="151">
        <v>945.30400000076372</v>
      </c>
      <c r="C59" s="141">
        <v>3.0561385676419133</v>
      </c>
      <c r="D59" s="165">
        <v>100</v>
      </c>
      <c r="E59" s="151">
        <v>1147.9249999998067</v>
      </c>
      <c r="F59" s="141">
        <v>3.4575809478449013</v>
      </c>
      <c r="H59" s="151">
        <v>202.62099999904308</v>
      </c>
      <c r="I59" s="141">
        <v>21.434480336365802</v>
      </c>
      <c r="K59" s="151">
        <v>69.341186382049173</v>
      </c>
      <c r="L59" s="141">
        <v>7.3353319547990017</v>
      </c>
      <c r="N59" s="151">
        <v>9.1083863807875787</v>
      </c>
      <c r="O59" s="141">
        <v>0.96354044633051583</v>
      </c>
      <c r="Q59" s="151">
        <v>124.17142723620634</v>
      </c>
      <c r="R59" s="141">
        <v>13.135607935236285</v>
      </c>
      <c r="S59" s="141"/>
      <c r="T59" s="162">
        <v>945.30400000076372</v>
      </c>
      <c r="U59" s="162">
        <v>1147.9249999998067</v>
      </c>
    </row>
    <row r="60" spans="1:21" x14ac:dyDescent="0.2">
      <c r="A60" t="str">
        <f>name!A58</f>
        <v>Advertising, etc</v>
      </c>
      <c r="B60" s="151">
        <v>116.95000000009452</v>
      </c>
      <c r="C60" s="141">
        <v>0.37809572950682724</v>
      </c>
      <c r="D60" s="165">
        <v>100</v>
      </c>
      <c r="E60" s="151">
        <v>118.9089999999799</v>
      </c>
      <c r="F60" s="141">
        <v>0.35815710340596213</v>
      </c>
      <c r="H60" s="151">
        <v>1.9589999998853891</v>
      </c>
      <c r="I60" s="141">
        <v>1.6750748181990645</v>
      </c>
      <c r="K60" s="151">
        <v>8.5786707211443645</v>
      </c>
      <c r="L60" s="141">
        <v>7.3353319547989999</v>
      </c>
      <c r="N60" s="151">
        <v>-0.45239047839668522</v>
      </c>
      <c r="O60" s="141">
        <v>-0.38682383787628871</v>
      </c>
      <c r="Q60" s="151">
        <v>-6.1672802428622902</v>
      </c>
      <c r="R60" s="141">
        <v>-5.2734332987236474</v>
      </c>
      <c r="S60" s="141"/>
      <c r="T60" s="162">
        <v>116.95000000009452</v>
      </c>
      <c r="U60" s="162">
        <v>118.9089999999799</v>
      </c>
    </row>
    <row r="61" spans="1:21" ht="12.75" customHeight="1" x14ac:dyDescent="0.2">
      <c r="A61" t="str">
        <f>name!A59</f>
        <v>Other professional</v>
      </c>
      <c r="B61" s="151">
        <v>1329.574000001074</v>
      </c>
      <c r="C61" s="141">
        <v>4.2984715815588732</v>
      </c>
      <c r="D61" s="165">
        <v>100</v>
      </c>
      <c r="E61" s="151">
        <v>1355.4139999997719</v>
      </c>
      <c r="F61" s="141">
        <v>4.0825433916346876</v>
      </c>
      <c r="H61" s="151">
        <v>25.839999998697778</v>
      </c>
      <c r="I61" s="141">
        <v>1.9434796407478565</v>
      </c>
      <c r="K61" s="151">
        <v>97.528666484778057</v>
      </c>
      <c r="L61" s="141">
        <v>7.3353319547990017</v>
      </c>
      <c r="N61" s="151">
        <v>-4.899227090420851</v>
      </c>
      <c r="O61" s="141">
        <v>-0.36848096385886708</v>
      </c>
      <c r="Q61" s="151">
        <v>-66.789439395659429</v>
      </c>
      <c r="R61" s="141">
        <v>-5.0233713501922779</v>
      </c>
      <c r="S61" s="141"/>
      <c r="T61" s="162">
        <v>1329.574000001074</v>
      </c>
      <c r="U61" s="162">
        <v>1355.4139999997719</v>
      </c>
    </row>
    <row r="62" spans="1:21" ht="12.75" customHeight="1" x14ac:dyDescent="0.2">
      <c r="A62" t="str">
        <f>name!A60</f>
        <v>Veterinary</v>
      </c>
      <c r="B62" s="151">
        <v>1373.6089999998901</v>
      </c>
      <c r="C62" s="141">
        <v>4.4408353733363164</v>
      </c>
      <c r="D62" s="165">
        <v>100</v>
      </c>
      <c r="E62" s="151">
        <v>1410.480000000412</v>
      </c>
      <c r="F62" s="141">
        <v>4.2484036634087783</v>
      </c>
      <c r="H62" s="151">
        <v>36.87100000052201</v>
      </c>
      <c r="I62" s="141">
        <v>2.6842427503405233</v>
      </c>
      <c r="K62" s="151">
        <v>100.75877991098696</v>
      </c>
      <c r="L62" s="141">
        <v>7.3353319547990017</v>
      </c>
      <c r="N62" s="151">
        <v>-4.366111931304566</v>
      </c>
      <c r="O62" s="141">
        <v>-0.31785696885393994</v>
      </c>
      <c r="Q62" s="151">
        <v>-59.521667979160384</v>
      </c>
      <c r="R62" s="141">
        <v>-4.3332322356045383</v>
      </c>
      <c r="S62" s="141"/>
      <c r="T62" s="162">
        <v>1373.6089999998901</v>
      </c>
      <c r="U62" s="162">
        <v>1410.480000000412</v>
      </c>
    </row>
    <row r="63" spans="1:21" x14ac:dyDescent="0.2">
      <c r="A63" t="str">
        <f>name!A61</f>
        <v>Rental and leasing</v>
      </c>
      <c r="B63" s="151">
        <v>2644.983000000736</v>
      </c>
      <c r="C63" s="141">
        <v>8.5511481566278444</v>
      </c>
      <c r="D63" s="165">
        <v>100</v>
      </c>
      <c r="E63" s="151">
        <v>2641.450000001309</v>
      </c>
      <c r="F63" s="141">
        <v>7.9561183829004314</v>
      </c>
      <c r="H63" s="151">
        <v>-3.5329999994267709</v>
      </c>
      <c r="I63" s="141">
        <v>-0.13357363731357774</v>
      </c>
      <c r="K63" s="151">
        <v>194.01828319805523</v>
      </c>
      <c r="L63" s="141">
        <v>7.3353319547989999</v>
      </c>
      <c r="N63" s="151">
        <v>-13.500719790574287</v>
      </c>
      <c r="O63" s="141">
        <v>-0.51042746930965266</v>
      </c>
      <c r="Q63" s="151">
        <v>-184.05056340690771</v>
      </c>
      <c r="R63" s="141">
        <v>-6.9584781228029264</v>
      </c>
      <c r="S63" s="141"/>
      <c r="T63" s="162">
        <v>2644.983000000736</v>
      </c>
      <c r="U63" s="162">
        <v>2641.450000001309</v>
      </c>
    </row>
    <row r="64" spans="1:21" x14ac:dyDescent="0.2">
      <c r="A64" t="str">
        <f>name!A62</f>
        <v>Employment activities</v>
      </c>
      <c r="B64" s="151">
        <v>2374.4340000002467</v>
      </c>
      <c r="C64" s="141">
        <v>7.6764716151789791</v>
      </c>
      <c r="D64" s="165">
        <v>100</v>
      </c>
      <c r="E64" s="151">
        <v>2612.1830000006412</v>
      </c>
      <c r="F64" s="141">
        <v>7.8679653924150754</v>
      </c>
      <c r="H64" s="151">
        <v>237.7490000003944</v>
      </c>
      <c r="I64" s="141">
        <v>10.012870435664656</v>
      </c>
      <c r="K64" s="151">
        <v>174.17261594763022</v>
      </c>
      <c r="L64" s="141">
        <v>7.3353319547990017</v>
      </c>
      <c r="N64" s="151">
        <v>4.3448310357788387</v>
      </c>
      <c r="O64" s="141">
        <v>0.18298386208159026</v>
      </c>
      <c r="Q64" s="151">
        <v>59.231553016985345</v>
      </c>
      <c r="R64" s="141">
        <v>2.4945546187840635</v>
      </c>
      <c r="S64" s="141"/>
      <c r="T64" s="162">
        <v>2374.4340000002467</v>
      </c>
      <c r="U64" s="162">
        <v>2612.1830000006412</v>
      </c>
    </row>
    <row r="65" spans="1:21" x14ac:dyDescent="0.2">
      <c r="A65" t="str">
        <f>name!A63</f>
        <v>Travel, etc</v>
      </c>
      <c r="B65" s="151">
        <v>1674.2150000001743</v>
      </c>
      <c r="C65" s="141">
        <v>5.4126852652913824</v>
      </c>
      <c r="D65" s="165">
        <v>100</v>
      </c>
      <c r="E65" s="151">
        <v>1674.3130000004107</v>
      </c>
      <c r="F65" s="141">
        <v>5.0430757493141405</v>
      </c>
      <c r="H65" s="151">
        <v>9.8000000236323159E-2</v>
      </c>
      <c r="I65" s="141">
        <v>5.8534895599617097E-3</v>
      </c>
      <c r="K65" s="151">
        <v>122.80922788705089</v>
      </c>
      <c r="L65" s="141">
        <v>7.3353319547990017</v>
      </c>
      <c r="N65" s="151">
        <v>-8.3861257494394739</v>
      </c>
      <c r="O65" s="141">
        <v>-0.50089897351526547</v>
      </c>
      <c r="Q65" s="151">
        <v>-114.3251021373751</v>
      </c>
      <c r="R65" s="141">
        <v>-6.8285794917237741</v>
      </c>
      <c r="S65" s="141"/>
      <c r="T65" s="162">
        <v>1674.2150000001743</v>
      </c>
      <c r="U65" s="162">
        <v>1674.3130000004107</v>
      </c>
    </row>
    <row r="66" spans="1:21" x14ac:dyDescent="0.2">
      <c r="A66" t="str">
        <f>name!A64</f>
        <v>Security, etc</v>
      </c>
      <c r="B66" s="151">
        <v>413.60599999980559</v>
      </c>
      <c r="C66" s="141">
        <v>1.3371753937426327</v>
      </c>
      <c r="D66" s="165">
        <v>100</v>
      </c>
      <c r="E66" s="151">
        <v>428.36800000013642</v>
      </c>
      <c r="F66" s="141">
        <v>1.2902559274056631</v>
      </c>
      <c r="H66" s="151">
        <v>14.762000000330852</v>
      </c>
      <c r="I66" s="141">
        <v>3.5690971601808945</v>
      </c>
      <c r="K66" s="151">
        <v>30.339373084951696</v>
      </c>
      <c r="L66" s="141">
        <v>7.3353319547990017</v>
      </c>
      <c r="N66" s="151">
        <v>-1.064562809640007</v>
      </c>
      <c r="O66" s="141">
        <v>-0.25738572690930678</v>
      </c>
      <c r="Q66" s="151">
        <v>-14.512810274980836</v>
      </c>
      <c r="R66" s="141">
        <v>-3.5088490677087996</v>
      </c>
      <c r="S66" s="141"/>
      <c r="T66" s="162">
        <v>413.60599999980559</v>
      </c>
      <c r="U66" s="162">
        <v>428.36800000013642</v>
      </c>
    </row>
    <row r="67" spans="1:21" x14ac:dyDescent="0.2">
      <c r="A67" t="str">
        <f>name!A65</f>
        <v>Services to buildings</v>
      </c>
      <c r="B67" s="151">
        <v>435.47399999979547</v>
      </c>
      <c r="C67" s="141">
        <v>1.4078739607613997</v>
      </c>
      <c r="D67" s="165">
        <v>100</v>
      </c>
      <c r="E67" s="151">
        <v>454.83400000014473</v>
      </c>
      <c r="F67" s="141">
        <v>1.3699722306185969</v>
      </c>
      <c r="H67" s="151">
        <v>19.360000000349245</v>
      </c>
      <c r="I67" s="141">
        <v>4.4457303996009729</v>
      </c>
      <c r="K67" s="151">
        <v>31.943463476826398</v>
      </c>
      <c r="L67" s="141">
        <v>7.3353319547990017</v>
      </c>
      <c r="N67" s="151">
        <v>-0.85995804046995161</v>
      </c>
      <c r="O67" s="141">
        <v>-0.19747632246020552</v>
      </c>
      <c r="Q67" s="151">
        <v>-11.723505436007201</v>
      </c>
      <c r="R67" s="141">
        <v>-2.6921252327378231</v>
      </c>
      <c r="S67" s="141"/>
      <c r="T67" s="162">
        <v>435.47399999979547</v>
      </c>
      <c r="U67" s="162">
        <v>454.83400000014473</v>
      </c>
    </row>
    <row r="68" spans="1:21" x14ac:dyDescent="0.2">
      <c r="A68" t="str">
        <f>name!A66</f>
        <v>Office administrative</v>
      </c>
      <c r="B68" s="151">
        <v>242.30100000016066</v>
      </c>
      <c r="C68" s="141">
        <v>0.78335163193861013</v>
      </c>
      <c r="D68" s="165">
        <v>100</v>
      </c>
      <c r="E68" s="151">
        <v>263.26700000002035</v>
      </c>
      <c r="F68" s="141">
        <v>0.79296727869547856</v>
      </c>
      <c r="H68" s="151">
        <v>20.965999999859719</v>
      </c>
      <c r="I68" s="141">
        <v>8.6528739047077057</v>
      </c>
      <c r="K68" s="151">
        <v>17.773582679809312</v>
      </c>
      <c r="L68" s="141">
        <v>7.3353319547990017</v>
      </c>
      <c r="N68" s="151">
        <v>0.2181708516137455</v>
      </c>
      <c r="O68" s="141">
        <v>9.0041251011593354E-2</v>
      </c>
      <c r="Q68" s="151">
        <v>2.974246468436661</v>
      </c>
      <c r="R68" s="141">
        <v>1.2275006988971109</v>
      </c>
      <c r="S68" s="141"/>
      <c r="T68" s="162">
        <v>242.30100000016066</v>
      </c>
      <c r="U68" s="162">
        <v>263.26700000002035</v>
      </c>
    </row>
    <row r="69" spans="1:21" x14ac:dyDescent="0.2">
      <c r="A69" t="str">
        <f>name!A67</f>
        <v>Public administration and defence</v>
      </c>
      <c r="B69" s="151">
        <v>90.647000000060117</v>
      </c>
      <c r="C69" s="141">
        <v>0.29305894478495426</v>
      </c>
      <c r="D69" s="165">
        <v>100</v>
      </c>
      <c r="E69" s="151">
        <v>97.768000000007532</v>
      </c>
      <c r="F69" s="141">
        <v>0.29447984329027005</v>
      </c>
      <c r="H69" s="151">
        <v>7.1209999999474238</v>
      </c>
      <c r="I69" s="141">
        <v>7.8557481217720406</v>
      </c>
      <c r="K69" s="151">
        <v>6.6492583570710604</v>
      </c>
      <c r="L69" s="141">
        <v>7.3353319547990017</v>
      </c>
      <c r="N69" s="151">
        <v>3.2238979321913774E-2</v>
      </c>
      <c r="O69" s="141">
        <v>3.5565412337851661E-2</v>
      </c>
      <c r="Q69" s="151">
        <v>0.43950266355444967</v>
      </c>
      <c r="R69" s="141">
        <v>0.48485075463518729</v>
      </c>
      <c r="S69" s="141"/>
      <c r="T69" s="162">
        <v>90.647000000060117</v>
      </c>
      <c r="U69" s="162">
        <v>97.768000000007532</v>
      </c>
    </row>
    <row r="70" spans="1:21" x14ac:dyDescent="0.2">
      <c r="A70" t="str">
        <f>name!A68</f>
        <v xml:space="preserve">Education </v>
      </c>
      <c r="B70" s="151">
        <v>541.20600000035859</v>
      </c>
      <c r="C70" s="141">
        <v>1.7497022435523057</v>
      </c>
      <c r="D70" s="165">
        <v>100</v>
      </c>
      <c r="E70" s="151">
        <v>583.72000000004539</v>
      </c>
      <c r="F70" s="141">
        <v>1.75818032613326</v>
      </c>
      <c r="H70" s="151">
        <v>42.513999999686845</v>
      </c>
      <c r="I70" s="141">
        <v>7.8554191933678998</v>
      </c>
      <c r="K70" s="151">
        <v>39.699256659315786</v>
      </c>
      <c r="L70" s="141">
        <v>7.3353319547990017</v>
      </c>
      <c r="N70" s="151">
        <v>0.19236048739177392</v>
      </c>
      <c r="O70" s="141">
        <v>3.5542933262315363E-2</v>
      </c>
      <c r="Q70" s="151">
        <v>2.6223828529792854</v>
      </c>
      <c r="R70" s="141">
        <v>0.48454430530658343</v>
      </c>
      <c r="S70" s="141"/>
      <c r="T70" s="162">
        <v>541.20600000035859</v>
      </c>
      <c r="U70" s="162">
        <v>583.72000000004539</v>
      </c>
    </row>
    <row r="71" spans="1:21" x14ac:dyDescent="0.2">
      <c r="A71" t="str">
        <f>name!A69</f>
        <v>Health</v>
      </c>
      <c r="B71" s="151">
        <v>89.69100000005939</v>
      </c>
      <c r="C71" s="141">
        <v>0.28996822638043518</v>
      </c>
      <c r="D71" s="165">
        <v>100</v>
      </c>
      <c r="E71" s="151">
        <v>93.170000000007207</v>
      </c>
      <c r="F71" s="141">
        <v>0.28063054372958912</v>
      </c>
      <c r="H71" s="151">
        <v>3.4789999999478169</v>
      </c>
      <c r="I71" s="141">
        <v>3.8788730195287302</v>
      </c>
      <c r="K71" s="151">
        <v>6.5791325835831289</v>
      </c>
      <c r="L71" s="141">
        <v>7.3353319547990017</v>
      </c>
      <c r="N71" s="151">
        <v>-0.21186408231755838</v>
      </c>
      <c r="O71" s="141">
        <v>-0.23621554260451783</v>
      </c>
      <c r="Q71" s="151">
        <v>-2.8882685013177536</v>
      </c>
      <c r="R71" s="141">
        <v>-3.2202433926657537</v>
      </c>
      <c r="S71" s="141"/>
      <c r="T71" s="162">
        <v>89.69100000005939</v>
      </c>
      <c r="U71" s="162">
        <v>93.170000000007207</v>
      </c>
    </row>
    <row r="72" spans="1:21" x14ac:dyDescent="0.2">
      <c r="A72" s="24" t="str">
        <f>name!A3</f>
        <v>All industries</v>
      </c>
      <c r="B72" s="152">
        <v>30931.320000000887</v>
      </c>
      <c r="C72" s="147">
        <v>100</v>
      </c>
      <c r="D72" s="197">
        <v>100</v>
      </c>
      <c r="E72" s="152">
        <v>33200.235000002089</v>
      </c>
      <c r="F72" s="147">
        <v>100</v>
      </c>
      <c r="G72" s="145"/>
      <c r="H72" s="152">
        <v>2268.9150000011996</v>
      </c>
      <c r="I72" s="147">
        <v>7.3353319547990017</v>
      </c>
      <c r="J72" s="145"/>
      <c r="K72" s="152">
        <v>2268.9150000011996</v>
      </c>
      <c r="L72" s="147">
        <v>7.3353319547990017</v>
      </c>
      <c r="M72" s="145"/>
      <c r="N72" s="152">
        <v>-2.5920599000528455E-11</v>
      </c>
      <c r="O72" s="147">
        <v>-8.3800494128694509E-14</v>
      </c>
      <c r="P72" s="145"/>
      <c r="Q72" s="152">
        <v>2.5963231564674061E-11</v>
      </c>
      <c r="R72" s="147">
        <v>2.7161651386449669E-13</v>
      </c>
      <c r="S72" s="147"/>
      <c r="T72" s="167">
        <v>30931.320000000887</v>
      </c>
      <c r="U72" s="167">
        <v>33200.235000002089</v>
      </c>
    </row>
    <row r="75" spans="1:21" x14ac:dyDescent="0.2">
      <c r="A75" s="170" t="s">
        <v>79</v>
      </c>
      <c r="B75" s="171"/>
      <c r="C75" s="171"/>
      <c r="D75" s="171"/>
      <c r="E75" s="171"/>
    </row>
    <row r="76" spans="1:21" x14ac:dyDescent="0.2">
      <c r="A76" s="389" t="s">
        <v>80</v>
      </c>
      <c r="B76" s="389"/>
      <c r="C76" s="389"/>
      <c r="D76" s="389"/>
      <c r="E76" s="389"/>
      <c r="F76" s="389"/>
      <c r="G76" s="389"/>
      <c r="H76" s="389"/>
      <c r="I76" s="389"/>
      <c r="J76" s="389"/>
      <c r="K76" s="389"/>
      <c r="L76" s="389"/>
      <c r="M76" s="389"/>
      <c r="N76" s="389"/>
      <c r="O76" s="389"/>
      <c r="P76" s="389"/>
      <c r="Q76" s="389"/>
      <c r="R76" s="389"/>
    </row>
    <row r="77" spans="1:21" x14ac:dyDescent="0.2">
      <c r="A77" s="389" t="s">
        <v>81</v>
      </c>
      <c r="B77" s="389"/>
      <c r="C77" s="389"/>
      <c r="D77" s="389"/>
      <c r="E77" s="389"/>
      <c r="F77" s="389"/>
      <c r="G77" s="389"/>
      <c r="H77" s="389"/>
      <c r="I77" s="389"/>
      <c r="J77" s="389"/>
      <c r="K77" s="389"/>
      <c r="L77" s="389"/>
      <c r="M77" s="389"/>
      <c r="N77" s="389"/>
      <c r="O77" s="389"/>
      <c r="P77" s="389"/>
      <c r="Q77" s="389"/>
      <c r="R77" s="389"/>
    </row>
    <row r="78" spans="1:21" x14ac:dyDescent="0.2">
      <c r="A78" s="389" t="s">
        <v>82</v>
      </c>
      <c r="B78" s="389"/>
      <c r="C78" s="389"/>
      <c r="D78" s="389"/>
      <c r="E78" s="389"/>
      <c r="F78" s="389"/>
      <c r="G78" s="389"/>
      <c r="H78" s="389"/>
      <c r="I78" s="389"/>
      <c r="J78" s="389"/>
      <c r="K78" s="389"/>
      <c r="L78" s="389"/>
      <c r="M78" s="389"/>
      <c r="N78" s="389"/>
      <c r="O78" s="389"/>
      <c r="P78" s="389"/>
      <c r="Q78" s="389"/>
      <c r="R78" s="389"/>
    </row>
    <row r="79" spans="1:21" x14ac:dyDescent="0.2">
      <c r="A79" s="389" t="s">
        <v>83</v>
      </c>
      <c r="B79" s="389"/>
      <c r="C79" s="389"/>
      <c r="D79" s="389"/>
      <c r="E79" s="389"/>
      <c r="F79" s="389"/>
      <c r="G79" s="389"/>
      <c r="H79" s="389"/>
      <c r="I79" s="389"/>
      <c r="J79" s="389"/>
      <c r="K79" s="389"/>
      <c r="L79" s="389"/>
      <c r="M79" s="389"/>
      <c r="N79" s="389"/>
      <c r="O79" s="389"/>
      <c r="P79" s="389"/>
      <c r="Q79" s="389"/>
      <c r="R79" s="389"/>
    </row>
    <row r="80" spans="1:21" x14ac:dyDescent="0.2">
      <c r="A80" s="389" t="s">
        <v>84</v>
      </c>
      <c r="B80" s="389"/>
      <c r="C80" s="389"/>
      <c r="D80" s="389"/>
      <c r="E80" s="389"/>
      <c r="F80" s="389"/>
      <c r="G80" s="389"/>
      <c r="H80" s="389"/>
      <c r="I80" s="389"/>
      <c r="J80" s="389"/>
      <c r="K80" s="389"/>
      <c r="L80" s="389"/>
      <c r="M80" s="389"/>
      <c r="N80" s="389"/>
      <c r="O80" s="389"/>
      <c r="P80" s="389"/>
      <c r="Q80" s="389"/>
      <c r="R80" s="389"/>
    </row>
    <row r="81" spans="1:18" x14ac:dyDescent="0.2">
      <c r="A81" s="389" t="s">
        <v>85</v>
      </c>
      <c r="B81" s="389"/>
      <c r="C81" s="389"/>
      <c r="D81" s="389"/>
      <c r="E81" s="389"/>
      <c r="F81" s="389"/>
      <c r="G81" s="389"/>
      <c r="H81" s="389"/>
      <c r="I81" s="389"/>
      <c r="J81" s="389"/>
      <c r="K81" s="389"/>
      <c r="L81" s="389"/>
      <c r="M81" s="389"/>
      <c r="N81" s="389"/>
      <c r="O81" s="389"/>
      <c r="P81" s="389"/>
      <c r="Q81" s="389"/>
      <c r="R81" s="389"/>
    </row>
  </sheetData>
  <mergeCells count="10">
    <mergeCell ref="A77:R77"/>
    <mergeCell ref="A78:R78"/>
    <mergeCell ref="A79:R79"/>
    <mergeCell ref="A80:R80"/>
    <mergeCell ref="A81:R81"/>
    <mergeCell ref="K2:R2"/>
    <mergeCell ref="K3:L3"/>
    <mergeCell ref="N3:O3"/>
    <mergeCell ref="Q3:R3"/>
    <mergeCell ref="A76:R76"/>
  </mergeCells>
  <pageMargins left="0.39370078740157483" right="0.39370078740157483" top="0.74803149606299213" bottom="0.74803149606299213" header="0.31496062992125984" footer="0.31496062992125984"/>
  <pageSetup paperSize="9" scale="61" orientation="landscape" r:id="rId1"/>
  <rowBreaks count="1" manualBreakCount="1">
    <brk id="34" max="16383" man="1"/>
  </rowBreaks>
  <colBreaks count="1" manualBreakCount="1">
    <brk id="24" max="1048575" man="1"/>
  </colBreak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53"/>
  <dimension ref="A1:BH97"/>
  <sheetViews>
    <sheetView zoomScale="85" zoomScaleNormal="85" workbookViewId="0">
      <selection activeCell="A9" sqref="A9"/>
    </sheetView>
  </sheetViews>
  <sheetFormatPr defaultColWidth="9.140625" defaultRowHeight="12.75" x14ac:dyDescent="0.2"/>
  <cols>
    <col min="1" max="1" width="18.140625" style="91" customWidth="1"/>
    <col min="2" max="6" width="7.7109375" style="91" customWidth="1"/>
    <col min="7" max="7" width="3.5703125" style="91" customWidth="1"/>
    <col min="8" max="12" width="7.7109375" style="91" customWidth="1"/>
    <col min="13" max="13" width="3.5703125" style="91" customWidth="1"/>
    <col min="14" max="18" width="7.7109375" style="91" customWidth="1"/>
    <col min="19" max="19" width="3.5703125" style="91" customWidth="1"/>
    <col min="20" max="24" width="7.7109375" style="91" customWidth="1"/>
    <col min="25" max="16384" width="9.140625" style="91"/>
  </cols>
  <sheetData>
    <row r="1" spans="1:60" ht="15.75" x14ac:dyDescent="0.25">
      <c r="A1" s="19" t="str">
        <f>CONCATENATE("Basic Table 2a  Population by Gender, Age Group and ISCED Qualification, ",Info!B8,", ",$B$5,"-",$F$5)</f>
        <v>Basic Table 2a  Population by Gender, Age Group and ISCED Qualification, , 2008-2025</v>
      </c>
      <c r="P1" s="181" t="s">
        <v>111</v>
      </c>
      <c r="Y1" s="19" t="str">
        <f>CONCATENATE("Basic Table 2a  Population by Gender, Age Group and ISCED Qualification, ",Info!B8,", ",$B$5,"-",$F$5," (continued)")</f>
        <v>Basic Table 2a  Population by Gender, Age Group and ISCED Qualification, , 2008-2025 (continued)</v>
      </c>
      <c r="AQ1" s="19" t="str">
        <f>CONCATENATE("Basic Table 2a  Population by Gender, Age Group and ISCED Qualification, ",Info!B8,", ",$B$5,"-",$F$5, " (continued)")</f>
        <v>Basic Table 2a  Population by Gender, Age Group and ISCED Qualification, , 2008-2025 (continued)</v>
      </c>
    </row>
    <row r="2" spans="1:60" ht="12.75" customHeight="1" x14ac:dyDescent="0.2">
      <c r="W2" s="385" t="s">
        <v>13</v>
      </c>
      <c r="X2" s="385"/>
      <c r="AP2" s="121" t="s">
        <v>13</v>
      </c>
      <c r="BH2" s="121" t="s">
        <v>13</v>
      </c>
    </row>
    <row r="3" spans="1:60" x14ac:dyDescent="0.2">
      <c r="A3" s="118" t="s">
        <v>107</v>
      </c>
      <c r="B3" s="184" t="s">
        <v>124</v>
      </c>
      <c r="C3" s="184"/>
      <c r="D3" s="185"/>
      <c r="E3" s="184"/>
      <c r="F3" s="184"/>
      <c r="G3" s="118"/>
      <c r="H3" s="184" t="s">
        <v>52</v>
      </c>
      <c r="I3" s="184"/>
      <c r="J3" s="184"/>
      <c r="K3" s="184"/>
      <c r="L3" s="184"/>
      <c r="M3" s="118"/>
      <c r="N3" s="184" t="s">
        <v>53</v>
      </c>
      <c r="O3" s="184"/>
      <c r="P3" s="184"/>
      <c r="Q3" s="184"/>
      <c r="R3" s="184"/>
      <c r="S3" s="118"/>
      <c r="T3" s="390" t="s">
        <v>54</v>
      </c>
      <c r="U3" s="390"/>
      <c r="V3" s="390"/>
      <c r="W3" s="390"/>
      <c r="X3" s="390"/>
      <c r="Y3" s="118" t="s">
        <v>107</v>
      </c>
      <c r="Z3" s="390" t="s">
        <v>125</v>
      </c>
      <c r="AA3" s="390"/>
      <c r="AB3" s="390"/>
      <c r="AC3" s="390"/>
      <c r="AD3" s="390"/>
      <c r="AE3" s="118"/>
      <c r="AF3" s="184" t="s">
        <v>55</v>
      </c>
      <c r="AG3" s="184"/>
      <c r="AH3" s="184"/>
      <c r="AI3" s="184"/>
      <c r="AJ3" s="184"/>
      <c r="AK3" s="118"/>
      <c r="AL3" s="390" t="s">
        <v>56</v>
      </c>
      <c r="AM3" s="390"/>
      <c r="AN3" s="390"/>
      <c r="AO3" s="390"/>
      <c r="AP3" s="390"/>
      <c r="AQ3" s="118" t="s">
        <v>107</v>
      </c>
      <c r="AR3" s="390" t="s">
        <v>126</v>
      </c>
      <c r="AS3" s="390"/>
      <c r="AT3" s="390"/>
      <c r="AU3" s="390"/>
      <c r="AV3" s="390"/>
      <c r="AW3" s="118"/>
      <c r="AX3" s="184" t="s">
        <v>57</v>
      </c>
      <c r="AY3" s="184"/>
      <c r="AZ3" s="184"/>
      <c r="BA3" s="184"/>
      <c r="BB3" s="184"/>
      <c r="BC3" s="118"/>
      <c r="BD3" s="390" t="s">
        <v>58</v>
      </c>
      <c r="BE3" s="390"/>
      <c r="BF3" s="390"/>
      <c r="BG3" s="390"/>
      <c r="BH3" s="390"/>
    </row>
    <row r="4" spans="1:60" x14ac:dyDescent="0.2">
      <c r="A4" s="180" t="s">
        <v>110</v>
      </c>
      <c r="B4" s="186"/>
      <c r="C4" s="186"/>
      <c r="D4" s="186"/>
      <c r="E4" s="186"/>
      <c r="F4" s="186"/>
      <c r="G4" s="92"/>
      <c r="H4" s="186"/>
      <c r="I4" s="186"/>
      <c r="J4" s="186"/>
      <c r="K4" s="186"/>
      <c r="L4" s="186"/>
      <c r="M4" s="92"/>
      <c r="N4" s="186"/>
      <c r="O4" s="186"/>
      <c r="P4" s="186"/>
      <c r="Q4" s="186"/>
      <c r="R4" s="186"/>
      <c r="S4" s="92"/>
      <c r="T4" s="186"/>
      <c r="U4" s="186"/>
      <c r="V4" s="186"/>
      <c r="W4" s="186"/>
      <c r="X4" s="186"/>
      <c r="Y4" s="180" t="s">
        <v>110</v>
      </c>
      <c r="Z4" s="186"/>
      <c r="AA4" s="186"/>
      <c r="AB4" s="186"/>
      <c r="AC4" s="186"/>
      <c r="AD4" s="186"/>
      <c r="AE4" s="92"/>
      <c r="AF4" s="186"/>
      <c r="AG4" s="186"/>
      <c r="AH4" s="186"/>
      <c r="AI4" s="186"/>
      <c r="AJ4" s="186"/>
      <c r="AK4" s="92"/>
      <c r="AL4" s="186"/>
      <c r="AM4" s="186"/>
      <c r="AN4" s="186"/>
      <c r="AO4" s="186"/>
      <c r="AP4" s="186"/>
      <c r="AQ4" s="180" t="s">
        <v>110</v>
      </c>
      <c r="AR4" s="186"/>
      <c r="AS4" s="186"/>
      <c r="AT4" s="186"/>
      <c r="AU4" s="186"/>
      <c r="AV4" s="186"/>
      <c r="AW4" s="92"/>
      <c r="AX4" s="186"/>
      <c r="AY4" s="186"/>
      <c r="AZ4" s="186"/>
      <c r="BA4" s="186"/>
      <c r="BB4" s="186"/>
      <c r="BC4" s="92"/>
      <c r="BD4" s="186"/>
      <c r="BE4" s="186"/>
      <c r="BF4" s="186"/>
      <c r="BG4" s="186"/>
      <c r="BH4" s="186"/>
    </row>
    <row r="5" spans="1:60" x14ac:dyDescent="0.2">
      <c r="A5" s="179"/>
      <c r="B5" s="187">
        <v>2008</v>
      </c>
      <c r="C5" s="187">
        <v>2010</v>
      </c>
      <c r="D5" s="187">
        <v>2015</v>
      </c>
      <c r="E5" s="187">
        <v>2020</v>
      </c>
      <c r="F5" s="120">
        <v>2025</v>
      </c>
      <c r="G5" s="120"/>
      <c r="H5" s="120">
        <f>B5</f>
        <v>2008</v>
      </c>
      <c r="I5" s="120">
        <f>C5</f>
        <v>2010</v>
      </c>
      <c r="J5" s="120">
        <f>D5</f>
        <v>2015</v>
      </c>
      <c r="K5" s="120">
        <f>E5</f>
        <v>2020</v>
      </c>
      <c r="L5" s="120">
        <f>F5</f>
        <v>2025</v>
      </c>
      <c r="M5" s="120"/>
      <c r="N5" s="120">
        <f>B5</f>
        <v>2008</v>
      </c>
      <c r="O5" s="120">
        <f>C5</f>
        <v>2010</v>
      </c>
      <c r="P5" s="120">
        <f>D5</f>
        <v>2015</v>
      </c>
      <c r="Q5" s="120">
        <f>E5</f>
        <v>2020</v>
      </c>
      <c r="R5" s="120">
        <f>F5</f>
        <v>2025</v>
      </c>
      <c r="S5" s="120"/>
      <c r="T5" s="120">
        <f>B5</f>
        <v>2008</v>
      </c>
      <c r="U5" s="120">
        <f>C5</f>
        <v>2010</v>
      </c>
      <c r="V5" s="120">
        <f>D5</f>
        <v>2015</v>
      </c>
      <c r="W5" s="120">
        <f>E5</f>
        <v>2020</v>
      </c>
      <c r="X5" s="120">
        <f>F5</f>
        <v>2025</v>
      </c>
      <c r="Y5" s="179"/>
      <c r="Z5" s="187">
        <v>2008</v>
      </c>
      <c r="AA5" s="187">
        <v>2010</v>
      </c>
      <c r="AB5" s="187">
        <v>2012</v>
      </c>
      <c r="AC5" s="187">
        <v>2015</v>
      </c>
      <c r="AD5" s="180">
        <v>2020</v>
      </c>
      <c r="AE5" s="120"/>
      <c r="AF5" s="120">
        <f>Z5</f>
        <v>2008</v>
      </c>
      <c r="AG5" s="120">
        <f>AA5</f>
        <v>2010</v>
      </c>
      <c r="AH5" s="120">
        <f>AB5</f>
        <v>2012</v>
      </c>
      <c r="AI5" s="120">
        <f>AC5</f>
        <v>2015</v>
      </c>
      <c r="AJ5" s="120">
        <f>AD5</f>
        <v>2020</v>
      </c>
      <c r="AK5" s="120"/>
      <c r="AL5" s="120">
        <f>Z5</f>
        <v>2008</v>
      </c>
      <c r="AM5" s="120">
        <f>AA5</f>
        <v>2010</v>
      </c>
      <c r="AN5" s="120">
        <f>AB5</f>
        <v>2012</v>
      </c>
      <c r="AO5" s="120">
        <f>AC5</f>
        <v>2015</v>
      </c>
      <c r="AP5" s="120">
        <f>AD5</f>
        <v>2020</v>
      </c>
      <c r="AQ5" s="179"/>
      <c r="AR5" s="187">
        <v>2008</v>
      </c>
      <c r="AS5" s="187">
        <v>2010</v>
      </c>
      <c r="AT5" s="187">
        <v>2012</v>
      </c>
      <c r="AU5" s="187">
        <v>2015</v>
      </c>
      <c r="AV5" s="180">
        <v>2020</v>
      </c>
      <c r="AW5" s="120"/>
      <c r="AX5" s="120">
        <f>AR5</f>
        <v>2008</v>
      </c>
      <c r="AY5" s="120">
        <f>AS5</f>
        <v>2010</v>
      </c>
      <c r="AZ5" s="120">
        <f>AT5</f>
        <v>2012</v>
      </c>
      <c r="BA5" s="120">
        <f>AU5</f>
        <v>2015</v>
      </c>
      <c r="BB5" s="120">
        <f>AV5</f>
        <v>2020</v>
      </c>
      <c r="BC5" s="120"/>
      <c r="BD5" s="120">
        <f>AR5</f>
        <v>2008</v>
      </c>
      <c r="BE5" s="120">
        <f>AS5</f>
        <v>2010</v>
      </c>
      <c r="BF5" s="120">
        <f>AT5</f>
        <v>2012</v>
      </c>
      <c r="BG5" s="120">
        <f>AU5</f>
        <v>2015</v>
      </c>
      <c r="BH5" s="120">
        <f>AV5</f>
        <v>2020</v>
      </c>
    </row>
    <row r="6" spans="1:60" x14ac:dyDescent="0.2">
      <c r="A6" s="114" t="s">
        <v>106</v>
      </c>
      <c r="F6" s="188"/>
      <c r="G6" s="188"/>
      <c r="H6" s="188"/>
      <c r="I6" s="188"/>
      <c r="J6" s="188"/>
      <c r="K6" s="188"/>
      <c r="L6" s="188"/>
      <c r="M6" s="188"/>
      <c r="N6" s="188"/>
      <c r="O6" s="188"/>
      <c r="P6" s="188"/>
      <c r="Q6" s="188"/>
      <c r="R6" s="188"/>
      <c r="S6" s="188"/>
      <c r="Y6" s="114" t="str">
        <f>A6</f>
        <v>Males and females</v>
      </c>
      <c r="AD6" s="188"/>
      <c r="AE6" s="188"/>
      <c r="AF6" s="188"/>
      <c r="AG6" s="188"/>
      <c r="AH6" s="188"/>
      <c r="AI6" s="188"/>
      <c r="AJ6" s="188"/>
      <c r="AK6" s="188"/>
      <c r="AL6" s="188"/>
      <c r="AM6" s="188"/>
      <c r="AN6" s="188"/>
      <c r="AO6" s="188"/>
      <c r="AP6" s="188"/>
      <c r="AQ6" s="114" t="str">
        <f>A6</f>
        <v>Males and females</v>
      </c>
      <c r="AV6" s="188"/>
      <c r="AW6" s="188"/>
      <c r="AX6" s="188"/>
      <c r="AY6" s="188"/>
      <c r="AZ6" s="188"/>
      <c r="BA6" s="188"/>
      <c r="BB6" s="188"/>
      <c r="BC6" s="188"/>
      <c r="BD6" s="188"/>
      <c r="BE6" s="188"/>
      <c r="BF6" s="188"/>
      <c r="BG6" s="188"/>
      <c r="BH6" s="188"/>
    </row>
    <row r="7" spans="1:60" x14ac:dyDescent="0.2">
      <c r="A7" s="91" t="s">
        <v>123</v>
      </c>
      <c r="B7" s="189">
        <f>SUM(B21,B35)</f>
        <v>3459.4640427147242</v>
      </c>
      <c r="C7" s="189">
        <f t="shared" ref="C7:F7" si="0">SUM(C21,C35)</f>
        <v>3400.2899538632541</v>
      </c>
      <c r="D7" s="189">
        <f t="shared" si="0"/>
        <v>3045.4402650537522</v>
      </c>
      <c r="E7" s="189">
        <f t="shared" si="0"/>
        <v>2678.9714989136332</v>
      </c>
      <c r="F7" s="189">
        <f t="shared" si="0"/>
        <v>2317.0105072138758</v>
      </c>
      <c r="G7" s="188"/>
      <c r="H7" s="189">
        <f>SUM(H21,H35)</f>
        <v>1679.4259754428681</v>
      </c>
      <c r="I7" s="189">
        <f t="shared" ref="I7:L7" si="1">SUM(I21,I35)</f>
        <v>1648.317888485841</v>
      </c>
      <c r="J7" s="189">
        <f t="shared" si="1"/>
        <v>1477.7490935463652</v>
      </c>
      <c r="K7" s="189">
        <f t="shared" si="1"/>
        <v>1288.2296891194944</v>
      </c>
      <c r="L7" s="189">
        <f t="shared" si="1"/>
        <v>1088.2685344941576</v>
      </c>
      <c r="M7" s="188"/>
      <c r="N7" s="189">
        <f>SUM(N21,N35)</f>
        <v>1780.0380672718561</v>
      </c>
      <c r="O7" s="189">
        <f t="shared" ref="O7:R7" si="2">SUM(O21,O35)</f>
        <v>1751.9720653774136</v>
      </c>
      <c r="P7" s="189">
        <f t="shared" si="2"/>
        <v>1567.6911715073866</v>
      </c>
      <c r="Q7" s="189">
        <f t="shared" si="2"/>
        <v>1390.7418097941386</v>
      </c>
      <c r="R7" s="189">
        <f t="shared" si="2"/>
        <v>1228.7419727197182</v>
      </c>
      <c r="S7" s="188"/>
      <c r="T7" s="189">
        <f>SUM(T21,T35)</f>
        <v>0</v>
      </c>
      <c r="U7" s="189">
        <f t="shared" ref="U7:X7" si="3">SUM(U21,U35)</f>
        <v>0</v>
      </c>
      <c r="V7" s="189">
        <f t="shared" si="3"/>
        <v>0</v>
      </c>
      <c r="W7" s="189">
        <f t="shared" si="3"/>
        <v>0</v>
      </c>
      <c r="X7" s="189">
        <f t="shared" si="3"/>
        <v>0</v>
      </c>
      <c r="Y7" s="91" t="str">
        <f>A7</f>
        <v>15+</v>
      </c>
      <c r="Z7" s="189">
        <f>SUM(Z21,Z35)</f>
        <v>3091.791884793171</v>
      </c>
      <c r="AA7" s="189">
        <f t="shared" ref="AA7:AD7" si="4">SUM(AA21,AA35)</f>
        <v>3065.8806069644388</v>
      </c>
      <c r="AB7" s="189">
        <f t="shared" si="4"/>
        <v>3409.3013579609269</v>
      </c>
      <c r="AC7" s="189">
        <f t="shared" si="4"/>
        <v>3706.9349474249966</v>
      </c>
      <c r="AD7" s="189">
        <f t="shared" si="4"/>
        <v>4020.4986268054308</v>
      </c>
      <c r="AE7" s="188"/>
      <c r="AF7" s="189">
        <f>SUM(AF21,AF35)</f>
        <v>2927.4264642789112</v>
      </c>
      <c r="AG7" s="189">
        <f t="shared" ref="AG7:AJ7" si="5">SUM(AG21,AG35)</f>
        <v>2904.0501410418874</v>
      </c>
      <c r="AH7" s="189">
        <f t="shared" si="5"/>
        <v>3230.1495942820802</v>
      </c>
      <c r="AI7" s="189">
        <f t="shared" si="5"/>
        <v>3512.6427518955061</v>
      </c>
      <c r="AJ7" s="189">
        <f t="shared" si="5"/>
        <v>3811.1764268486331</v>
      </c>
      <c r="AK7" s="188"/>
      <c r="AL7" s="189">
        <f>SUM(AL21,AL35)</f>
        <v>164.36542051425988</v>
      </c>
      <c r="AM7" s="189">
        <f t="shared" ref="AM7:AP7" si="6">SUM(AM21,AM35)</f>
        <v>161.83046592255167</v>
      </c>
      <c r="AN7" s="189">
        <f t="shared" si="6"/>
        <v>179.15176367884681</v>
      </c>
      <c r="AO7" s="189">
        <f t="shared" si="6"/>
        <v>194.29219552948987</v>
      </c>
      <c r="AP7" s="189">
        <f t="shared" si="6"/>
        <v>209.3221999567977</v>
      </c>
      <c r="AQ7" s="91" t="str">
        <f>A7</f>
        <v>15+</v>
      </c>
      <c r="AR7" s="189">
        <f>SUM(AR21,AR35)</f>
        <v>2315.1550724921058</v>
      </c>
      <c r="AS7" s="189">
        <f t="shared" ref="AS7:AV7" si="7">SUM(AS21,AS35)</f>
        <v>2541.5004391723069</v>
      </c>
      <c r="AT7" s="189">
        <f t="shared" si="7"/>
        <v>2941.8093769853213</v>
      </c>
      <c r="AU7" s="189">
        <f t="shared" si="7"/>
        <v>3371.4645536613707</v>
      </c>
      <c r="AV7" s="189">
        <f t="shared" si="7"/>
        <v>3852.3018659806939</v>
      </c>
      <c r="AW7" s="188"/>
      <c r="AX7" s="189">
        <f>SUM(AX21,AX35)</f>
        <v>2273.2830854649774</v>
      </c>
      <c r="AY7" s="189">
        <f t="shared" ref="AY7:BB7" si="8">SUM(AY21,AY35)</f>
        <v>2495.5789443393905</v>
      </c>
      <c r="AZ7" s="189">
        <f t="shared" si="8"/>
        <v>2888.5095204216923</v>
      </c>
      <c r="BA7" s="189">
        <f t="shared" si="8"/>
        <v>3309.625834412429</v>
      </c>
      <c r="BB7" s="189">
        <f t="shared" si="8"/>
        <v>3780.5650780045271</v>
      </c>
      <c r="BC7" s="188"/>
      <c r="BD7" s="189">
        <f>SUM(BD21,BD35)</f>
        <v>41.87198702712827</v>
      </c>
      <c r="BE7" s="189">
        <f t="shared" ref="BE7:BH7" si="9">SUM(BE21,BE35)</f>
        <v>45.921494832916046</v>
      </c>
      <c r="BF7" s="189">
        <f t="shared" si="9"/>
        <v>53.299856563628751</v>
      </c>
      <c r="BG7" s="189">
        <f t="shared" si="9"/>
        <v>61.838719248942184</v>
      </c>
      <c r="BH7" s="189">
        <f t="shared" si="9"/>
        <v>71.736787976166625</v>
      </c>
    </row>
    <row r="8" spans="1:60" x14ac:dyDescent="0.2">
      <c r="A8" s="91" t="s">
        <v>113</v>
      </c>
      <c r="B8" s="189">
        <f t="shared" ref="B8:F18" si="10">SUM(B22,B36)</f>
        <v>501.63108046561928</v>
      </c>
      <c r="C8" s="189">
        <f t="shared" si="10"/>
        <v>493.36896304450306</v>
      </c>
      <c r="D8" s="189">
        <f t="shared" si="10"/>
        <v>467.66784217805935</v>
      </c>
      <c r="E8" s="189">
        <f t="shared" si="10"/>
        <v>467.57168305686275</v>
      </c>
      <c r="F8" s="189">
        <f t="shared" si="10"/>
        <v>503.21354379106839</v>
      </c>
      <c r="G8" s="188"/>
      <c r="H8" s="189">
        <f t="shared" ref="H8:L18" si="11">SUM(H22,H36)</f>
        <v>114.48583632559203</v>
      </c>
      <c r="I8" s="189">
        <f t="shared" si="11"/>
        <v>112.4668251880446</v>
      </c>
      <c r="J8" s="189">
        <f t="shared" si="11"/>
        <v>106.55167737427834</v>
      </c>
      <c r="K8" s="189">
        <f t="shared" si="11"/>
        <v>106.48887604298042</v>
      </c>
      <c r="L8" s="189">
        <f t="shared" si="11"/>
        <v>114.56799971676224</v>
      </c>
      <c r="M8" s="188"/>
      <c r="N8" s="189">
        <f t="shared" ref="N8:R18" si="12">SUM(N22,N36)</f>
        <v>387.14524414002727</v>
      </c>
      <c r="O8" s="189">
        <f t="shared" si="12"/>
        <v>380.90213785645847</v>
      </c>
      <c r="P8" s="189">
        <f t="shared" si="12"/>
        <v>361.11616480378109</v>
      </c>
      <c r="Q8" s="189">
        <f t="shared" si="12"/>
        <v>361.08280701388242</v>
      </c>
      <c r="R8" s="189">
        <f t="shared" si="12"/>
        <v>388.64554407430614</v>
      </c>
      <c r="S8" s="188"/>
      <c r="T8" s="189">
        <f t="shared" ref="T8:X18" si="13">SUM(T22,T36)</f>
        <v>0</v>
      </c>
      <c r="U8" s="189">
        <f t="shared" si="13"/>
        <v>0</v>
      </c>
      <c r="V8" s="189">
        <f t="shared" si="13"/>
        <v>0</v>
      </c>
      <c r="W8" s="189">
        <f t="shared" si="13"/>
        <v>0</v>
      </c>
      <c r="X8" s="189">
        <f t="shared" si="13"/>
        <v>0</v>
      </c>
      <c r="Y8" s="91" t="str">
        <f t="shared" ref="Y8:Y20" si="14">A8</f>
        <v>15-19</v>
      </c>
      <c r="Z8" s="189">
        <f t="shared" ref="Z8:AD18" si="15">SUM(Z22,Z36)</f>
        <v>150.08101199827104</v>
      </c>
      <c r="AA8" s="189">
        <f t="shared" si="15"/>
        <v>155.93795619324226</v>
      </c>
      <c r="AB8" s="189">
        <f t="shared" si="15"/>
        <v>164.99720704459003</v>
      </c>
      <c r="AC8" s="189">
        <f t="shared" si="15"/>
        <v>178.36278144057661</v>
      </c>
      <c r="AD8" s="189">
        <f t="shared" si="15"/>
        <v>207.50995998860915</v>
      </c>
      <c r="AE8" s="188"/>
      <c r="AF8" s="189">
        <f t="shared" ref="AF8:AJ18" si="16">SUM(AF22,AF36)</f>
        <v>147.86996763731275</v>
      </c>
      <c r="AG8" s="189">
        <f t="shared" si="16"/>
        <v>153.62639813852158</v>
      </c>
      <c r="AH8" s="189">
        <f t="shared" si="16"/>
        <v>162.54197557268748</v>
      </c>
      <c r="AI8" s="189">
        <f t="shared" si="16"/>
        <v>175.70743183187028</v>
      </c>
      <c r="AJ8" s="189">
        <f t="shared" si="16"/>
        <v>204.41892397369543</v>
      </c>
      <c r="AK8" s="188"/>
      <c r="AL8" s="189">
        <f t="shared" ref="AL8:AP18" si="17">SUM(AL22,AL36)</f>
        <v>2.2110443609582711</v>
      </c>
      <c r="AM8" s="189">
        <f t="shared" si="17"/>
        <v>2.3115580547206553</v>
      </c>
      <c r="AN8" s="189">
        <f t="shared" si="17"/>
        <v>2.4552314719025436</v>
      </c>
      <c r="AO8" s="189">
        <f t="shared" si="17"/>
        <v>2.6553496087063317</v>
      </c>
      <c r="AP8" s="189">
        <f t="shared" si="17"/>
        <v>3.0910360149137395</v>
      </c>
      <c r="AQ8" s="91" t="str">
        <f t="shared" ref="AQ8:AQ18" si="18">A8</f>
        <v>15-19</v>
      </c>
      <c r="AR8" s="189">
        <f t="shared" ref="AR8:AV18" si="19">SUM(AR22,AR36)</f>
        <v>0.60290753610971359</v>
      </c>
      <c r="AS8" s="189">
        <f t="shared" si="19"/>
        <v>1.3250807622546965</v>
      </c>
      <c r="AT8" s="189">
        <f t="shared" si="19"/>
        <v>1.9219507773505975</v>
      </c>
      <c r="AU8" s="189">
        <f t="shared" si="19"/>
        <v>1.9655355025605465</v>
      </c>
      <c r="AV8" s="189">
        <f t="shared" si="19"/>
        <v>2.1654962203224546</v>
      </c>
      <c r="AW8" s="188"/>
      <c r="AX8" s="189">
        <f t="shared" ref="AX8:BB18" si="20">SUM(AX22,AX36)</f>
        <v>0.54737466781637356</v>
      </c>
      <c r="AY8" s="189">
        <f t="shared" si="20"/>
        <v>1.2407671949430608</v>
      </c>
      <c r="AZ8" s="189">
        <f t="shared" si="20"/>
        <v>1.8657913659809988</v>
      </c>
      <c r="BA8" s="189">
        <f t="shared" si="20"/>
        <v>1.9082644770900146</v>
      </c>
      <c r="BB8" s="189">
        <f t="shared" si="20"/>
        <v>2.1026008851094398</v>
      </c>
      <c r="BC8" s="188"/>
      <c r="BD8" s="189">
        <f t="shared" ref="BD8:BH18" si="21">SUM(BD22,BD36)</f>
        <v>5.5532868293339949E-2</v>
      </c>
      <c r="BE8" s="189">
        <f t="shared" si="21"/>
        <v>8.4313567311635793E-2</v>
      </c>
      <c r="BF8" s="189">
        <f t="shared" si="21"/>
        <v>5.6159411369598657E-2</v>
      </c>
      <c r="BG8" s="189">
        <f t="shared" si="21"/>
        <v>5.7271025470531763E-2</v>
      </c>
      <c r="BH8" s="189">
        <f t="shared" si="21"/>
        <v>6.2895335213014894E-2</v>
      </c>
    </row>
    <row r="9" spans="1:60" x14ac:dyDescent="0.2">
      <c r="A9" s="91" t="s">
        <v>114</v>
      </c>
      <c r="B9" s="189">
        <f t="shared" si="10"/>
        <v>113.85056817629103</v>
      </c>
      <c r="C9" s="189">
        <f t="shared" si="10"/>
        <v>115.65112792404403</v>
      </c>
      <c r="D9" s="189">
        <f t="shared" si="10"/>
        <v>108.64656736044506</v>
      </c>
      <c r="E9" s="189">
        <f t="shared" si="10"/>
        <v>95.846387380896019</v>
      </c>
      <c r="F9" s="189">
        <f t="shared" si="10"/>
        <v>87.521667739268693</v>
      </c>
      <c r="G9" s="188"/>
      <c r="H9" s="189">
        <f t="shared" si="11"/>
        <v>36.71242366227203</v>
      </c>
      <c r="I9" s="189">
        <f t="shared" si="11"/>
        <v>37.140869961294854</v>
      </c>
      <c r="J9" s="189">
        <f t="shared" si="11"/>
        <v>34.405280511674597</v>
      </c>
      <c r="K9" s="189">
        <f t="shared" si="11"/>
        <v>30.323294922669287</v>
      </c>
      <c r="L9" s="189">
        <f t="shared" si="11"/>
        <v>27.681805786841899</v>
      </c>
      <c r="M9" s="188"/>
      <c r="N9" s="189">
        <f t="shared" si="12"/>
        <v>77.13814451401899</v>
      </c>
      <c r="O9" s="189">
        <f t="shared" si="12"/>
        <v>78.510257962749179</v>
      </c>
      <c r="P9" s="189">
        <f t="shared" si="12"/>
        <v>74.241286848770471</v>
      </c>
      <c r="Q9" s="189">
        <f t="shared" si="12"/>
        <v>65.523092458226728</v>
      </c>
      <c r="R9" s="189">
        <f t="shared" si="12"/>
        <v>59.839861952426787</v>
      </c>
      <c r="S9" s="188"/>
      <c r="T9" s="189">
        <f t="shared" si="13"/>
        <v>0</v>
      </c>
      <c r="U9" s="189">
        <f t="shared" si="13"/>
        <v>0</v>
      </c>
      <c r="V9" s="189">
        <f t="shared" si="13"/>
        <v>0</v>
      </c>
      <c r="W9" s="189">
        <f t="shared" si="13"/>
        <v>0</v>
      </c>
      <c r="X9" s="189">
        <f t="shared" si="13"/>
        <v>0</v>
      </c>
      <c r="Y9" s="91" t="str">
        <f t="shared" si="14"/>
        <v>20-24</v>
      </c>
      <c r="Z9" s="189">
        <f t="shared" si="15"/>
        <v>382.98069564153434</v>
      </c>
      <c r="AA9" s="189">
        <f t="shared" si="15"/>
        <v>394.35590193118628</v>
      </c>
      <c r="AB9" s="189">
        <f t="shared" si="15"/>
        <v>412.87076891444883</v>
      </c>
      <c r="AC9" s="189">
        <f t="shared" si="15"/>
        <v>399.37934349064994</v>
      </c>
      <c r="AD9" s="189">
        <f t="shared" si="15"/>
        <v>400.88677473503026</v>
      </c>
      <c r="AE9" s="188"/>
      <c r="AF9" s="189">
        <f t="shared" si="16"/>
        <v>363.98477719851724</v>
      </c>
      <c r="AG9" s="189">
        <f t="shared" si="16"/>
        <v>374.77312480698299</v>
      </c>
      <c r="AH9" s="189">
        <f t="shared" si="16"/>
        <v>392.37404871527087</v>
      </c>
      <c r="AI9" s="189">
        <f t="shared" si="16"/>
        <v>379.57670333802525</v>
      </c>
      <c r="AJ9" s="189">
        <f t="shared" si="16"/>
        <v>381.02605803364366</v>
      </c>
      <c r="AK9" s="188"/>
      <c r="AL9" s="189">
        <f t="shared" si="17"/>
        <v>18.995918443017182</v>
      </c>
      <c r="AM9" s="189">
        <f t="shared" si="17"/>
        <v>19.582777124203318</v>
      </c>
      <c r="AN9" s="189">
        <f t="shared" si="17"/>
        <v>20.49672019917795</v>
      </c>
      <c r="AO9" s="189">
        <f t="shared" si="17"/>
        <v>19.802640152624711</v>
      </c>
      <c r="AP9" s="189">
        <f t="shared" si="17"/>
        <v>19.860716701386607</v>
      </c>
      <c r="AQ9" s="91" t="str">
        <f t="shared" si="18"/>
        <v>20-24</v>
      </c>
      <c r="AR9" s="189">
        <f t="shared" si="19"/>
        <v>143.68473618217462</v>
      </c>
      <c r="AS9" s="189">
        <f t="shared" si="19"/>
        <v>150.71097014476959</v>
      </c>
      <c r="AT9" s="189">
        <f t="shared" si="19"/>
        <v>186.98366372510611</v>
      </c>
      <c r="AU9" s="189">
        <f t="shared" si="19"/>
        <v>201.56226912845403</v>
      </c>
      <c r="AV9" s="189">
        <f t="shared" si="19"/>
        <v>224.84155752570109</v>
      </c>
      <c r="AW9" s="188"/>
      <c r="AX9" s="189">
        <f t="shared" si="20"/>
        <v>143.33653114819879</v>
      </c>
      <c r="AY9" s="189">
        <f t="shared" si="20"/>
        <v>150.34362309651959</v>
      </c>
      <c r="AZ9" s="189">
        <f t="shared" si="20"/>
        <v>186.52415613000247</v>
      </c>
      <c r="BA9" s="189">
        <f t="shared" si="20"/>
        <v>201.06633972833936</v>
      </c>
      <c r="BB9" s="189">
        <f t="shared" si="20"/>
        <v>224.28837377749321</v>
      </c>
      <c r="BC9" s="188"/>
      <c r="BD9" s="189">
        <f t="shared" si="21"/>
        <v>0.34820503397584823</v>
      </c>
      <c r="BE9" s="189">
        <f t="shared" si="21"/>
        <v>0.36734704825001729</v>
      </c>
      <c r="BF9" s="189">
        <f t="shared" si="21"/>
        <v>0.4595075951036377</v>
      </c>
      <c r="BG9" s="189">
        <f t="shared" si="21"/>
        <v>0.49592940011468256</v>
      </c>
      <c r="BH9" s="189">
        <f t="shared" si="21"/>
        <v>0.55318374820788452</v>
      </c>
    </row>
    <row r="10" spans="1:60" x14ac:dyDescent="0.2">
      <c r="A10" s="91" t="s">
        <v>115</v>
      </c>
      <c r="B10" s="189">
        <f t="shared" si="10"/>
        <v>115.37907358541085</v>
      </c>
      <c r="C10" s="189">
        <f t="shared" si="10"/>
        <v>127.07460532220105</v>
      </c>
      <c r="D10" s="189">
        <f t="shared" si="10"/>
        <v>118.40314244947737</v>
      </c>
      <c r="E10" s="189">
        <f t="shared" si="10"/>
        <v>117.74066640587412</v>
      </c>
      <c r="F10" s="189">
        <f t="shared" si="10"/>
        <v>104.64926095222505</v>
      </c>
      <c r="G10" s="188"/>
      <c r="H10" s="189">
        <f t="shared" si="11"/>
        <v>40.798223765839786</v>
      </c>
      <c r="I10" s="189">
        <f t="shared" si="11"/>
        <v>45.065990030629422</v>
      </c>
      <c r="J10" s="189">
        <f t="shared" si="11"/>
        <v>41.916443930124132</v>
      </c>
      <c r="K10" s="189">
        <f t="shared" si="11"/>
        <v>41.603247748686108</v>
      </c>
      <c r="L10" s="189">
        <f t="shared" si="11"/>
        <v>36.975172705743539</v>
      </c>
      <c r="M10" s="188"/>
      <c r="N10" s="189">
        <f t="shared" si="12"/>
        <v>74.580849819571057</v>
      </c>
      <c r="O10" s="189">
        <f t="shared" si="12"/>
        <v>82.008615291571644</v>
      </c>
      <c r="P10" s="189">
        <f t="shared" si="12"/>
        <v>76.48669851935324</v>
      </c>
      <c r="Q10" s="189">
        <f t="shared" si="12"/>
        <v>76.137418657188022</v>
      </c>
      <c r="R10" s="189">
        <f t="shared" si="12"/>
        <v>67.674088246481503</v>
      </c>
      <c r="S10" s="188"/>
      <c r="T10" s="189">
        <f t="shared" si="13"/>
        <v>0</v>
      </c>
      <c r="U10" s="189">
        <f t="shared" si="13"/>
        <v>0</v>
      </c>
      <c r="V10" s="189">
        <f t="shared" si="13"/>
        <v>0</v>
      </c>
      <c r="W10" s="189">
        <f t="shared" si="13"/>
        <v>0</v>
      </c>
      <c r="X10" s="189">
        <f t="shared" si="13"/>
        <v>0</v>
      </c>
      <c r="Y10" s="91" t="str">
        <f t="shared" si="14"/>
        <v>25-29</v>
      </c>
      <c r="Z10" s="189">
        <f t="shared" si="15"/>
        <v>285.32401508902581</v>
      </c>
      <c r="AA10" s="189">
        <f t="shared" si="15"/>
        <v>266.19879984541552</v>
      </c>
      <c r="AB10" s="189">
        <f t="shared" si="15"/>
        <v>280.11568976670378</v>
      </c>
      <c r="AC10" s="189">
        <f t="shared" si="15"/>
        <v>295.3482302777582</v>
      </c>
      <c r="AD10" s="189">
        <f t="shared" si="15"/>
        <v>289.74487116781143</v>
      </c>
      <c r="AE10" s="188"/>
      <c r="AF10" s="189">
        <f t="shared" si="16"/>
        <v>264.71283723333693</v>
      </c>
      <c r="AG10" s="189">
        <f t="shared" si="16"/>
        <v>246.96600220301298</v>
      </c>
      <c r="AH10" s="189">
        <f t="shared" si="16"/>
        <v>260.0379790136522</v>
      </c>
      <c r="AI10" s="189">
        <f t="shared" si="16"/>
        <v>274.30243506375962</v>
      </c>
      <c r="AJ10" s="189">
        <f t="shared" si="16"/>
        <v>269.19630907068336</v>
      </c>
      <c r="AK10" s="188"/>
      <c r="AL10" s="189">
        <f t="shared" si="17"/>
        <v>20.611177855688922</v>
      </c>
      <c r="AM10" s="189">
        <f t="shared" si="17"/>
        <v>19.232797642402538</v>
      </c>
      <c r="AN10" s="189">
        <f t="shared" si="17"/>
        <v>20.077710753051615</v>
      </c>
      <c r="AO10" s="189">
        <f t="shared" si="17"/>
        <v>21.04579521399852</v>
      </c>
      <c r="AP10" s="189">
        <f t="shared" si="17"/>
        <v>20.548562097128041</v>
      </c>
      <c r="AQ10" s="91" t="str">
        <f t="shared" si="18"/>
        <v>25-29</v>
      </c>
      <c r="AR10" s="189">
        <f t="shared" si="19"/>
        <v>285.48891132556332</v>
      </c>
      <c r="AS10" s="189">
        <f t="shared" si="19"/>
        <v>298.43559483238334</v>
      </c>
      <c r="AT10" s="189">
        <f t="shared" si="19"/>
        <v>329.80716778381884</v>
      </c>
      <c r="AU10" s="189">
        <f t="shared" si="19"/>
        <v>365.58310331636773</v>
      </c>
      <c r="AV10" s="189">
        <f t="shared" si="19"/>
        <v>376.96286787996354</v>
      </c>
      <c r="AW10" s="188"/>
      <c r="AX10" s="189">
        <f t="shared" si="20"/>
        <v>282.70510559860855</v>
      </c>
      <c r="AY10" s="189">
        <f t="shared" si="20"/>
        <v>295.51880182634955</v>
      </c>
      <c r="AZ10" s="189">
        <f t="shared" si="20"/>
        <v>326.59395287550331</v>
      </c>
      <c r="BA10" s="189">
        <f t="shared" si="20"/>
        <v>362.02223728946319</v>
      </c>
      <c r="BB10" s="189">
        <f t="shared" si="20"/>
        <v>373.29368404794025</v>
      </c>
      <c r="BC10" s="188"/>
      <c r="BD10" s="189">
        <f t="shared" si="21"/>
        <v>2.7838057269548049</v>
      </c>
      <c r="BE10" s="189">
        <f t="shared" si="21"/>
        <v>2.916793006033831</v>
      </c>
      <c r="BF10" s="189">
        <f t="shared" si="21"/>
        <v>3.2132149083155843</v>
      </c>
      <c r="BG10" s="189">
        <f t="shared" si="21"/>
        <v>3.5608660269045256</v>
      </c>
      <c r="BH10" s="189">
        <f t="shared" si="21"/>
        <v>3.669183832023271</v>
      </c>
    </row>
    <row r="11" spans="1:60" x14ac:dyDescent="0.2">
      <c r="A11" s="91" t="s">
        <v>116</v>
      </c>
      <c r="B11" s="189">
        <f t="shared" si="10"/>
        <v>116.6348130799831</v>
      </c>
      <c r="C11" s="189">
        <f t="shared" si="10"/>
        <v>121.76030756867036</v>
      </c>
      <c r="D11" s="189">
        <f t="shared" si="10"/>
        <v>118.18823108583572</v>
      </c>
      <c r="E11" s="189">
        <f t="shared" si="10"/>
        <v>109.913241263863</v>
      </c>
      <c r="F11" s="189">
        <f t="shared" si="10"/>
        <v>93.676057480419587</v>
      </c>
      <c r="G11" s="188"/>
      <c r="H11" s="189">
        <f t="shared" si="11"/>
        <v>44.791528463722429</v>
      </c>
      <c r="I11" s="189">
        <f t="shared" si="11"/>
        <v>47.017124581566897</v>
      </c>
      <c r="J11" s="189">
        <f t="shared" si="11"/>
        <v>45.575297988406476</v>
      </c>
      <c r="K11" s="189">
        <f t="shared" si="11"/>
        <v>42.364426936905772</v>
      </c>
      <c r="L11" s="189">
        <f t="shared" si="11"/>
        <v>36.057194740501721</v>
      </c>
      <c r="M11" s="188"/>
      <c r="N11" s="189">
        <f t="shared" si="12"/>
        <v>71.843284616260675</v>
      </c>
      <c r="O11" s="189">
        <f t="shared" si="12"/>
        <v>74.743182987103467</v>
      </c>
      <c r="P11" s="189">
        <f t="shared" si="12"/>
        <v>72.612933097429249</v>
      </c>
      <c r="Q11" s="189">
        <f t="shared" si="12"/>
        <v>67.548814326957228</v>
      </c>
      <c r="R11" s="189">
        <f t="shared" si="12"/>
        <v>57.618862739917844</v>
      </c>
      <c r="S11" s="188"/>
      <c r="T11" s="189">
        <f t="shared" si="13"/>
        <v>0</v>
      </c>
      <c r="U11" s="189">
        <f t="shared" si="13"/>
        <v>0</v>
      </c>
      <c r="V11" s="189">
        <f t="shared" si="13"/>
        <v>0</v>
      </c>
      <c r="W11" s="189">
        <f t="shared" si="13"/>
        <v>0</v>
      </c>
      <c r="X11" s="189">
        <f t="shared" si="13"/>
        <v>0</v>
      </c>
      <c r="Y11" s="91" t="str">
        <f t="shared" si="14"/>
        <v>30-34</v>
      </c>
      <c r="Z11" s="189">
        <f t="shared" si="15"/>
        <v>275.1983307590632</v>
      </c>
      <c r="AA11" s="189">
        <f t="shared" si="15"/>
        <v>266.0829768237935</v>
      </c>
      <c r="AB11" s="189">
        <f t="shared" si="15"/>
        <v>285.51361958464611</v>
      </c>
      <c r="AC11" s="189">
        <f t="shared" si="15"/>
        <v>296.32015564557162</v>
      </c>
      <c r="AD11" s="189">
        <f t="shared" si="15"/>
        <v>317.88848271212305</v>
      </c>
      <c r="AE11" s="188"/>
      <c r="AF11" s="189">
        <f t="shared" si="16"/>
        <v>255.48717394280527</v>
      </c>
      <c r="AG11" s="189">
        <f t="shared" si="16"/>
        <v>247.06950912979124</v>
      </c>
      <c r="AH11" s="189">
        <f t="shared" si="16"/>
        <v>265.15360262399543</v>
      </c>
      <c r="AI11" s="189">
        <f t="shared" si="16"/>
        <v>275.24980054915358</v>
      </c>
      <c r="AJ11" s="189">
        <f t="shared" si="16"/>
        <v>295.36996417982152</v>
      </c>
      <c r="AK11" s="188"/>
      <c r="AL11" s="189">
        <f t="shared" si="17"/>
        <v>19.711156816257962</v>
      </c>
      <c r="AM11" s="189">
        <f t="shared" si="17"/>
        <v>19.01346769400228</v>
      </c>
      <c r="AN11" s="189">
        <f t="shared" si="17"/>
        <v>20.360016960650725</v>
      </c>
      <c r="AO11" s="189">
        <f t="shared" si="17"/>
        <v>21.070355096418023</v>
      </c>
      <c r="AP11" s="189">
        <f t="shared" si="17"/>
        <v>22.518518532301513</v>
      </c>
      <c r="AQ11" s="91" t="str">
        <f t="shared" si="18"/>
        <v>30-34</v>
      </c>
      <c r="AR11" s="189">
        <f t="shared" si="19"/>
        <v>294.76785616095367</v>
      </c>
      <c r="AS11" s="189">
        <f t="shared" si="19"/>
        <v>310.21271560753621</v>
      </c>
      <c r="AT11" s="189">
        <f t="shared" si="19"/>
        <v>340.70814932951816</v>
      </c>
      <c r="AU11" s="189">
        <f t="shared" si="19"/>
        <v>369.83560309056543</v>
      </c>
      <c r="AV11" s="189">
        <f t="shared" si="19"/>
        <v>418.22345980745735</v>
      </c>
      <c r="AW11" s="188"/>
      <c r="AX11" s="189">
        <f t="shared" si="20"/>
        <v>289.63080788660079</v>
      </c>
      <c r="AY11" s="189">
        <f t="shared" si="20"/>
        <v>304.79570037586518</v>
      </c>
      <c r="AZ11" s="189">
        <f t="shared" si="20"/>
        <v>334.81192752241731</v>
      </c>
      <c r="BA11" s="189">
        <f t="shared" si="20"/>
        <v>363.47263912244296</v>
      </c>
      <c r="BB11" s="189">
        <f t="shared" si="20"/>
        <v>411.01000020534735</v>
      </c>
      <c r="BC11" s="188"/>
      <c r="BD11" s="189">
        <f t="shared" si="21"/>
        <v>5.1370482743529013</v>
      </c>
      <c r="BE11" s="189">
        <f t="shared" si="21"/>
        <v>5.4170152316709643</v>
      </c>
      <c r="BF11" s="189">
        <f t="shared" si="21"/>
        <v>5.8962218071008108</v>
      </c>
      <c r="BG11" s="189">
        <f t="shared" si="21"/>
        <v>6.3629639681224219</v>
      </c>
      <c r="BH11" s="189">
        <f t="shared" si="21"/>
        <v>7.213459602110035</v>
      </c>
    </row>
    <row r="12" spans="1:60" x14ac:dyDescent="0.2">
      <c r="A12" s="91" t="s">
        <v>117</v>
      </c>
      <c r="B12" s="189">
        <f t="shared" si="10"/>
        <v>154.11214519557188</v>
      </c>
      <c r="C12" s="189">
        <f t="shared" si="10"/>
        <v>148.15717385227549</v>
      </c>
      <c r="D12" s="189">
        <f t="shared" si="10"/>
        <v>124.1637405731941</v>
      </c>
      <c r="E12" s="189">
        <f t="shared" si="10"/>
        <v>103.00106387667563</v>
      </c>
      <c r="F12" s="189">
        <f t="shared" si="10"/>
        <v>79.667767346824377</v>
      </c>
      <c r="G12" s="188"/>
      <c r="H12" s="189">
        <f t="shared" si="11"/>
        <v>56.003261702459064</v>
      </c>
      <c r="I12" s="189">
        <f t="shared" si="11"/>
        <v>53.61808406304786</v>
      </c>
      <c r="J12" s="189">
        <f t="shared" si="11"/>
        <v>44.946036484441635</v>
      </c>
      <c r="K12" s="189">
        <f t="shared" si="11"/>
        <v>37.289691972205802</v>
      </c>
      <c r="L12" s="189">
        <f t="shared" si="11"/>
        <v>28.798762169451095</v>
      </c>
      <c r="M12" s="188"/>
      <c r="N12" s="189">
        <f t="shared" si="12"/>
        <v>98.108883493112813</v>
      </c>
      <c r="O12" s="189">
        <f t="shared" si="12"/>
        <v>94.539089789227646</v>
      </c>
      <c r="P12" s="189">
        <f t="shared" si="12"/>
        <v>79.21770408875247</v>
      </c>
      <c r="Q12" s="189">
        <f t="shared" si="12"/>
        <v>65.711371904469829</v>
      </c>
      <c r="R12" s="189">
        <f t="shared" si="12"/>
        <v>50.869005177373282</v>
      </c>
      <c r="S12" s="188"/>
      <c r="T12" s="189">
        <f t="shared" si="13"/>
        <v>0</v>
      </c>
      <c r="U12" s="189">
        <f t="shared" si="13"/>
        <v>0</v>
      </c>
      <c r="V12" s="189">
        <f t="shared" si="13"/>
        <v>0</v>
      </c>
      <c r="W12" s="189">
        <f t="shared" si="13"/>
        <v>0</v>
      </c>
      <c r="X12" s="189">
        <f t="shared" si="13"/>
        <v>0</v>
      </c>
      <c r="Y12" s="91" t="str">
        <f t="shared" si="14"/>
        <v>35-39</v>
      </c>
      <c r="Z12" s="189">
        <f t="shared" si="15"/>
        <v>322.88579844316473</v>
      </c>
      <c r="AA12" s="189">
        <f t="shared" si="15"/>
        <v>287.4998240668773</v>
      </c>
      <c r="AB12" s="189">
        <f t="shared" si="15"/>
        <v>280.92839455401918</v>
      </c>
      <c r="AC12" s="189">
        <f t="shared" si="15"/>
        <v>299.54044624192568</v>
      </c>
      <c r="AD12" s="189">
        <f t="shared" si="15"/>
        <v>317.07239175090058</v>
      </c>
      <c r="AE12" s="188"/>
      <c r="AF12" s="189">
        <f t="shared" si="16"/>
        <v>303.37132132153579</v>
      </c>
      <c r="AG12" s="189">
        <f t="shared" si="16"/>
        <v>270.10893635844064</v>
      </c>
      <c r="AH12" s="189">
        <f t="shared" si="16"/>
        <v>263.99085237827694</v>
      </c>
      <c r="AI12" s="189">
        <f t="shared" si="16"/>
        <v>281.50570542953108</v>
      </c>
      <c r="AJ12" s="189">
        <f t="shared" si="16"/>
        <v>298.00980149252553</v>
      </c>
      <c r="AK12" s="188"/>
      <c r="AL12" s="189">
        <f t="shared" si="17"/>
        <v>19.514477121629021</v>
      </c>
      <c r="AM12" s="189">
        <f t="shared" si="17"/>
        <v>17.390887708436701</v>
      </c>
      <c r="AN12" s="189">
        <f t="shared" si="17"/>
        <v>16.937542175742227</v>
      </c>
      <c r="AO12" s="189">
        <f t="shared" si="17"/>
        <v>18.034740812394613</v>
      </c>
      <c r="AP12" s="189">
        <f t="shared" si="17"/>
        <v>19.062590258375032</v>
      </c>
      <c r="AQ12" s="91" t="str">
        <f t="shared" si="18"/>
        <v>35-39</v>
      </c>
      <c r="AR12" s="189">
        <f t="shared" si="19"/>
        <v>284.91205636126335</v>
      </c>
      <c r="AS12" s="189">
        <f t="shared" si="19"/>
        <v>312.0690020808471</v>
      </c>
      <c r="AT12" s="189">
        <f t="shared" si="19"/>
        <v>329.21186487278669</v>
      </c>
      <c r="AU12" s="189">
        <f t="shared" si="19"/>
        <v>370.51748988139866</v>
      </c>
      <c r="AV12" s="189">
        <f t="shared" si="19"/>
        <v>410.36684090227504</v>
      </c>
      <c r="AW12" s="188"/>
      <c r="AX12" s="189">
        <f t="shared" si="20"/>
        <v>279.90489605154085</v>
      </c>
      <c r="AY12" s="189">
        <f t="shared" si="20"/>
        <v>306.58743388534367</v>
      </c>
      <c r="AZ12" s="189">
        <f t="shared" si="20"/>
        <v>323.49821814056338</v>
      </c>
      <c r="BA12" s="189">
        <f t="shared" si="20"/>
        <v>364.11650308755236</v>
      </c>
      <c r="BB12" s="189">
        <f t="shared" si="20"/>
        <v>403.29145582426617</v>
      </c>
      <c r="BC12" s="188"/>
      <c r="BD12" s="189">
        <f t="shared" si="21"/>
        <v>5.0071603097225514</v>
      </c>
      <c r="BE12" s="189">
        <f t="shared" si="21"/>
        <v>5.4815681955034474</v>
      </c>
      <c r="BF12" s="189">
        <f t="shared" si="21"/>
        <v>5.7136467322232507</v>
      </c>
      <c r="BG12" s="189">
        <f t="shared" si="21"/>
        <v>6.4009867938463287</v>
      </c>
      <c r="BH12" s="189">
        <f t="shared" si="21"/>
        <v>7.0753850780088525</v>
      </c>
    </row>
    <row r="13" spans="1:60" x14ac:dyDescent="0.2">
      <c r="A13" s="91" t="s">
        <v>118</v>
      </c>
      <c r="B13" s="189">
        <f t="shared" si="10"/>
        <v>204.95472906429887</v>
      </c>
      <c r="C13" s="189">
        <f t="shared" si="10"/>
        <v>183.2736739920656</v>
      </c>
      <c r="D13" s="189">
        <f t="shared" si="10"/>
        <v>145.6109353666948</v>
      </c>
      <c r="E13" s="189">
        <f t="shared" si="10"/>
        <v>103.89159180775462</v>
      </c>
      <c r="F13" s="189">
        <f t="shared" si="10"/>
        <v>77.263056657170154</v>
      </c>
      <c r="G13" s="188"/>
      <c r="H13" s="189">
        <f t="shared" si="11"/>
        <v>75.043968155480954</v>
      </c>
      <c r="I13" s="189">
        <f t="shared" si="11"/>
        <v>66.962528106248641</v>
      </c>
      <c r="J13" s="189">
        <f t="shared" si="11"/>
        <v>53.205635957380473</v>
      </c>
      <c r="K13" s="189">
        <f t="shared" si="11"/>
        <v>37.898539746132187</v>
      </c>
      <c r="L13" s="189">
        <f t="shared" si="11"/>
        <v>28.104284599359445</v>
      </c>
      <c r="M13" s="188"/>
      <c r="N13" s="189">
        <f t="shared" si="12"/>
        <v>129.91076090881791</v>
      </c>
      <c r="O13" s="189">
        <f t="shared" si="12"/>
        <v>116.31114588581696</v>
      </c>
      <c r="P13" s="189">
        <f t="shared" si="12"/>
        <v>92.405299409314324</v>
      </c>
      <c r="Q13" s="189">
        <f t="shared" si="12"/>
        <v>65.993052061622421</v>
      </c>
      <c r="R13" s="189">
        <f t="shared" si="12"/>
        <v>49.158772057810708</v>
      </c>
      <c r="S13" s="188"/>
      <c r="T13" s="189">
        <f t="shared" si="13"/>
        <v>0</v>
      </c>
      <c r="U13" s="189">
        <f t="shared" si="13"/>
        <v>0</v>
      </c>
      <c r="V13" s="189">
        <f t="shared" si="13"/>
        <v>0</v>
      </c>
      <c r="W13" s="189">
        <f t="shared" si="13"/>
        <v>0</v>
      </c>
      <c r="X13" s="189">
        <f t="shared" si="13"/>
        <v>0</v>
      </c>
      <c r="Y13" s="91" t="str">
        <f t="shared" si="14"/>
        <v>40-44</v>
      </c>
      <c r="Z13" s="189">
        <f t="shared" si="15"/>
        <v>335.88123323100854</v>
      </c>
      <c r="AA13" s="189">
        <f t="shared" si="15"/>
        <v>312.92776503427081</v>
      </c>
      <c r="AB13" s="189">
        <f t="shared" si="15"/>
        <v>302.35363356602068</v>
      </c>
      <c r="AC13" s="189">
        <f t="shared" si="15"/>
        <v>306.64075194256282</v>
      </c>
      <c r="AD13" s="189">
        <f t="shared" si="15"/>
        <v>332.62704072525781</v>
      </c>
      <c r="AE13" s="188"/>
      <c r="AF13" s="189">
        <f t="shared" si="16"/>
        <v>318.57769939988361</v>
      </c>
      <c r="AG13" s="189">
        <f t="shared" si="16"/>
        <v>296.81769048378715</v>
      </c>
      <c r="AH13" s="189">
        <f t="shared" si="16"/>
        <v>286.81359197562756</v>
      </c>
      <c r="AI13" s="189">
        <f t="shared" si="16"/>
        <v>290.88951267461152</v>
      </c>
      <c r="AJ13" s="189">
        <f t="shared" si="16"/>
        <v>315.54744066806541</v>
      </c>
      <c r="AK13" s="188"/>
      <c r="AL13" s="189">
        <f t="shared" si="17"/>
        <v>17.303533831124952</v>
      </c>
      <c r="AM13" s="189">
        <f t="shared" si="17"/>
        <v>16.110074550483667</v>
      </c>
      <c r="AN13" s="189">
        <f t="shared" si="17"/>
        <v>15.540041590393106</v>
      </c>
      <c r="AO13" s="189">
        <f t="shared" si="17"/>
        <v>15.751239267951231</v>
      </c>
      <c r="AP13" s="189">
        <f t="shared" si="17"/>
        <v>17.079600057192419</v>
      </c>
      <c r="AQ13" s="91" t="str">
        <f t="shared" si="18"/>
        <v>40-44</v>
      </c>
      <c r="AR13" s="189">
        <f t="shared" si="19"/>
        <v>270.9300377046925</v>
      </c>
      <c r="AS13" s="189">
        <f t="shared" si="19"/>
        <v>293.55256097366362</v>
      </c>
      <c r="AT13" s="189">
        <f t="shared" si="19"/>
        <v>322.20043106728446</v>
      </c>
      <c r="AU13" s="189">
        <f t="shared" si="19"/>
        <v>339.66265624968264</v>
      </c>
      <c r="AV13" s="189">
        <f t="shared" si="19"/>
        <v>380.66890261757209</v>
      </c>
      <c r="AW13" s="188"/>
      <c r="AX13" s="189">
        <f t="shared" si="20"/>
        <v>266.38705152405146</v>
      </c>
      <c r="AY13" s="189">
        <f t="shared" si="20"/>
        <v>288.66110365884219</v>
      </c>
      <c r="AZ13" s="189">
        <f t="shared" si="20"/>
        <v>316.84860387450232</v>
      </c>
      <c r="BA13" s="189">
        <f t="shared" si="20"/>
        <v>334.03930780465259</v>
      </c>
      <c r="BB13" s="189">
        <f t="shared" si="20"/>
        <v>374.38350092432177</v>
      </c>
      <c r="BC13" s="188"/>
      <c r="BD13" s="189">
        <f t="shared" si="21"/>
        <v>4.5429861806410692</v>
      </c>
      <c r="BE13" s="189">
        <f t="shared" si="21"/>
        <v>4.8914573148213645</v>
      </c>
      <c r="BF13" s="189">
        <f t="shared" si="21"/>
        <v>5.3518271927821548</v>
      </c>
      <c r="BG13" s="189">
        <f t="shared" si="21"/>
        <v>5.6233484450300253</v>
      </c>
      <c r="BH13" s="189">
        <f t="shared" si="21"/>
        <v>6.2854016932503862</v>
      </c>
    </row>
    <row r="14" spans="1:60" x14ac:dyDescent="0.2">
      <c r="A14" s="91" t="s">
        <v>119</v>
      </c>
      <c r="B14" s="189">
        <f t="shared" si="10"/>
        <v>254.65884951398874</v>
      </c>
      <c r="C14" s="189">
        <f t="shared" si="10"/>
        <v>249.88437754828158</v>
      </c>
      <c r="D14" s="189">
        <f t="shared" si="10"/>
        <v>178.47858254526204</v>
      </c>
      <c r="E14" s="189">
        <f t="shared" si="10"/>
        <v>132.26113301280915</v>
      </c>
      <c r="F14" s="189">
        <f t="shared" si="10"/>
        <v>96.751846747388981</v>
      </c>
      <c r="G14" s="188"/>
      <c r="H14" s="189">
        <f t="shared" si="11"/>
        <v>97.081589333520498</v>
      </c>
      <c r="I14" s="189">
        <f t="shared" si="11"/>
        <v>95.255541277602333</v>
      </c>
      <c r="J14" s="189">
        <f t="shared" si="11"/>
        <v>67.471423380418784</v>
      </c>
      <c r="K14" s="189">
        <f t="shared" si="11"/>
        <v>49.673795228067675</v>
      </c>
      <c r="L14" s="189">
        <f t="shared" si="11"/>
        <v>36.08222161527133</v>
      </c>
      <c r="M14" s="188"/>
      <c r="N14" s="189">
        <f t="shared" si="12"/>
        <v>157.57726018046827</v>
      </c>
      <c r="O14" s="189">
        <f t="shared" si="12"/>
        <v>154.62883627067924</v>
      </c>
      <c r="P14" s="189">
        <f t="shared" si="12"/>
        <v>111.00715916484326</v>
      </c>
      <c r="Q14" s="189">
        <f t="shared" si="12"/>
        <v>82.587337784741479</v>
      </c>
      <c r="R14" s="189">
        <f t="shared" si="12"/>
        <v>60.669625132117659</v>
      </c>
      <c r="S14" s="188"/>
      <c r="T14" s="189">
        <f t="shared" si="13"/>
        <v>0</v>
      </c>
      <c r="U14" s="189">
        <f t="shared" si="13"/>
        <v>0</v>
      </c>
      <c r="V14" s="189">
        <f t="shared" si="13"/>
        <v>0</v>
      </c>
      <c r="W14" s="189">
        <f t="shared" si="13"/>
        <v>0</v>
      </c>
      <c r="X14" s="189">
        <f t="shared" si="13"/>
        <v>0</v>
      </c>
      <c r="Y14" s="91" t="str">
        <f t="shared" si="14"/>
        <v>45-49</v>
      </c>
      <c r="Z14" s="189">
        <f t="shared" si="15"/>
        <v>296.89078106183149</v>
      </c>
      <c r="AA14" s="189">
        <f t="shared" si="15"/>
        <v>297.81089783713531</v>
      </c>
      <c r="AB14" s="189">
        <f t="shared" si="15"/>
        <v>323.00238790557432</v>
      </c>
      <c r="AC14" s="189">
        <f t="shared" si="15"/>
        <v>331.21130960813161</v>
      </c>
      <c r="AD14" s="189">
        <f t="shared" si="15"/>
        <v>336.85601788588576</v>
      </c>
      <c r="AE14" s="188"/>
      <c r="AF14" s="189">
        <f t="shared" si="16"/>
        <v>283.27902750867406</v>
      </c>
      <c r="AG14" s="189">
        <f t="shared" si="16"/>
        <v>284.17878044572376</v>
      </c>
      <c r="AH14" s="189">
        <f t="shared" si="16"/>
        <v>308.23712222424672</v>
      </c>
      <c r="AI14" s="189">
        <f t="shared" si="16"/>
        <v>316.06982132262846</v>
      </c>
      <c r="AJ14" s="189">
        <f t="shared" si="16"/>
        <v>321.4595503021684</v>
      </c>
      <c r="AK14" s="188"/>
      <c r="AL14" s="189">
        <f t="shared" si="17"/>
        <v>13.611753553157442</v>
      </c>
      <c r="AM14" s="189">
        <f t="shared" si="17"/>
        <v>13.632117391411541</v>
      </c>
      <c r="AN14" s="189">
        <f t="shared" si="17"/>
        <v>14.765265681327598</v>
      </c>
      <c r="AO14" s="189">
        <f t="shared" si="17"/>
        <v>15.141488285503199</v>
      </c>
      <c r="AP14" s="189">
        <f t="shared" si="17"/>
        <v>15.39646758371746</v>
      </c>
      <c r="AQ14" s="91" t="str">
        <f t="shared" si="18"/>
        <v>45-49</v>
      </c>
      <c r="AR14" s="189">
        <f t="shared" si="19"/>
        <v>250.46536942417981</v>
      </c>
      <c r="AS14" s="189">
        <f t="shared" si="19"/>
        <v>272.37172461458317</v>
      </c>
      <c r="AT14" s="189">
        <f t="shared" si="19"/>
        <v>298.56302954916367</v>
      </c>
      <c r="AU14" s="189">
        <f t="shared" si="19"/>
        <v>312.99255737905924</v>
      </c>
      <c r="AV14" s="189">
        <f t="shared" si="19"/>
        <v>324.57513536672525</v>
      </c>
      <c r="AW14" s="188"/>
      <c r="AX14" s="189">
        <f t="shared" si="20"/>
        <v>245.6503099953992</v>
      </c>
      <c r="AY14" s="189">
        <f t="shared" si="20"/>
        <v>267.15960275583393</v>
      </c>
      <c r="AZ14" s="189">
        <f t="shared" si="20"/>
        <v>292.91536308672585</v>
      </c>
      <c r="BA14" s="189">
        <f t="shared" si="20"/>
        <v>307.10108024986414</v>
      </c>
      <c r="BB14" s="189">
        <f t="shared" si="20"/>
        <v>318.48324328013177</v>
      </c>
      <c r="BC14" s="188"/>
      <c r="BD14" s="189">
        <f t="shared" si="21"/>
        <v>4.815059428780601</v>
      </c>
      <c r="BE14" s="189">
        <f t="shared" si="21"/>
        <v>5.2121218587492244</v>
      </c>
      <c r="BF14" s="189">
        <f t="shared" si="21"/>
        <v>5.6476664624378259</v>
      </c>
      <c r="BG14" s="189">
        <f t="shared" si="21"/>
        <v>5.8914771291951418</v>
      </c>
      <c r="BH14" s="189">
        <f t="shared" si="21"/>
        <v>6.0918920865934654</v>
      </c>
    </row>
    <row r="15" spans="1:60" x14ac:dyDescent="0.2">
      <c r="A15" s="91" t="s">
        <v>120</v>
      </c>
      <c r="B15" s="189">
        <f t="shared" si="10"/>
        <v>294.38575187935118</v>
      </c>
      <c r="C15" s="189">
        <f t="shared" si="10"/>
        <v>286.9982182545242</v>
      </c>
      <c r="D15" s="189">
        <f t="shared" si="10"/>
        <v>249.82582092451261</v>
      </c>
      <c r="E15" s="189">
        <f t="shared" si="10"/>
        <v>196.7617947968931</v>
      </c>
      <c r="F15" s="189">
        <f t="shared" si="10"/>
        <v>151.97754802573786</v>
      </c>
      <c r="G15" s="188"/>
      <c r="H15" s="189">
        <f t="shared" si="11"/>
        <v>131.00937650791479</v>
      </c>
      <c r="I15" s="189">
        <f t="shared" si="11"/>
        <v>127.36456196076394</v>
      </c>
      <c r="J15" s="189">
        <f t="shared" si="11"/>
        <v>110.61745625735594</v>
      </c>
      <c r="K15" s="189">
        <f t="shared" si="11"/>
        <v>86.72311902225573</v>
      </c>
      <c r="L15" s="189">
        <f t="shared" si="11"/>
        <v>66.672294242780168</v>
      </c>
      <c r="M15" s="188"/>
      <c r="N15" s="189">
        <f t="shared" si="12"/>
        <v>163.37637537143638</v>
      </c>
      <c r="O15" s="189">
        <f t="shared" si="12"/>
        <v>159.63365629376028</v>
      </c>
      <c r="P15" s="189">
        <f t="shared" si="12"/>
        <v>139.20836466715667</v>
      </c>
      <c r="Q15" s="189">
        <f t="shared" si="12"/>
        <v>110.03867577463737</v>
      </c>
      <c r="R15" s="189">
        <f t="shared" si="12"/>
        <v>85.305253782957692</v>
      </c>
      <c r="S15" s="188"/>
      <c r="T15" s="189">
        <f t="shared" si="13"/>
        <v>0</v>
      </c>
      <c r="U15" s="189">
        <f t="shared" si="13"/>
        <v>0</v>
      </c>
      <c r="V15" s="189">
        <f t="shared" si="13"/>
        <v>0</v>
      </c>
      <c r="W15" s="189">
        <f t="shared" si="13"/>
        <v>0</v>
      </c>
      <c r="X15" s="189">
        <f t="shared" si="13"/>
        <v>0</v>
      </c>
      <c r="Y15" s="91" t="str">
        <f t="shared" si="14"/>
        <v>50-54</v>
      </c>
      <c r="Z15" s="189">
        <f t="shared" si="15"/>
        <v>252.37047905418916</v>
      </c>
      <c r="AA15" s="189">
        <f t="shared" si="15"/>
        <v>261.89041594407234</v>
      </c>
      <c r="AB15" s="189">
        <f t="shared" si="15"/>
        <v>299.71030873183417</v>
      </c>
      <c r="AC15" s="189">
        <f t="shared" si="15"/>
        <v>315.46818569365763</v>
      </c>
      <c r="AD15" s="189">
        <f t="shared" si="15"/>
        <v>326.48805608055682</v>
      </c>
      <c r="AE15" s="188"/>
      <c r="AF15" s="189">
        <f t="shared" si="16"/>
        <v>240.43095817773155</v>
      </c>
      <c r="AG15" s="189">
        <f t="shared" si="16"/>
        <v>249.49009896266847</v>
      </c>
      <c r="AH15" s="189">
        <f t="shared" si="16"/>
        <v>285.51870262738919</v>
      </c>
      <c r="AI15" s="189">
        <f t="shared" si="16"/>
        <v>300.52266588791969</v>
      </c>
      <c r="AJ15" s="189">
        <f t="shared" si="16"/>
        <v>311.01138512295665</v>
      </c>
      <c r="AK15" s="188"/>
      <c r="AL15" s="189">
        <f t="shared" si="17"/>
        <v>11.939520876457582</v>
      </c>
      <c r="AM15" s="189">
        <f t="shared" si="17"/>
        <v>12.400316981403893</v>
      </c>
      <c r="AN15" s="189">
        <f t="shared" si="17"/>
        <v>14.191606104444997</v>
      </c>
      <c r="AO15" s="189">
        <f t="shared" si="17"/>
        <v>14.945519805737941</v>
      </c>
      <c r="AP15" s="189">
        <f t="shared" si="17"/>
        <v>15.476670957600156</v>
      </c>
      <c r="AQ15" s="91" t="str">
        <f t="shared" si="18"/>
        <v>50-54</v>
      </c>
      <c r="AR15" s="189">
        <f t="shared" si="19"/>
        <v>192.52176906645971</v>
      </c>
      <c r="AS15" s="189">
        <f t="shared" si="19"/>
        <v>218.63836580140344</v>
      </c>
      <c r="AT15" s="189">
        <f t="shared" si="19"/>
        <v>269.43387034365321</v>
      </c>
      <c r="AU15" s="189">
        <f t="shared" si="19"/>
        <v>285.28301950944933</v>
      </c>
      <c r="AV15" s="189">
        <f t="shared" si="19"/>
        <v>297.31139589370531</v>
      </c>
      <c r="AW15" s="188"/>
      <c r="AX15" s="189">
        <f t="shared" si="20"/>
        <v>188.73862621744155</v>
      </c>
      <c r="AY15" s="189">
        <f t="shared" si="20"/>
        <v>214.45420550224321</v>
      </c>
      <c r="AZ15" s="189">
        <f t="shared" si="20"/>
        <v>264.30480604656157</v>
      </c>
      <c r="BA15" s="189">
        <f t="shared" si="20"/>
        <v>279.90450448189154</v>
      </c>
      <c r="BB15" s="189">
        <f t="shared" si="20"/>
        <v>291.76093520892465</v>
      </c>
      <c r="BC15" s="188"/>
      <c r="BD15" s="189">
        <f t="shared" si="21"/>
        <v>3.7831428490181196</v>
      </c>
      <c r="BE15" s="189">
        <f t="shared" si="21"/>
        <v>4.1841602991602418</v>
      </c>
      <c r="BF15" s="189">
        <f t="shared" si="21"/>
        <v>5.1290642970916389</v>
      </c>
      <c r="BG15" s="189">
        <f t="shared" si="21"/>
        <v>5.3785150275577474</v>
      </c>
      <c r="BH15" s="189">
        <f t="shared" si="21"/>
        <v>5.5504606847806457</v>
      </c>
    </row>
    <row r="16" spans="1:60" x14ac:dyDescent="0.2">
      <c r="A16" s="91" t="s">
        <v>121</v>
      </c>
      <c r="B16" s="189">
        <f t="shared" si="10"/>
        <v>306.08926780144049</v>
      </c>
      <c r="C16" s="189">
        <f t="shared" si="10"/>
        <v>294.14842701950209</v>
      </c>
      <c r="D16" s="189">
        <f t="shared" si="10"/>
        <v>278.7696849113002</v>
      </c>
      <c r="E16" s="189">
        <f t="shared" si="10"/>
        <v>248.77345263961809</v>
      </c>
      <c r="F16" s="189">
        <f t="shared" si="10"/>
        <v>193.72538705183911</v>
      </c>
      <c r="G16" s="188"/>
      <c r="H16" s="189">
        <f t="shared" si="11"/>
        <v>148.94385811824938</v>
      </c>
      <c r="I16" s="189">
        <f t="shared" si="11"/>
        <v>142.80048229460601</v>
      </c>
      <c r="J16" s="189">
        <f t="shared" si="11"/>
        <v>135.1816907077864</v>
      </c>
      <c r="K16" s="189">
        <f t="shared" si="11"/>
        <v>120.20919098393057</v>
      </c>
      <c r="L16" s="189">
        <f t="shared" si="11"/>
        <v>93.347075058771225</v>
      </c>
      <c r="M16" s="188"/>
      <c r="N16" s="189">
        <f t="shared" si="12"/>
        <v>157.14540968319108</v>
      </c>
      <c r="O16" s="189">
        <f t="shared" si="12"/>
        <v>151.34794472489608</v>
      </c>
      <c r="P16" s="189">
        <f t="shared" si="12"/>
        <v>143.5879942035138</v>
      </c>
      <c r="Q16" s="189">
        <f t="shared" si="12"/>
        <v>128.56426165568749</v>
      </c>
      <c r="R16" s="189">
        <f t="shared" si="12"/>
        <v>100.37831199306788</v>
      </c>
      <c r="S16" s="188"/>
      <c r="T16" s="189">
        <f t="shared" si="13"/>
        <v>0</v>
      </c>
      <c r="U16" s="189">
        <f t="shared" si="13"/>
        <v>0</v>
      </c>
      <c r="V16" s="189">
        <f t="shared" si="13"/>
        <v>0</v>
      </c>
      <c r="W16" s="189">
        <f t="shared" si="13"/>
        <v>0</v>
      </c>
      <c r="X16" s="189">
        <f t="shared" si="13"/>
        <v>0</v>
      </c>
      <c r="Y16" s="91" t="str">
        <f t="shared" si="14"/>
        <v>55-59</v>
      </c>
      <c r="Z16" s="189">
        <f t="shared" si="15"/>
        <v>212.90735173400915</v>
      </c>
      <c r="AA16" s="189">
        <f t="shared" si="15"/>
        <v>208.34374328055009</v>
      </c>
      <c r="AB16" s="189">
        <f t="shared" si="15"/>
        <v>259.24373379880308</v>
      </c>
      <c r="AC16" s="189">
        <f t="shared" si="15"/>
        <v>305.1432760109069</v>
      </c>
      <c r="AD16" s="189">
        <f t="shared" si="15"/>
        <v>322.49455355236876</v>
      </c>
      <c r="AE16" s="188"/>
      <c r="AF16" s="189">
        <f t="shared" si="16"/>
        <v>201.39475054266842</v>
      </c>
      <c r="AG16" s="189">
        <f t="shared" si="16"/>
        <v>197.03624221177998</v>
      </c>
      <c r="AH16" s="189">
        <f t="shared" si="16"/>
        <v>245.14463767909808</v>
      </c>
      <c r="AI16" s="189">
        <f t="shared" si="16"/>
        <v>288.53398269710931</v>
      </c>
      <c r="AJ16" s="189">
        <f t="shared" si="16"/>
        <v>304.93914690919075</v>
      </c>
      <c r="AK16" s="188"/>
      <c r="AL16" s="189">
        <f t="shared" si="17"/>
        <v>11.512601191340718</v>
      </c>
      <c r="AM16" s="189">
        <f t="shared" si="17"/>
        <v>11.30750106877008</v>
      </c>
      <c r="AN16" s="189">
        <f t="shared" si="17"/>
        <v>14.099096119705006</v>
      </c>
      <c r="AO16" s="189">
        <f t="shared" si="17"/>
        <v>16.609293313797622</v>
      </c>
      <c r="AP16" s="189">
        <f t="shared" si="17"/>
        <v>17.555406643178003</v>
      </c>
      <c r="AQ16" s="91" t="str">
        <f t="shared" si="18"/>
        <v>55-59</v>
      </c>
      <c r="AR16" s="189">
        <f t="shared" si="19"/>
        <v>157.97838046455036</v>
      </c>
      <c r="AS16" s="189">
        <f t="shared" si="19"/>
        <v>186.95882969994784</v>
      </c>
      <c r="AT16" s="189">
        <f t="shared" si="19"/>
        <v>217.65058128989665</v>
      </c>
      <c r="AU16" s="189">
        <f t="shared" si="19"/>
        <v>252.64427134947505</v>
      </c>
      <c r="AV16" s="189">
        <f t="shared" si="19"/>
        <v>271.26605939579213</v>
      </c>
      <c r="AW16" s="188"/>
      <c r="AX16" s="189">
        <f t="shared" si="20"/>
        <v>154.50769225162065</v>
      </c>
      <c r="AY16" s="189">
        <f t="shared" si="20"/>
        <v>182.97075166245719</v>
      </c>
      <c r="AZ16" s="189">
        <f t="shared" si="20"/>
        <v>213.04788309462984</v>
      </c>
      <c r="BA16" s="189">
        <f t="shared" si="20"/>
        <v>247.41376136943245</v>
      </c>
      <c r="BB16" s="189">
        <f t="shared" si="20"/>
        <v>265.66983752581206</v>
      </c>
      <c r="BC16" s="188"/>
      <c r="BD16" s="189">
        <f t="shared" si="21"/>
        <v>3.470688212929685</v>
      </c>
      <c r="BE16" s="189">
        <f t="shared" si="21"/>
        <v>3.9880780374906122</v>
      </c>
      <c r="BF16" s="189">
        <f t="shared" si="21"/>
        <v>4.6026981952668296</v>
      </c>
      <c r="BG16" s="189">
        <f t="shared" si="21"/>
        <v>5.2305099800425978</v>
      </c>
      <c r="BH16" s="189">
        <f t="shared" si="21"/>
        <v>5.5962218699800657</v>
      </c>
    </row>
    <row r="17" spans="1:60" x14ac:dyDescent="0.2">
      <c r="A17" s="91" t="s">
        <v>122</v>
      </c>
      <c r="B17" s="189">
        <f t="shared" si="10"/>
        <v>300.27408615273544</v>
      </c>
      <c r="C17" s="189">
        <f t="shared" si="10"/>
        <v>307.02902619700649</v>
      </c>
      <c r="D17" s="189">
        <f t="shared" si="10"/>
        <v>275.57160817400484</v>
      </c>
      <c r="E17" s="189">
        <f t="shared" si="10"/>
        <v>242.50355927772591</v>
      </c>
      <c r="F17" s="189">
        <f t="shared" si="10"/>
        <v>196.62341104090149</v>
      </c>
      <c r="G17" s="188"/>
      <c r="H17" s="189">
        <f t="shared" si="11"/>
        <v>163.84239820508242</v>
      </c>
      <c r="I17" s="189">
        <f t="shared" si="11"/>
        <v>167.48634018543549</v>
      </c>
      <c r="J17" s="189">
        <f t="shared" si="11"/>
        <v>150.0793901711946</v>
      </c>
      <c r="K17" s="189">
        <f t="shared" si="11"/>
        <v>131.95757743155312</v>
      </c>
      <c r="L17" s="189">
        <f t="shared" si="11"/>
        <v>106.85061904727925</v>
      </c>
      <c r="M17" s="188"/>
      <c r="N17" s="189">
        <f t="shared" si="12"/>
        <v>136.43168794765302</v>
      </c>
      <c r="O17" s="189">
        <f t="shared" si="12"/>
        <v>139.54268601157099</v>
      </c>
      <c r="P17" s="189">
        <f t="shared" si="12"/>
        <v>125.49221800281023</v>
      </c>
      <c r="Q17" s="189">
        <f t="shared" si="12"/>
        <v>110.54598184617279</v>
      </c>
      <c r="R17" s="189">
        <f t="shared" si="12"/>
        <v>89.772791993622235</v>
      </c>
      <c r="S17" s="188"/>
      <c r="T17" s="189">
        <f t="shared" si="13"/>
        <v>0</v>
      </c>
      <c r="U17" s="189">
        <f t="shared" si="13"/>
        <v>0</v>
      </c>
      <c r="V17" s="189">
        <f t="shared" si="13"/>
        <v>0</v>
      </c>
      <c r="W17" s="189">
        <f t="shared" si="13"/>
        <v>0</v>
      </c>
      <c r="X17" s="189">
        <f t="shared" si="13"/>
        <v>0</v>
      </c>
      <c r="Y17" s="91" t="str">
        <f t="shared" si="14"/>
        <v>60-64</v>
      </c>
      <c r="Z17" s="189">
        <f t="shared" si="15"/>
        <v>164.67698820651987</v>
      </c>
      <c r="AA17" s="189">
        <f t="shared" si="15"/>
        <v>173.02754429415353</v>
      </c>
      <c r="AB17" s="189">
        <f t="shared" si="15"/>
        <v>211.64420247686218</v>
      </c>
      <c r="AC17" s="189">
        <f t="shared" si="15"/>
        <v>262.32745519640429</v>
      </c>
      <c r="AD17" s="189">
        <f t="shared" si="15"/>
        <v>307.19809774569194</v>
      </c>
      <c r="AE17" s="188"/>
      <c r="AF17" s="189">
        <f t="shared" si="16"/>
        <v>156.364761045058</v>
      </c>
      <c r="AG17" s="189">
        <f t="shared" si="16"/>
        <v>164.2583318854096</v>
      </c>
      <c r="AH17" s="189">
        <f t="shared" si="16"/>
        <v>200.85031018974644</v>
      </c>
      <c r="AI17" s="189">
        <f t="shared" si="16"/>
        <v>248.92153917613587</v>
      </c>
      <c r="AJ17" s="189">
        <f t="shared" si="16"/>
        <v>291.50729249745882</v>
      </c>
      <c r="AK17" s="188"/>
      <c r="AL17" s="189">
        <f t="shared" si="17"/>
        <v>8.3122271614618572</v>
      </c>
      <c r="AM17" s="189">
        <f t="shared" si="17"/>
        <v>8.7692124087439236</v>
      </c>
      <c r="AN17" s="189">
        <f t="shared" si="17"/>
        <v>10.793892287115703</v>
      </c>
      <c r="AO17" s="189">
        <f t="shared" si="17"/>
        <v>13.405916020268418</v>
      </c>
      <c r="AP17" s="189">
        <f t="shared" si="17"/>
        <v>15.690805248233143</v>
      </c>
      <c r="AQ17" s="91" t="str">
        <f t="shared" si="18"/>
        <v>60-64</v>
      </c>
      <c r="AR17" s="189">
        <f t="shared" si="19"/>
        <v>124.1659256407448</v>
      </c>
      <c r="AS17" s="189">
        <f t="shared" si="19"/>
        <v>151.81542950884</v>
      </c>
      <c r="AT17" s="189">
        <f t="shared" si="19"/>
        <v>179.49318934913299</v>
      </c>
      <c r="AU17" s="189">
        <f t="shared" si="19"/>
        <v>229.32198552586985</v>
      </c>
      <c r="AV17" s="189">
        <f t="shared" si="19"/>
        <v>282.2344912134065</v>
      </c>
      <c r="AW17" s="188"/>
      <c r="AX17" s="189">
        <f t="shared" si="20"/>
        <v>120.47353378485059</v>
      </c>
      <c r="AY17" s="189">
        <f t="shared" si="20"/>
        <v>147.28380768694541</v>
      </c>
      <c r="AZ17" s="189">
        <f t="shared" si="20"/>
        <v>174.20095676665699</v>
      </c>
      <c r="BA17" s="189">
        <f t="shared" si="20"/>
        <v>222.61021872219823</v>
      </c>
      <c r="BB17" s="189">
        <f t="shared" si="20"/>
        <v>274.01688935790713</v>
      </c>
      <c r="BC17" s="188"/>
      <c r="BD17" s="189">
        <f t="shared" si="21"/>
        <v>3.6923918558942086</v>
      </c>
      <c r="BE17" s="189">
        <f t="shared" si="21"/>
        <v>4.5316218218945803</v>
      </c>
      <c r="BF17" s="189">
        <f t="shared" si="21"/>
        <v>5.2922325824760046</v>
      </c>
      <c r="BG17" s="189">
        <f t="shared" si="21"/>
        <v>6.7117668036716331</v>
      </c>
      <c r="BH17" s="189">
        <f t="shared" si="21"/>
        <v>8.2176018554993142</v>
      </c>
    </row>
    <row r="18" spans="1:60" x14ac:dyDescent="0.2">
      <c r="A18" s="91" t="s">
        <v>109</v>
      </c>
      <c r="B18" s="189">
        <f t="shared" si="10"/>
        <v>1097.4936778000333</v>
      </c>
      <c r="C18" s="189">
        <f t="shared" si="10"/>
        <v>1072.9440531401806</v>
      </c>
      <c r="D18" s="189">
        <f t="shared" si="10"/>
        <v>980.11410948496587</v>
      </c>
      <c r="E18" s="189">
        <f t="shared" si="10"/>
        <v>860.70692539466086</v>
      </c>
      <c r="F18" s="189">
        <f t="shared" si="10"/>
        <v>731.94096038103203</v>
      </c>
      <c r="G18" s="188"/>
      <c r="H18" s="189">
        <f t="shared" si="11"/>
        <v>770.71351120273471</v>
      </c>
      <c r="I18" s="189">
        <f t="shared" si="11"/>
        <v>753.1395408366011</v>
      </c>
      <c r="J18" s="189">
        <f t="shared" si="11"/>
        <v>687.79876078330381</v>
      </c>
      <c r="K18" s="189">
        <f t="shared" si="11"/>
        <v>603.69792908410795</v>
      </c>
      <c r="L18" s="189">
        <f t="shared" si="11"/>
        <v>513.13110481139574</v>
      </c>
      <c r="M18" s="188"/>
      <c r="N18" s="189">
        <f t="shared" si="12"/>
        <v>326.78016659729855</v>
      </c>
      <c r="O18" s="189">
        <f t="shared" si="12"/>
        <v>319.80451230357949</v>
      </c>
      <c r="P18" s="189">
        <f t="shared" si="12"/>
        <v>292.31534870166195</v>
      </c>
      <c r="Q18" s="189">
        <f t="shared" si="12"/>
        <v>257.0089963105529</v>
      </c>
      <c r="R18" s="189">
        <f t="shared" si="12"/>
        <v>218.80985556963645</v>
      </c>
      <c r="S18" s="188"/>
      <c r="T18" s="189">
        <f t="shared" si="13"/>
        <v>0</v>
      </c>
      <c r="U18" s="189">
        <f t="shared" si="13"/>
        <v>0</v>
      </c>
      <c r="V18" s="189">
        <f t="shared" si="13"/>
        <v>0</v>
      </c>
      <c r="W18" s="189">
        <f t="shared" si="13"/>
        <v>0</v>
      </c>
      <c r="X18" s="189">
        <f t="shared" si="13"/>
        <v>0</v>
      </c>
      <c r="Y18" s="91" t="str">
        <f t="shared" si="14"/>
        <v>65+</v>
      </c>
      <c r="Z18" s="189">
        <f t="shared" si="15"/>
        <v>412.59519957455325</v>
      </c>
      <c r="AA18" s="189">
        <f t="shared" si="15"/>
        <v>441.80478171374187</v>
      </c>
      <c r="AB18" s="189">
        <f t="shared" si="15"/>
        <v>588.92141161742438</v>
      </c>
      <c r="AC18" s="189">
        <f t="shared" si="15"/>
        <v>717.19301187685096</v>
      </c>
      <c r="AD18" s="189">
        <f t="shared" si="15"/>
        <v>861.73238046119513</v>
      </c>
      <c r="AE18" s="188"/>
      <c r="AF18" s="189">
        <f t="shared" si="16"/>
        <v>391.95319027138726</v>
      </c>
      <c r="AG18" s="189">
        <f t="shared" si="16"/>
        <v>419.72502641576881</v>
      </c>
      <c r="AH18" s="189">
        <f t="shared" si="16"/>
        <v>559.48677128208897</v>
      </c>
      <c r="AI18" s="189">
        <f t="shared" si="16"/>
        <v>681.36315392476172</v>
      </c>
      <c r="AJ18" s="189">
        <f t="shared" si="16"/>
        <v>818.69055459842366</v>
      </c>
      <c r="AK18" s="188"/>
      <c r="AL18" s="189">
        <f t="shared" si="17"/>
        <v>20.642009303165985</v>
      </c>
      <c r="AM18" s="189">
        <f t="shared" si="17"/>
        <v>22.079755297973087</v>
      </c>
      <c r="AN18" s="189">
        <f t="shared" si="17"/>
        <v>29.434640335335327</v>
      </c>
      <c r="AO18" s="189">
        <f t="shared" si="17"/>
        <v>35.82985795208927</v>
      </c>
      <c r="AP18" s="189">
        <f t="shared" si="17"/>
        <v>43.041825862771589</v>
      </c>
      <c r="AQ18" s="91" t="str">
        <f t="shared" si="18"/>
        <v>65+</v>
      </c>
      <c r="AR18" s="189">
        <f t="shared" si="19"/>
        <v>309.63712262541355</v>
      </c>
      <c r="AS18" s="189">
        <f t="shared" si="19"/>
        <v>345.41016514607776</v>
      </c>
      <c r="AT18" s="189">
        <f t="shared" si="19"/>
        <v>465.83547889760985</v>
      </c>
      <c r="AU18" s="189">
        <f t="shared" si="19"/>
        <v>642.09606272848828</v>
      </c>
      <c r="AV18" s="189">
        <f t="shared" si="19"/>
        <v>863.68565915777276</v>
      </c>
      <c r="AW18" s="188"/>
      <c r="AX18" s="189">
        <f t="shared" si="20"/>
        <v>301.40115633884841</v>
      </c>
      <c r="AY18" s="189">
        <f t="shared" si="20"/>
        <v>336.56314669404765</v>
      </c>
      <c r="AZ18" s="189">
        <f t="shared" si="20"/>
        <v>453.89786151814837</v>
      </c>
      <c r="BA18" s="189">
        <f t="shared" si="20"/>
        <v>625.97097807950172</v>
      </c>
      <c r="BB18" s="189">
        <f t="shared" si="20"/>
        <v>842.26455696727317</v>
      </c>
      <c r="BC18" s="188"/>
      <c r="BD18" s="189">
        <f t="shared" si="21"/>
        <v>8.2359662865651462</v>
      </c>
      <c r="BE18" s="189">
        <f t="shared" si="21"/>
        <v>8.847018452030122</v>
      </c>
      <c r="BF18" s="189">
        <f t="shared" si="21"/>
        <v>11.937617379461411</v>
      </c>
      <c r="BG18" s="189">
        <f t="shared" si="21"/>
        <v>16.125084648986547</v>
      </c>
      <c r="BH18" s="189">
        <f t="shared" si="21"/>
        <v>21.421102190499685</v>
      </c>
    </row>
    <row r="19" spans="1:60" x14ac:dyDescent="0.2">
      <c r="B19" s="189"/>
      <c r="C19" s="189"/>
      <c r="D19" s="188"/>
      <c r="E19" s="188"/>
      <c r="F19" s="188"/>
      <c r="G19" s="188"/>
      <c r="H19" s="188"/>
      <c r="I19" s="188"/>
      <c r="J19" s="188"/>
      <c r="K19" s="188"/>
      <c r="L19" s="188"/>
      <c r="M19" s="188"/>
      <c r="N19" s="188"/>
      <c r="O19" s="188"/>
      <c r="P19" s="188"/>
      <c r="Q19" s="188"/>
      <c r="R19" s="188"/>
      <c r="S19" s="188"/>
      <c r="T19" s="94"/>
      <c r="U19" s="94"/>
      <c r="V19" s="94"/>
      <c r="W19" s="94"/>
      <c r="X19" s="94"/>
      <c r="Z19" s="189"/>
      <c r="AA19" s="189"/>
      <c r="AB19" s="188"/>
      <c r="AC19" s="188"/>
      <c r="AD19" s="188"/>
      <c r="AE19" s="188"/>
      <c r="AF19" s="188"/>
      <c r="AG19" s="188"/>
      <c r="AH19" s="188"/>
      <c r="AI19" s="188"/>
      <c r="AJ19" s="188"/>
      <c r="AK19" s="188"/>
      <c r="AL19" s="188"/>
      <c r="AM19" s="188"/>
      <c r="AN19" s="188"/>
      <c r="AO19" s="188"/>
      <c r="AP19" s="188"/>
      <c r="AR19" s="189"/>
      <c r="AS19" s="189"/>
      <c r="AT19" s="188"/>
      <c r="AU19" s="188"/>
      <c r="AV19" s="188"/>
      <c r="AW19" s="188"/>
      <c r="AX19" s="188"/>
      <c r="AY19" s="188"/>
      <c r="AZ19" s="188"/>
      <c r="BA19" s="188"/>
      <c r="BB19" s="188"/>
      <c r="BC19" s="188"/>
      <c r="BD19" s="188"/>
      <c r="BE19" s="188"/>
      <c r="BF19" s="188"/>
      <c r="BG19" s="188"/>
      <c r="BH19" s="188"/>
    </row>
    <row r="20" spans="1:60" x14ac:dyDescent="0.2">
      <c r="A20" s="114" t="s">
        <v>104</v>
      </c>
      <c r="B20" s="94"/>
      <c r="C20" s="94"/>
      <c r="D20" s="94"/>
      <c r="E20" s="94"/>
      <c r="F20" s="189"/>
      <c r="G20" s="189"/>
      <c r="H20" s="189"/>
      <c r="I20" s="189"/>
      <c r="J20" s="189"/>
      <c r="K20" s="189"/>
      <c r="L20" s="189"/>
      <c r="M20" s="189"/>
      <c r="N20" s="189"/>
      <c r="O20" s="189"/>
      <c r="P20" s="189"/>
      <c r="Q20" s="189"/>
      <c r="R20" s="189"/>
      <c r="S20" s="189"/>
      <c r="T20" s="94"/>
      <c r="U20" s="94"/>
      <c r="V20" s="94"/>
      <c r="W20" s="94"/>
      <c r="X20" s="94"/>
      <c r="Y20" s="114" t="str">
        <f t="shared" si="14"/>
        <v>Males</v>
      </c>
      <c r="Z20" s="94"/>
      <c r="AA20" s="94"/>
      <c r="AB20" s="94"/>
      <c r="AC20" s="94"/>
      <c r="AD20" s="189"/>
      <c r="AE20" s="189"/>
      <c r="AF20" s="189"/>
      <c r="AG20" s="189"/>
      <c r="AH20" s="189"/>
      <c r="AI20" s="189"/>
      <c r="AJ20" s="189"/>
      <c r="AK20" s="189"/>
      <c r="AL20" s="189"/>
      <c r="AM20" s="189"/>
      <c r="AN20" s="189"/>
      <c r="AO20" s="189"/>
      <c r="AP20" s="189"/>
      <c r="AQ20" s="114" t="str">
        <f>A20</f>
        <v>Males</v>
      </c>
      <c r="AR20" s="94"/>
      <c r="AS20" s="94"/>
      <c r="AT20" s="94"/>
      <c r="AU20" s="94"/>
      <c r="AV20" s="189"/>
      <c r="AW20" s="189"/>
      <c r="AX20" s="189"/>
      <c r="AY20" s="189"/>
      <c r="AZ20" s="189"/>
      <c r="BA20" s="189"/>
      <c r="BB20" s="189"/>
      <c r="BC20" s="189"/>
      <c r="BD20" s="189"/>
      <c r="BE20" s="189"/>
      <c r="BF20" s="189"/>
      <c r="BG20" s="189"/>
      <c r="BH20" s="189"/>
    </row>
    <row r="21" spans="1:60" x14ac:dyDescent="0.2">
      <c r="A21" s="91" t="str">
        <f>$A$7</f>
        <v>15+</v>
      </c>
      <c r="B21" s="189">
        <f>SUM(B22:B32)</f>
        <v>1620.2473852146525</v>
      </c>
      <c r="C21" s="189">
        <f t="shared" ref="C21:F21" si="22">SUM(C22:C32)</f>
        <v>1614.229579565203</v>
      </c>
      <c r="D21" s="189">
        <f t="shared" si="22"/>
        <v>1473.336267790763</v>
      </c>
      <c r="E21" s="189">
        <f t="shared" si="22"/>
        <v>1328.0088879474006</v>
      </c>
      <c r="F21" s="189">
        <f t="shared" si="22"/>
        <v>1173.6897154992268</v>
      </c>
      <c r="G21" s="189"/>
      <c r="H21" s="189">
        <f>SUM(H22:H32)</f>
        <v>716.1464894810149</v>
      </c>
      <c r="I21" s="189">
        <f t="shared" ref="I21:L21" si="23">SUM(I22:I32)</f>
        <v>715.64405967986499</v>
      </c>
      <c r="J21" s="189">
        <f t="shared" si="23"/>
        <v>655.33170359679184</v>
      </c>
      <c r="K21" s="189">
        <f t="shared" si="23"/>
        <v>588.71852138985469</v>
      </c>
      <c r="L21" s="189">
        <f t="shared" si="23"/>
        <v>511.80228655523888</v>
      </c>
      <c r="M21" s="189"/>
      <c r="N21" s="189">
        <f>SUM(N22:N32)</f>
        <v>904.1008957336378</v>
      </c>
      <c r="O21" s="189">
        <f t="shared" ref="O21:R21" si="24">SUM(O22:O32)</f>
        <v>898.5855198853385</v>
      </c>
      <c r="P21" s="189">
        <f t="shared" si="24"/>
        <v>818.00456419397131</v>
      </c>
      <c r="Q21" s="189">
        <f t="shared" si="24"/>
        <v>739.29036655754555</v>
      </c>
      <c r="R21" s="189">
        <f t="shared" si="24"/>
        <v>661.88742894398808</v>
      </c>
      <c r="S21" s="189"/>
      <c r="T21" s="189">
        <f>SUM(T22:T32)</f>
        <v>0</v>
      </c>
      <c r="U21" s="189">
        <f t="shared" ref="U21:X21" si="25">SUM(U22:U32)</f>
        <v>0</v>
      </c>
      <c r="V21" s="189">
        <f t="shared" si="25"/>
        <v>0</v>
      </c>
      <c r="W21" s="189">
        <f t="shared" si="25"/>
        <v>0</v>
      </c>
      <c r="X21" s="189">
        <f t="shared" si="25"/>
        <v>0</v>
      </c>
      <c r="Y21" s="91" t="str">
        <f>$A$7</f>
        <v>15+</v>
      </c>
      <c r="Z21" s="189">
        <f>SUM(Z22:Z32)</f>
        <v>1577.3024491368396</v>
      </c>
      <c r="AA21" s="189">
        <f t="shared" ref="AA21:AD21" si="26">SUM(AA22:AA32)</f>
        <v>1562.2040994555152</v>
      </c>
      <c r="AB21" s="189">
        <f t="shared" si="26"/>
        <v>1749.398715210659</v>
      </c>
      <c r="AC21" s="189">
        <f t="shared" si="26"/>
        <v>1909.488504579884</v>
      </c>
      <c r="AD21" s="189">
        <f t="shared" si="26"/>
        <v>2081.0684990931632</v>
      </c>
      <c r="AE21" s="189"/>
      <c r="AF21" s="189">
        <f>SUM(AF22:AF32)</f>
        <v>1499.7774540648427</v>
      </c>
      <c r="AG21" s="189">
        <f t="shared" ref="AG21:AJ21" si="27">SUM(AG22:AG32)</f>
        <v>1486.1007164675289</v>
      </c>
      <c r="AH21" s="189">
        <f t="shared" si="27"/>
        <v>1664.4597911861424</v>
      </c>
      <c r="AI21" s="189">
        <f t="shared" si="27"/>
        <v>1816.8390130222895</v>
      </c>
      <c r="AJ21" s="189">
        <f t="shared" si="27"/>
        <v>1980.4678395589967</v>
      </c>
      <c r="AK21" s="189"/>
      <c r="AL21" s="189">
        <f>SUM(AL22:AL32)</f>
        <v>77.524995071996941</v>
      </c>
      <c r="AM21" s="189">
        <f t="shared" ref="AM21:AP21" si="28">SUM(AM22:AM32)</f>
        <v>76.103382987986208</v>
      </c>
      <c r="AN21" s="189">
        <f t="shared" si="28"/>
        <v>84.938924024516524</v>
      </c>
      <c r="AO21" s="189">
        <f t="shared" si="28"/>
        <v>92.649491557594388</v>
      </c>
      <c r="AP21" s="189">
        <f t="shared" si="28"/>
        <v>100.60065953416633</v>
      </c>
      <c r="AQ21" s="91" t="str">
        <f>A21</f>
        <v>15+</v>
      </c>
      <c r="AR21" s="189">
        <f>SUM(AR22:AR32)</f>
        <v>1106.6731656485081</v>
      </c>
      <c r="AS21" s="189">
        <f t="shared" ref="AS21:AV21" si="29">SUM(AS22:AS32)</f>
        <v>1199.3363209792817</v>
      </c>
      <c r="AT21" s="189">
        <f t="shared" si="29"/>
        <v>1365.5690169985778</v>
      </c>
      <c r="AU21" s="189">
        <f t="shared" si="29"/>
        <v>1541.874607472716</v>
      </c>
      <c r="AV21" s="189">
        <f t="shared" si="29"/>
        <v>1748.1917854076103</v>
      </c>
      <c r="AW21" s="189"/>
      <c r="AX21" s="189">
        <f>SUM(AX22:AX32)</f>
        <v>1077.4599726477079</v>
      </c>
      <c r="AY21" s="189">
        <f t="shared" ref="AY21:BB21" si="30">SUM(AY22:AY32)</f>
        <v>1167.5793096493508</v>
      </c>
      <c r="AZ21" s="189">
        <f t="shared" si="30"/>
        <v>1328.8583394486275</v>
      </c>
      <c r="BA21" s="189">
        <f t="shared" si="30"/>
        <v>1499.4805167904162</v>
      </c>
      <c r="BB21" s="189">
        <f t="shared" si="30"/>
        <v>1698.9799024688193</v>
      </c>
      <c r="BC21" s="189"/>
      <c r="BD21" s="189">
        <f>SUM(BD22:BD32)</f>
        <v>29.213193000800217</v>
      </c>
      <c r="BE21" s="189">
        <f t="shared" ref="BE21:BH21" si="31">SUM(BE22:BE32)</f>
        <v>31.757011329930545</v>
      </c>
      <c r="BF21" s="189">
        <f t="shared" si="31"/>
        <v>36.710677549950461</v>
      </c>
      <c r="BG21" s="189">
        <f t="shared" si="31"/>
        <v>42.394090682299776</v>
      </c>
      <c r="BH21" s="189">
        <f t="shared" si="31"/>
        <v>49.211882938790794</v>
      </c>
    </row>
    <row r="22" spans="1:60" x14ac:dyDescent="0.2">
      <c r="A22" s="91" t="str">
        <f>$A$8</f>
        <v>15-19</v>
      </c>
      <c r="B22" s="189">
        <v>265.87910321369338</v>
      </c>
      <c r="C22" s="189">
        <v>258.0443726840308</v>
      </c>
      <c r="D22" s="189">
        <v>243.141770298518</v>
      </c>
      <c r="E22" s="189">
        <v>242.0329033496289</v>
      </c>
      <c r="F22" s="188">
        <v>259.48953414978911</v>
      </c>
      <c r="G22" s="189"/>
      <c r="H22" s="189">
        <v>65.502301380201217</v>
      </c>
      <c r="I22" s="189">
        <v>63.57213501074979</v>
      </c>
      <c r="J22" s="189">
        <v>59.900673398189532</v>
      </c>
      <c r="K22" s="189">
        <v>59.627470660231161</v>
      </c>
      <c r="L22" s="188">
        <v>63.928125917066254</v>
      </c>
      <c r="M22" s="189"/>
      <c r="N22" s="189">
        <v>200.37680183349218</v>
      </c>
      <c r="O22" s="189">
        <v>194.47223767328106</v>
      </c>
      <c r="P22" s="189">
        <v>183.2410969003285</v>
      </c>
      <c r="Q22" s="189">
        <v>182.40543268939777</v>
      </c>
      <c r="R22" s="188">
        <v>195.56140823272287</v>
      </c>
      <c r="S22" s="189"/>
      <c r="T22" s="189">
        <v>0</v>
      </c>
      <c r="U22" s="189">
        <v>0</v>
      </c>
      <c r="V22" s="189">
        <v>0</v>
      </c>
      <c r="W22" s="189">
        <v>0</v>
      </c>
      <c r="X22" s="188">
        <v>0</v>
      </c>
      <c r="Y22" s="91" t="str">
        <f>$A$8</f>
        <v>15-19</v>
      </c>
      <c r="Z22" s="189">
        <v>66.511132470586716</v>
      </c>
      <c r="AA22" s="189">
        <v>73.411299772273082</v>
      </c>
      <c r="AB22" s="189">
        <v>80.502722532222251</v>
      </c>
      <c r="AC22" s="189">
        <v>87.416701640226961</v>
      </c>
      <c r="AD22" s="188">
        <v>102.22230692001014</v>
      </c>
      <c r="AE22" s="189"/>
      <c r="AF22" s="189">
        <v>65.408785510809949</v>
      </c>
      <c r="AG22" s="189">
        <v>72.194629595921498</v>
      </c>
      <c r="AH22" s="189">
        <v>79.16853183013346</v>
      </c>
      <c r="AI22" s="189">
        <v>85.967955058277127</v>
      </c>
      <c r="AJ22" s="188">
        <v>100.52812602924274</v>
      </c>
      <c r="AK22" s="189"/>
      <c r="AL22" s="189">
        <v>1.1023469597767663</v>
      </c>
      <c r="AM22" s="189">
        <v>1.2166701763515873</v>
      </c>
      <c r="AN22" s="189">
        <v>1.3341907020887731</v>
      </c>
      <c r="AO22" s="189">
        <v>1.4487465819498317</v>
      </c>
      <c r="AP22" s="188">
        <v>1.6941808907673945</v>
      </c>
      <c r="AQ22" s="91" t="str">
        <f t="shared" ref="AQ22:AQ32" si="32">A22</f>
        <v>15-19</v>
      </c>
      <c r="AR22" s="189">
        <v>0.47976431571996198</v>
      </c>
      <c r="AS22" s="189">
        <v>0.72732754369609554</v>
      </c>
      <c r="AT22" s="189">
        <v>0.48550716925975612</v>
      </c>
      <c r="AU22" s="189">
        <v>0.49439501014410386</v>
      </c>
      <c r="AV22" s="188">
        <v>0.54315893020071748</v>
      </c>
      <c r="AW22" s="189"/>
      <c r="AX22" s="189">
        <v>0.424231447426622</v>
      </c>
      <c r="AY22" s="189">
        <v>0.64301397638445978</v>
      </c>
      <c r="AZ22" s="189">
        <v>0.4293477578901575</v>
      </c>
      <c r="BA22" s="189">
        <v>0.43712398467357205</v>
      </c>
      <c r="BB22" s="188">
        <v>0.4802635949877026</v>
      </c>
      <c r="BC22" s="189"/>
      <c r="BD22" s="189">
        <v>5.5532868293339949E-2</v>
      </c>
      <c r="BE22" s="189">
        <v>8.4313567311635793E-2</v>
      </c>
      <c r="BF22" s="189">
        <v>5.6159411369598657E-2</v>
      </c>
      <c r="BG22" s="189">
        <v>5.7271025470531763E-2</v>
      </c>
      <c r="BH22" s="188">
        <v>6.2895335213014894E-2</v>
      </c>
    </row>
    <row r="23" spans="1:60" x14ac:dyDescent="0.2">
      <c r="A23" s="91" t="str">
        <f>$A$9</f>
        <v>20-24</v>
      </c>
      <c r="B23" s="189">
        <v>62.563891293376557</v>
      </c>
      <c r="C23" s="189">
        <v>65.325512781581011</v>
      </c>
      <c r="D23" s="189">
        <v>67.029010553797633</v>
      </c>
      <c r="E23" s="189">
        <v>59.464637575430878</v>
      </c>
      <c r="F23" s="188">
        <v>54.38972351131563</v>
      </c>
      <c r="G23" s="189"/>
      <c r="H23" s="189">
        <v>17.754171051225015</v>
      </c>
      <c r="I23" s="189">
        <v>18.537831805843624</v>
      </c>
      <c r="J23" s="189">
        <v>19.021243659623707</v>
      </c>
      <c r="K23" s="189">
        <v>16.874679665555647</v>
      </c>
      <c r="L23" s="188">
        <v>15.434495406960504</v>
      </c>
      <c r="M23" s="189"/>
      <c r="N23" s="189">
        <v>44.809720242151542</v>
      </c>
      <c r="O23" s="189">
        <v>46.787680975737388</v>
      </c>
      <c r="P23" s="189">
        <v>48.00776689417394</v>
      </c>
      <c r="Q23" s="189">
        <v>42.589957909875231</v>
      </c>
      <c r="R23" s="188">
        <v>38.955228104355122</v>
      </c>
      <c r="S23" s="189"/>
      <c r="T23" s="189">
        <v>0</v>
      </c>
      <c r="U23" s="189">
        <v>0</v>
      </c>
      <c r="V23" s="189">
        <v>0</v>
      </c>
      <c r="W23" s="189">
        <v>0</v>
      </c>
      <c r="X23" s="188">
        <v>0</v>
      </c>
      <c r="Y23" s="91" t="str">
        <f>$A$9</f>
        <v>20-24</v>
      </c>
      <c r="Z23" s="189">
        <v>203.50469894139783</v>
      </c>
      <c r="AA23" s="189">
        <v>206.78831948241526</v>
      </c>
      <c r="AB23" s="189">
        <v>217.16688614689699</v>
      </c>
      <c r="AC23" s="189">
        <v>213.03529301815917</v>
      </c>
      <c r="AD23" s="188">
        <v>215.87448968593148</v>
      </c>
      <c r="AE23" s="189"/>
      <c r="AF23" s="189">
        <v>194.19340573185747</v>
      </c>
      <c r="AG23" s="189">
        <v>197.32683079971491</v>
      </c>
      <c r="AH23" s="189">
        <v>207.23048265883725</v>
      </c>
      <c r="AI23" s="189">
        <v>203.2879208070558</v>
      </c>
      <c r="AJ23" s="188">
        <v>205.99720170925298</v>
      </c>
      <c r="AK23" s="189"/>
      <c r="AL23" s="189">
        <v>9.3112932095403682</v>
      </c>
      <c r="AM23" s="189">
        <v>9.4614886827003613</v>
      </c>
      <c r="AN23" s="189">
        <v>9.936403488059721</v>
      </c>
      <c r="AO23" s="189">
        <v>9.7473722111033432</v>
      </c>
      <c r="AP23" s="188">
        <v>9.8772879766784918</v>
      </c>
      <c r="AQ23" s="91" t="str">
        <f t="shared" si="32"/>
        <v>20-24</v>
      </c>
      <c r="AR23" s="189">
        <v>55.35540976522563</v>
      </c>
      <c r="AS23" s="189">
        <v>59.428167736003701</v>
      </c>
      <c r="AT23" s="189">
        <v>76.351103299305365</v>
      </c>
      <c r="AU23" s="189">
        <v>82.69706940640998</v>
      </c>
      <c r="AV23" s="188">
        <v>92.251786802752903</v>
      </c>
      <c r="AW23" s="189"/>
      <c r="AX23" s="189">
        <v>55.171502233744391</v>
      </c>
      <c r="AY23" s="189">
        <v>59.230692610728923</v>
      </c>
      <c r="AZ23" s="189">
        <v>76.097464300047577</v>
      </c>
      <c r="BA23" s="189">
        <v>82.422307619001344</v>
      </c>
      <c r="BB23" s="188">
        <v>91.945269557157303</v>
      </c>
      <c r="BC23" s="189"/>
      <c r="BD23" s="189">
        <v>0.18390753148124411</v>
      </c>
      <c r="BE23" s="189">
        <v>0.19747512527477654</v>
      </c>
      <c r="BF23" s="189">
        <v>0.2536389992577906</v>
      </c>
      <c r="BG23" s="189">
        <v>0.27476178740863866</v>
      </c>
      <c r="BH23" s="188">
        <v>0.30651724559561289</v>
      </c>
    </row>
    <row r="24" spans="1:60" x14ac:dyDescent="0.2">
      <c r="A24" s="91" t="str">
        <f>$A$10</f>
        <v>25-29</v>
      </c>
      <c r="B24" s="189">
        <v>66.398736675349255</v>
      </c>
      <c r="C24" s="189">
        <v>69.045212178063281</v>
      </c>
      <c r="D24" s="189">
        <v>66.627042081793974</v>
      </c>
      <c r="E24" s="189">
        <v>68.686692459413791</v>
      </c>
      <c r="F24" s="188">
        <v>61.118016987628771</v>
      </c>
      <c r="G24" s="189"/>
      <c r="H24" s="189">
        <v>22.566174767142297</v>
      </c>
      <c r="I24" s="189">
        <v>23.465649013403809</v>
      </c>
      <c r="J24" s="189">
        <v>22.643783635613381</v>
      </c>
      <c r="K24" s="189">
        <v>23.343782133688464</v>
      </c>
      <c r="L24" s="188">
        <v>20.771486527956</v>
      </c>
      <c r="M24" s="189"/>
      <c r="N24" s="189">
        <v>43.832561908206955</v>
      </c>
      <c r="O24" s="189">
        <v>45.579563164659476</v>
      </c>
      <c r="P24" s="189">
        <v>43.983258446180592</v>
      </c>
      <c r="Q24" s="189">
        <v>45.342910325725327</v>
      </c>
      <c r="R24" s="188">
        <v>40.346530459672763</v>
      </c>
      <c r="S24" s="189"/>
      <c r="T24" s="189">
        <v>0</v>
      </c>
      <c r="U24" s="189">
        <v>0</v>
      </c>
      <c r="V24" s="189">
        <v>0</v>
      </c>
      <c r="W24" s="189">
        <v>0</v>
      </c>
      <c r="X24" s="188">
        <v>0</v>
      </c>
      <c r="Y24" s="91" t="str">
        <f>$A$10</f>
        <v>25-29</v>
      </c>
      <c r="Z24" s="189">
        <v>157.53682636123301</v>
      </c>
      <c r="AA24" s="189">
        <v>146.82469164415315</v>
      </c>
      <c r="AB24" s="189">
        <v>162.09459077138558</v>
      </c>
      <c r="AC24" s="189">
        <v>176.76412293200428</v>
      </c>
      <c r="AD24" s="188">
        <v>178.0449747242445</v>
      </c>
      <c r="AE24" s="189"/>
      <c r="AF24" s="189">
        <v>147.64849438417414</v>
      </c>
      <c r="AG24" s="189">
        <v>137.60882551682283</v>
      </c>
      <c r="AH24" s="189">
        <v>151.92024178805138</v>
      </c>
      <c r="AI24" s="189">
        <v>165.66900835507411</v>
      </c>
      <c r="AJ24" s="188">
        <v>166.86940114891388</v>
      </c>
      <c r="AK24" s="189"/>
      <c r="AL24" s="189">
        <v>9.8883319770588862</v>
      </c>
      <c r="AM24" s="189">
        <v>9.21586612733031</v>
      </c>
      <c r="AN24" s="189">
        <v>10.174348983334211</v>
      </c>
      <c r="AO24" s="189">
        <v>11.095114576930154</v>
      </c>
      <c r="AP24" s="188">
        <v>11.175573575330596</v>
      </c>
      <c r="AQ24" s="91" t="str">
        <f t="shared" si="32"/>
        <v>25-29</v>
      </c>
      <c r="AR24" s="189">
        <v>119.99943696341774</v>
      </c>
      <c r="AS24" s="189">
        <v>129.39109617778351</v>
      </c>
      <c r="AT24" s="189">
        <v>137.02936714682045</v>
      </c>
      <c r="AU24" s="189">
        <v>151.42218460858194</v>
      </c>
      <c r="AV24" s="188">
        <v>154.61300828812676</v>
      </c>
      <c r="AW24" s="189"/>
      <c r="AX24" s="189">
        <v>118.70993980899782</v>
      </c>
      <c r="AY24" s="189">
        <v>128.00063464065943</v>
      </c>
      <c r="AZ24" s="189">
        <v>135.5567932955843</v>
      </c>
      <c r="BA24" s="189">
        <v>149.7950052068511</v>
      </c>
      <c r="BB24" s="188">
        <v>152.9514745672883</v>
      </c>
      <c r="BC24" s="189"/>
      <c r="BD24" s="189">
        <v>1.2894971544199207</v>
      </c>
      <c r="BE24" s="189">
        <v>1.3904615371240769</v>
      </c>
      <c r="BF24" s="189">
        <v>1.4725738512361566</v>
      </c>
      <c r="BG24" s="189">
        <v>1.6271794017308401</v>
      </c>
      <c r="BH24" s="188">
        <v>1.6615337208384582</v>
      </c>
    </row>
    <row r="25" spans="1:60" x14ac:dyDescent="0.2">
      <c r="A25" s="91" t="str">
        <f>$A$11</f>
        <v>30-34</v>
      </c>
      <c r="B25" s="189">
        <v>68.283196879250426</v>
      </c>
      <c r="C25" s="189">
        <v>66.945802724107253</v>
      </c>
      <c r="D25" s="189">
        <v>66.03723253213704</v>
      </c>
      <c r="E25" s="189">
        <v>61.74876482433028</v>
      </c>
      <c r="F25" s="188">
        <v>53.450029841365982</v>
      </c>
      <c r="G25" s="189"/>
      <c r="H25" s="189">
        <v>24.544039774496266</v>
      </c>
      <c r="I25" s="189">
        <v>24.063322041545216</v>
      </c>
      <c r="J25" s="189">
        <v>23.736795331659089</v>
      </c>
      <c r="K25" s="189">
        <v>22.195343632842444</v>
      </c>
      <c r="L25" s="188">
        <v>19.212368288465317</v>
      </c>
      <c r="M25" s="189"/>
      <c r="N25" s="189">
        <v>43.739157104754149</v>
      </c>
      <c r="O25" s="189">
        <v>42.88248068256204</v>
      </c>
      <c r="P25" s="189">
        <v>42.300437200477958</v>
      </c>
      <c r="Q25" s="189">
        <v>39.553421191487843</v>
      </c>
      <c r="R25" s="188">
        <v>34.237661552900661</v>
      </c>
      <c r="S25" s="189"/>
      <c r="T25" s="189">
        <v>0</v>
      </c>
      <c r="U25" s="189">
        <v>0</v>
      </c>
      <c r="V25" s="189">
        <v>0</v>
      </c>
      <c r="W25" s="189">
        <v>0</v>
      </c>
      <c r="X25" s="188">
        <v>0</v>
      </c>
      <c r="Y25" s="91" t="str">
        <f>$A$11</f>
        <v>30-34</v>
      </c>
      <c r="Z25" s="189">
        <v>148.60780472425301</v>
      </c>
      <c r="AA25" s="189">
        <v>147.31893427815288</v>
      </c>
      <c r="AB25" s="189">
        <v>161.47366094590328</v>
      </c>
      <c r="AC25" s="189">
        <v>172.47340823028688</v>
      </c>
      <c r="AD25" s="188">
        <v>191.95713844294832</v>
      </c>
      <c r="AE25" s="189"/>
      <c r="AF25" s="189">
        <v>138.80683308840062</v>
      </c>
      <c r="AG25" s="189">
        <v>137.60298665378525</v>
      </c>
      <c r="AH25" s="189">
        <v>150.82413863510811</v>
      </c>
      <c r="AI25" s="189">
        <v>161.09845641798645</v>
      </c>
      <c r="AJ25" s="188">
        <v>179.29720884021523</v>
      </c>
      <c r="AK25" s="189"/>
      <c r="AL25" s="189">
        <v>9.8009716358523953</v>
      </c>
      <c r="AM25" s="189">
        <v>9.7159476243676277</v>
      </c>
      <c r="AN25" s="189">
        <v>10.649522310795193</v>
      </c>
      <c r="AO25" s="189">
        <v>11.374951812300438</v>
      </c>
      <c r="AP25" s="188">
        <v>12.659929602733092</v>
      </c>
      <c r="AQ25" s="91" t="str">
        <f t="shared" si="32"/>
        <v>30-34</v>
      </c>
      <c r="AR25" s="189">
        <v>129.43499839649661</v>
      </c>
      <c r="AS25" s="189">
        <v>136.9352629977399</v>
      </c>
      <c r="AT25" s="189">
        <v>146.86710652195967</v>
      </c>
      <c r="AU25" s="189">
        <v>156.94682694538284</v>
      </c>
      <c r="AV25" s="188">
        <v>178.67283171568567</v>
      </c>
      <c r="AW25" s="189"/>
      <c r="AX25" s="189">
        <v>126.08382142150504</v>
      </c>
      <c r="AY25" s="189">
        <v>133.38988826824271</v>
      </c>
      <c r="AZ25" s="189">
        <v>143.06466319041809</v>
      </c>
      <c r="BA25" s="189">
        <v>152.88342672901697</v>
      </c>
      <c r="BB25" s="188">
        <v>174.04687249714561</v>
      </c>
      <c r="BC25" s="189"/>
      <c r="BD25" s="189">
        <v>3.3511769749915721</v>
      </c>
      <c r="BE25" s="189">
        <v>3.5453747294971758</v>
      </c>
      <c r="BF25" s="189">
        <v>3.8024433315415691</v>
      </c>
      <c r="BG25" s="189">
        <v>4.0634002163658671</v>
      </c>
      <c r="BH25" s="188">
        <v>4.625959218540066</v>
      </c>
    </row>
    <row r="26" spans="1:60" x14ac:dyDescent="0.2">
      <c r="A26" s="91" t="str">
        <f>$A$12</f>
        <v>35-39</v>
      </c>
      <c r="B26" s="189">
        <v>81.570107580789099</v>
      </c>
      <c r="C26" s="189">
        <v>83.089506586868126</v>
      </c>
      <c r="D26" s="189">
        <v>69.396955766521813</v>
      </c>
      <c r="E26" s="189">
        <v>57.477476782623199</v>
      </c>
      <c r="F26" s="188">
        <v>45.376437261099497</v>
      </c>
      <c r="G26" s="189"/>
      <c r="H26" s="189">
        <v>27.823839481647656</v>
      </c>
      <c r="I26" s="189">
        <v>28.342149363665129</v>
      </c>
      <c r="J26" s="189">
        <v>23.671532314933994</v>
      </c>
      <c r="K26" s="189">
        <v>19.605797942974593</v>
      </c>
      <c r="L26" s="188">
        <v>15.478099602590135</v>
      </c>
      <c r="M26" s="189"/>
      <c r="N26" s="189">
        <v>53.746268099141446</v>
      </c>
      <c r="O26" s="189">
        <v>54.747357223203004</v>
      </c>
      <c r="P26" s="189">
        <v>45.725423451587815</v>
      </c>
      <c r="Q26" s="189">
        <v>37.871678839648609</v>
      </c>
      <c r="R26" s="188">
        <v>29.898337658509362</v>
      </c>
      <c r="S26" s="189"/>
      <c r="T26" s="189">
        <v>0</v>
      </c>
      <c r="U26" s="189">
        <v>0</v>
      </c>
      <c r="V26" s="189">
        <v>0</v>
      </c>
      <c r="W26" s="189">
        <v>0</v>
      </c>
      <c r="X26" s="188">
        <v>0</v>
      </c>
      <c r="Y26" s="91" t="str">
        <f>$A$12</f>
        <v>35-39</v>
      </c>
      <c r="Z26" s="189">
        <v>172.87314170144836</v>
      </c>
      <c r="AA26" s="189">
        <v>151.81746175182639</v>
      </c>
      <c r="AB26" s="189">
        <v>156.19921187888309</v>
      </c>
      <c r="AC26" s="189">
        <v>170.06847351368867</v>
      </c>
      <c r="AD26" s="188">
        <v>183.91916269923121</v>
      </c>
      <c r="AE26" s="189"/>
      <c r="AF26" s="189">
        <v>162.99555148006215</v>
      </c>
      <c r="AG26" s="189">
        <v>143.14291162441359</v>
      </c>
      <c r="AH26" s="189">
        <v>147.27436031165053</v>
      </c>
      <c r="AI26" s="189">
        <v>160.35109660117249</v>
      </c>
      <c r="AJ26" s="188">
        <v>173.41038032330772</v>
      </c>
      <c r="AK26" s="189"/>
      <c r="AL26" s="189">
        <v>9.8775902213862175</v>
      </c>
      <c r="AM26" s="189">
        <v>8.6745501274128145</v>
      </c>
      <c r="AN26" s="189">
        <v>8.9248515672325688</v>
      </c>
      <c r="AO26" s="189">
        <v>9.7173769125161513</v>
      </c>
      <c r="AP26" s="188">
        <v>10.508782375923495</v>
      </c>
      <c r="AQ26" s="91" t="str">
        <f t="shared" si="32"/>
        <v>35-39</v>
      </c>
      <c r="AR26" s="189">
        <v>130.84375071776253</v>
      </c>
      <c r="AS26" s="189">
        <v>143.10303166130547</v>
      </c>
      <c r="AT26" s="189">
        <v>145.7508323545951</v>
      </c>
      <c r="AU26" s="189">
        <v>161.80904970368815</v>
      </c>
      <c r="AV26" s="188">
        <v>178.15540003966933</v>
      </c>
      <c r="AW26" s="189"/>
      <c r="AX26" s="189">
        <v>127.60652595957404</v>
      </c>
      <c r="AY26" s="189">
        <v>139.56251449676819</v>
      </c>
      <c r="AZ26" s="189">
        <v>142.14475173688641</v>
      </c>
      <c r="BA26" s="189">
        <v>157.80566912987618</v>
      </c>
      <c r="BB26" s="188">
        <v>173.74761952873018</v>
      </c>
      <c r="BC26" s="189"/>
      <c r="BD26" s="189">
        <v>3.237224758188491</v>
      </c>
      <c r="BE26" s="189">
        <v>3.5405171645372788</v>
      </c>
      <c r="BF26" s="189">
        <v>3.6060806177086793</v>
      </c>
      <c r="BG26" s="189">
        <v>4.003380573811949</v>
      </c>
      <c r="BH26" s="188">
        <v>4.4077805109391317</v>
      </c>
    </row>
    <row r="27" spans="1:60" x14ac:dyDescent="0.2">
      <c r="A27" s="91" t="str">
        <f>$A$13</f>
        <v>40-44</v>
      </c>
      <c r="B27" s="189">
        <v>109.36258023994721</v>
      </c>
      <c r="C27" s="189">
        <v>100.65735353635027</v>
      </c>
      <c r="D27" s="189">
        <v>79.894996074335893</v>
      </c>
      <c r="E27" s="189">
        <v>58.266248681924139</v>
      </c>
      <c r="F27" s="188">
        <v>44.943691641188508</v>
      </c>
      <c r="G27" s="189"/>
      <c r="H27" s="189">
        <v>37.497201603751407</v>
      </c>
      <c r="I27" s="189">
        <v>34.512468517177361</v>
      </c>
      <c r="J27" s="189">
        <v>27.393678246007219</v>
      </c>
      <c r="K27" s="189">
        <v>19.977808097422283</v>
      </c>
      <c r="L27" s="188">
        <v>15.409876741628949</v>
      </c>
      <c r="M27" s="189"/>
      <c r="N27" s="189">
        <v>71.8653786361958</v>
      </c>
      <c r="O27" s="189">
        <v>66.144885019172918</v>
      </c>
      <c r="P27" s="189">
        <v>52.501317828328666</v>
      </c>
      <c r="Q27" s="189">
        <v>38.288440584501856</v>
      </c>
      <c r="R27" s="188">
        <v>29.533814899559559</v>
      </c>
      <c r="S27" s="189"/>
      <c r="T27" s="189">
        <v>0</v>
      </c>
      <c r="U27" s="189">
        <v>0</v>
      </c>
      <c r="V27" s="189">
        <v>0</v>
      </c>
      <c r="W27" s="189">
        <v>0</v>
      </c>
      <c r="X27" s="188">
        <v>0</v>
      </c>
      <c r="Y27" s="91" t="str">
        <f>$A$13</f>
        <v>40-44</v>
      </c>
      <c r="Z27" s="189">
        <v>173.78731454334542</v>
      </c>
      <c r="AA27" s="189">
        <v>163.77527356450886</v>
      </c>
      <c r="AB27" s="189">
        <v>162.60647900072252</v>
      </c>
      <c r="AC27" s="189">
        <v>166.47427183086532</v>
      </c>
      <c r="AD27" s="188">
        <v>181.69643068872716</v>
      </c>
      <c r="AE27" s="189"/>
      <c r="AF27" s="189">
        <v>165.32689297611799</v>
      </c>
      <c r="AG27" s="189">
        <v>155.80222756557217</v>
      </c>
      <c r="AH27" s="189">
        <v>154.69035923872957</v>
      </c>
      <c r="AI27" s="189">
        <v>158.36986274844344</v>
      </c>
      <c r="AJ27" s="188">
        <v>172.85093659793318</v>
      </c>
      <c r="AK27" s="189"/>
      <c r="AL27" s="189">
        <v>8.4604215672274528</v>
      </c>
      <c r="AM27" s="189">
        <v>7.9730459989366764</v>
      </c>
      <c r="AN27" s="189">
        <v>7.9161197619929249</v>
      </c>
      <c r="AO27" s="189">
        <v>8.1044090824218635</v>
      </c>
      <c r="AP27" s="188">
        <v>8.8454940907939719</v>
      </c>
      <c r="AQ27" s="91" t="str">
        <f t="shared" si="32"/>
        <v>40-44</v>
      </c>
      <c r="AR27" s="189">
        <v>128.62610521670734</v>
      </c>
      <c r="AS27" s="189">
        <v>136.39037289914091</v>
      </c>
      <c r="AT27" s="189">
        <v>148.07052492494154</v>
      </c>
      <c r="AU27" s="189">
        <v>154.31647948721056</v>
      </c>
      <c r="AV27" s="188">
        <v>171.30987767008435</v>
      </c>
      <c r="AW27" s="189"/>
      <c r="AX27" s="189">
        <v>125.76772964125814</v>
      </c>
      <c r="AY27" s="189">
        <v>133.35947800784845</v>
      </c>
      <c r="AZ27" s="189">
        <v>144.78005921667193</v>
      </c>
      <c r="BA27" s="189">
        <v>150.88727091047099</v>
      </c>
      <c r="BB27" s="188">
        <v>167.50296624498654</v>
      </c>
      <c r="BC27" s="189"/>
      <c r="BD27" s="189">
        <v>2.8583755754492008</v>
      </c>
      <c r="BE27" s="189">
        <v>3.030894891292423</v>
      </c>
      <c r="BF27" s="189">
        <v>3.2904657082695943</v>
      </c>
      <c r="BG27" s="189">
        <v>3.4292085767395757</v>
      </c>
      <c r="BH27" s="188">
        <v>3.8069114250978413</v>
      </c>
    </row>
    <row r="28" spans="1:60" x14ac:dyDescent="0.2">
      <c r="A28" s="91" t="str">
        <f>$A$14</f>
        <v>45-49</v>
      </c>
      <c r="B28" s="189">
        <v>133.05883203982552</v>
      </c>
      <c r="C28" s="189">
        <v>130.62922404585686</v>
      </c>
      <c r="D28" s="189">
        <v>99.593963362259984</v>
      </c>
      <c r="E28" s="189">
        <v>77.436632042573009</v>
      </c>
      <c r="F28" s="188">
        <v>59.492715137111858</v>
      </c>
      <c r="G28" s="189"/>
      <c r="H28" s="189">
        <v>45.027200591392536</v>
      </c>
      <c r="I28" s="189">
        <v>44.204981813015024</v>
      </c>
      <c r="J28" s="189">
        <v>33.702642640591492</v>
      </c>
      <c r="K28" s="189">
        <v>26.204594261379921</v>
      </c>
      <c r="L28" s="188">
        <v>20.132393786098973</v>
      </c>
      <c r="M28" s="189"/>
      <c r="N28" s="189">
        <v>88.031631448432989</v>
      </c>
      <c r="O28" s="189">
        <v>86.424242232841848</v>
      </c>
      <c r="P28" s="189">
        <v>65.891320721668478</v>
      </c>
      <c r="Q28" s="189">
        <v>51.232037781193085</v>
      </c>
      <c r="R28" s="188">
        <v>39.360321351012892</v>
      </c>
      <c r="S28" s="189"/>
      <c r="T28" s="189">
        <v>0</v>
      </c>
      <c r="U28" s="189">
        <v>0</v>
      </c>
      <c r="V28" s="189">
        <v>0</v>
      </c>
      <c r="W28" s="189">
        <v>0</v>
      </c>
      <c r="X28" s="188">
        <v>0</v>
      </c>
      <c r="Y28" s="91" t="str">
        <f>$A$14</f>
        <v>45-49</v>
      </c>
      <c r="Z28" s="189">
        <v>147.70040930140374</v>
      </c>
      <c r="AA28" s="189">
        <v>150.78309476094216</v>
      </c>
      <c r="AB28" s="189">
        <v>165.92406107867228</v>
      </c>
      <c r="AC28" s="189">
        <v>170.02775905499576</v>
      </c>
      <c r="AD28" s="188">
        <v>173.29143493241449</v>
      </c>
      <c r="AE28" s="189"/>
      <c r="AF28" s="189">
        <v>141.54694322175274</v>
      </c>
      <c r="AG28" s="189">
        <v>144.50116492117996</v>
      </c>
      <c r="AH28" s="189">
        <v>159.01136074679223</v>
      </c>
      <c r="AI28" s="189">
        <v>162.94414401206637</v>
      </c>
      <c r="AJ28" s="188">
        <v>166.07180166684751</v>
      </c>
      <c r="AK28" s="189"/>
      <c r="AL28" s="189">
        <v>6.1534660796509844</v>
      </c>
      <c r="AM28" s="189">
        <v>6.2819298397621735</v>
      </c>
      <c r="AN28" s="189">
        <v>6.9127003318800542</v>
      </c>
      <c r="AO28" s="189">
        <v>7.0836150429293721</v>
      </c>
      <c r="AP28" s="188">
        <v>7.2196332655670084</v>
      </c>
      <c r="AQ28" s="91" t="str">
        <f t="shared" si="32"/>
        <v>45-49</v>
      </c>
      <c r="AR28" s="189">
        <v>123.31275865877076</v>
      </c>
      <c r="AS28" s="189">
        <v>132.41368119320103</v>
      </c>
      <c r="AT28" s="189">
        <v>140.53797555906777</v>
      </c>
      <c r="AU28" s="189">
        <v>145.28260890243126</v>
      </c>
      <c r="AV28" s="188">
        <v>149.41884993047367</v>
      </c>
      <c r="AW28" s="189"/>
      <c r="AX28" s="189">
        <v>120.05066515719325</v>
      </c>
      <c r="AY28" s="189">
        <v>128.91090449693274</v>
      </c>
      <c r="AZ28" s="189">
        <v>136.82028565996129</v>
      </c>
      <c r="BA28" s="189">
        <v>141.4394248982336</v>
      </c>
      <c r="BB28" s="188">
        <v>145.46618310656098</v>
      </c>
      <c r="BC28" s="189"/>
      <c r="BD28" s="189">
        <v>3.2620935015775157</v>
      </c>
      <c r="BE28" s="189">
        <v>3.5027766962682798</v>
      </c>
      <c r="BF28" s="189">
        <v>3.7176898991064919</v>
      </c>
      <c r="BG28" s="189">
        <v>3.8431840041976795</v>
      </c>
      <c r="BH28" s="188">
        <v>3.952666823912681</v>
      </c>
    </row>
    <row r="29" spans="1:60" x14ac:dyDescent="0.2">
      <c r="A29" s="91" t="str">
        <f>$A$15</f>
        <v>50-54</v>
      </c>
      <c r="B29" s="189">
        <v>142.62528866518252</v>
      </c>
      <c r="C29" s="189">
        <v>144.67879652164194</v>
      </c>
      <c r="D29" s="189">
        <v>129.89288976403338</v>
      </c>
      <c r="E29" s="189">
        <v>108.5906384249285</v>
      </c>
      <c r="F29" s="188">
        <v>88.797023806023716</v>
      </c>
      <c r="G29" s="189"/>
      <c r="H29" s="189">
        <v>58.809677206890292</v>
      </c>
      <c r="I29" s="189">
        <v>59.656444402939428</v>
      </c>
      <c r="J29" s="189">
        <v>53.559622114055813</v>
      </c>
      <c r="K29" s="189">
        <v>44.77589197427843</v>
      </c>
      <c r="L29" s="188">
        <v>36.614290916009523</v>
      </c>
      <c r="M29" s="189"/>
      <c r="N29" s="189">
        <v>83.815611458292224</v>
      </c>
      <c r="O29" s="189">
        <v>85.022352118702528</v>
      </c>
      <c r="P29" s="189">
        <v>76.333267649977572</v>
      </c>
      <c r="Q29" s="189">
        <v>63.814746450650077</v>
      </c>
      <c r="R29" s="188">
        <v>52.182732890014194</v>
      </c>
      <c r="S29" s="189"/>
      <c r="T29" s="189">
        <v>0</v>
      </c>
      <c r="U29" s="189">
        <v>0</v>
      </c>
      <c r="V29" s="189">
        <v>0</v>
      </c>
      <c r="W29" s="189">
        <v>0</v>
      </c>
      <c r="X29" s="188">
        <v>0</v>
      </c>
      <c r="Y29" s="91" t="str">
        <f>$A$15</f>
        <v>50-54</v>
      </c>
      <c r="Z29" s="189">
        <v>128.12433076039389</v>
      </c>
      <c r="AA29" s="189">
        <v>131.63132793945925</v>
      </c>
      <c r="AB29" s="189">
        <v>150.56527705284162</v>
      </c>
      <c r="AC29" s="189">
        <v>157.47681805010433</v>
      </c>
      <c r="AD29" s="188">
        <v>161.81424705237774</v>
      </c>
      <c r="AE29" s="189"/>
      <c r="AF29" s="189">
        <v>122.55278649675924</v>
      </c>
      <c r="AG29" s="189">
        <v>125.90722170135525</v>
      </c>
      <c r="AH29" s="189">
        <v>144.01786562915689</v>
      </c>
      <c r="AI29" s="189">
        <v>150.62881683229153</v>
      </c>
      <c r="AJ29" s="188">
        <v>154.77764225506792</v>
      </c>
      <c r="AK29" s="189"/>
      <c r="AL29" s="189">
        <v>5.5715442636346637</v>
      </c>
      <c r="AM29" s="189">
        <v>5.7241062381040022</v>
      </c>
      <c r="AN29" s="189">
        <v>6.5474114236847223</v>
      </c>
      <c r="AO29" s="189">
        <v>6.848001217812798</v>
      </c>
      <c r="AP29" s="188">
        <v>7.0366047973098143</v>
      </c>
      <c r="AQ29" s="91" t="str">
        <f t="shared" si="32"/>
        <v>50-54</v>
      </c>
      <c r="AR29" s="189">
        <v>99.533380574423589</v>
      </c>
      <c r="AS29" s="189">
        <v>107.85887553889877</v>
      </c>
      <c r="AT29" s="189">
        <v>131.66083318312499</v>
      </c>
      <c r="AU29" s="189">
        <v>136.99154352496717</v>
      </c>
      <c r="AV29" s="188">
        <v>140.23672914159854</v>
      </c>
      <c r="AW29" s="189"/>
      <c r="AX29" s="189">
        <v>96.536032850777929</v>
      </c>
      <c r="AY29" s="189">
        <v>104.61089167560138</v>
      </c>
      <c r="AZ29" s="189">
        <v>127.6960784524572</v>
      </c>
      <c r="BA29" s="189">
        <v>132.86627000855998</v>
      </c>
      <c r="BB29" s="188">
        <v>136.01369492085831</v>
      </c>
      <c r="BC29" s="189"/>
      <c r="BD29" s="189">
        <v>2.9973477236456505</v>
      </c>
      <c r="BE29" s="189">
        <v>3.2479838632974087</v>
      </c>
      <c r="BF29" s="189">
        <v>3.9647547306677895</v>
      </c>
      <c r="BG29" s="189">
        <v>4.1252735164071801</v>
      </c>
      <c r="BH29" s="188">
        <v>4.2230342207402218</v>
      </c>
    </row>
    <row r="30" spans="1:60" x14ac:dyDescent="0.2">
      <c r="A30" s="91" t="str">
        <f>$A$16</f>
        <v>55-59</v>
      </c>
      <c r="B30" s="189">
        <v>142.02345355885194</v>
      </c>
      <c r="C30" s="189">
        <v>143.44952230302076</v>
      </c>
      <c r="D30" s="189">
        <v>139.14959212331905</v>
      </c>
      <c r="E30" s="189">
        <v>133.10606492478584</v>
      </c>
      <c r="F30" s="188">
        <v>109.14650779855604</v>
      </c>
      <c r="G30" s="189"/>
      <c r="H30" s="189">
        <v>65.471577847382605</v>
      </c>
      <c r="I30" s="189">
        <v>66.128938994656224</v>
      </c>
      <c r="J30" s="189">
        <v>64.146760401718026</v>
      </c>
      <c r="K30" s="189">
        <v>61.360743377948751</v>
      </c>
      <c r="L30" s="188">
        <v>50.315564885494574</v>
      </c>
      <c r="M30" s="189"/>
      <c r="N30" s="189">
        <v>76.551875711469307</v>
      </c>
      <c r="O30" s="189">
        <v>77.320583308364533</v>
      </c>
      <c r="P30" s="189">
        <v>75.002831721601012</v>
      </c>
      <c r="Q30" s="189">
        <v>71.74532154683709</v>
      </c>
      <c r="R30" s="188">
        <v>58.830942913061456</v>
      </c>
      <c r="S30" s="189"/>
      <c r="T30" s="189">
        <v>0</v>
      </c>
      <c r="U30" s="189">
        <v>0</v>
      </c>
      <c r="V30" s="189">
        <v>0</v>
      </c>
      <c r="W30" s="189">
        <v>0</v>
      </c>
      <c r="X30" s="188">
        <v>0</v>
      </c>
      <c r="Y30" s="91" t="str">
        <f>$A$16</f>
        <v>55-59</v>
      </c>
      <c r="Z30" s="189">
        <v>109.05588764571488</v>
      </c>
      <c r="AA30" s="189">
        <v>103.02668159053177</v>
      </c>
      <c r="AB30" s="189">
        <v>125.61808852626254</v>
      </c>
      <c r="AC30" s="189">
        <v>146.63086089061352</v>
      </c>
      <c r="AD30" s="188">
        <v>154.81770782548793</v>
      </c>
      <c r="AE30" s="189"/>
      <c r="AF30" s="189">
        <v>103.75944425598405</v>
      </c>
      <c r="AG30" s="189">
        <v>98.023014500202649</v>
      </c>
      <c r="AH30" s="189">
        <v>119.51727296970975</v>
      </c>
      <c r="AI30" s="189">
        <v>139.509472215926</v>
      </c>
      <c r="AJ30" s="188">
        <v>147.29874653579841</v>
      </c>
      <c r="AK30" s="189"/>
      <c r="AL30" s="189">
        <v>5.296443389730813</v>
      </c>
      <c r="AM30" s="189">
        <v>5.0036670903291043</v>
      </c>
      <c r="AN30" s="189">
        <v>6.1008155565527895</v>
      </c>
      <c r="AO30" s="189">
        <v>7.1213886746875295</v>
      </c>
      <c r="AP30" s="188">
        <v>7.5189612896894937</v>
      </c>
      <c r="AQ30" s="91" t="str">
        <f t="shared" si="32"/>
        <v>55-59</v>
      </c>
      <c r="AR30" s="189">
        <v>86.859658795433134</v>
      </c>
      <c r="AS30" s="189">
        <v>96.998796106447443</v>
      </c>
      <c r="AT30" s="189">
        <v>110.9803193504184</v>
      </c>
      <c r="AU30" s="189">
        <v>123.37107418460066</v>
      </c>
      <c r="AV30" s="188">
        <v>131.50178437595608</v>
      </c>
      <c r="AW30" s="189"/>
      <c r="AX30" s="189">
        <v>84.146035314499002</v>
      </c>
      <c r="AY30" s="189">
        <v>93.968368312463639</v>
      </c>
      <c r="AZ30" s="189">
        <v>107.5131451192468</v>
      </c>
      <c r="BA30" s="189">
        <v>119.51673817354288</v>
      </c>
      <c r="BB30" s="188">
        <v>127.3934508351265</v>
      </c>
      <c r="BC30" s="189"/>
      <c r="BD30" s="189">
        <v>2.7136234809341366</v>
      </c>
      <c r="BE30" s="189">
        <v>3.030427793983804</v>
      </c>
      <c r="BF30" s="189">
        <v>3.4671742311715938</v>
      </c>
      <c r="BG30" s="189">
        <v>3.8543360110577858</v>
      </c>
      <c r="BH30" s="188">
        <v>4.1083335408295882</v>
      </c>
    </row>
    <row r="31" spans="1:60" x14ac:dyDescent="0.2">
      <c r="A31" s="91" t="str">
        <f>$A$17</f>
        <v>60-64</v>
      </c>
      <c r="B31" s="189">
        <v>135.20871159850742</v>
      </c>
      <c r="C31" s="189">
        <v>139.14227803640441</v>
      </c>
      <c r="D31" s="189">
        <v>130.14619876262617</v>
      </c>
      <c r="E31" s="189">
        <v>116.92965912610188</v>
      </c>
      <c r="F31" s="188">
        <v>97.821165625616288</v>
      </c>
      <c r="G31" s="189"/>
      <c r="H31" s="189">
        <v>70.289274754240722</v>
      </c>
      <c r="I31" s="189">
        <v>72.334142210216811</v>
      </c>
      <c r="J31" s="189">
        <v>67.657493952962056</v>
      </c>
      <c r="K31" s="189">
        <v>60.786778379352796</v>
      </c>
      <c r="L31" s="188">
        <v>50.853075153050249</v>
      </c>
      <c r="M31" s="189"/>
      <c r="N31" s="189">
        <v>64.919436844266713</v>
      </c>
      <c r="O31" s="189">
        <v>66.808135826187581</v>
      </c>
      <c r="P31" s="189">
        <v>62.488704809664121</v>
      </c>
      <c r="Q31" s="189">
        <v>56.142880746749078</v>
      </c>
      <c r="R31" s="188">
        <v>46.968090472566033</v>
      </c>
      <c r="S31" s="189"/>
      <c r="T31" s="189">
        <v>0</v>
      </c>
      <c r="U31" s="189">
        <v>0</v>
      </c>
      <c r="V31" s="189">
        <v>0</v>
      </c>
      <c r="W31" s="189">
        <v>0</v>
      </c>
      <c r="X31" s="188">
        <v>0</v>
      </c>
      <c r="Y31" s="91" t="str">
        <f>$A$17</f>
        <v>60-64</v>
      </c>
      <c r="Z31" s="189">
        <v>86.312916170074814</v>
      </c>
      <c r="AA31" s="189">
        <v>87.978682675397692</v>
      </c>
      <c r="AB31" s="189">
        <v>102.45961005200583</v>
      </c>
      <c r="AC31" s="189">
        <v>124.91232684164649</v>
      </c>
      <c r="AD31" s="188">
        <v>146.90533839921289</v>
      </c>
      <c r="AE31" s="189"/>
      <c r="AF31" s="189">
        <v>82.494145323393639</v>
      </c>
      <c r="AG31" s="189">
        <v>84.086253978523061</v>
      </c>
      <c r="AH31" s="189">
        <v>97.926456664959204</v>
      </c>
      <c r="AI31" s="189">
        <v>119.38584315305835</v>
      </c>
      <c r="AJ31" s="188">
        <v>140.40583035374158</v>
      </c>
      <c r="AK31" s="189"/>
      <c r="AL31" s="189">
        <v>3.8187708466811769</v>
      </c>
      <c r="AM31" s="189">
        <v>3.8924286968746324</v>
      </c>
      <c r="AN31" s="189">
        <v>4.533153387046621</v>
      </c>
      <c r="AO31" s="189">
        <v>5.5264836885881472</v>
      </c>
      <c r="AP31" s="188">
        <v>6.4995080454712904</v>
      </c>
      <c r="AQ31" s="91" t="str">
        <f t="shared" si="32"/>
        <v>60-64</v>
      </c>
      <c r="AR31" s="189">
        <v>67.855372231417789</v>
      </c>
      <c r="AS31" s="189">
        <v>83.945039288197918</v>
      </c>
      <c r="AT31" s="189">
        <v>95.468191185367971</v>
      </c>
      <c r="AU31" s="189">
        <v>119.10401403225165</v>
      </c>
      <c r="AV31" s="188">
        <v>144.11749597517081</v>
      </c>
      <c r="AW31" s="189"/>
      <c r="AX31" s="189">
        <v>65.304426563134072</v>
      </c>
      <c r="AY31" s="189">
        <v>80.789147061586561</v>
      </c>
      <c r="AZ31" s="189">
        <v>91.879108865414764</v>
      </c>
      <c r="BA31" s="189">
        <v>114.62635921396409</v>
      </c>
      <c r="BB31" s="188">
        <v>138.69950783520864</v>
      </c>
      <c r="BC31" s="189"/>
      <c r="BD31" s="189">
        <v>2.5509456682837173</v>
      </c>
      <c r="BE31" s="189">
        <v>3.1558922266113782</v>
      </c>
      <c r="BF31" s="189">
        <v>3.5890823199532207</v>
      </c>
      <c r="BG31" s="189">
        <v>4.4776548182875615</v>
      </c>
      <c r="BH31" s="188">
        <v>5.4179881399621461</v>
      </c>
    </row>
    <row r="32" spans="1:60" x14ac:dyDescent="0.2">
      <c r="A32" s="91" t="str">
        <f>$A$18</f>
        <v>65+</v>
      </c>
      <c r="B32" s="189">
        <v>413.27348346987924</v>
      </c>
      <c r="C32" s="189">
        <v>413.22199816727857</v>
      </c>
      <c r="D32" s="189">
        <v>382.42661647142006</v>
      </c>
      <c r="E32" s="189">
        <v>344.26916975565996</v>
      </c>
      <c r="F32" s="188">
        <v>299.66486973953153</v>
      </c>
      <c r="G32" s="189"/>
      <c r="H32" s="189">
        <v>280.86103102264485</v>
      </c>
      <c r="I32" s="189">
        <v>280.82599650665259</v>
      </c>
      <c r="J32" s="189">
        <v>259.89747790143747</v>
      </c>
      <c r="K32" s="189">
        <v>233.96563126418033</v>
      </c>
      <c r="L32" s="188">
        <v>203.65250932991842</v>
      </c>
      <c r="M32" s="189"/>
      <c r="N32" s="189">
        <v>132.41245244723444</v>
      </c>
      <c r="O32" s="189">
        <v>132.39600166062604</v>
      </c>
      <c r="P32" s="189">
        <v>122.52913856998256</v>
      </c>
      <c r="Q32" s="189">
        <v>110.30353849147959</v>
      </c>
      <c r="R32" s="188">
        <v>96.012360409613152</v>
      </c>
      <c r="S32" s="189"/>
      <c r="T32" s="189">
        <v>0</v>
      </c>
      <c r="U32" s="189">
        <v>0</v>
      </c>
      <c r="V32" s="189">
        <v>0</v>
      </c>
      <c r="W32" s="189">
        <v>0</v>
      </c>
      <c r="X32" s="188">
        <v>0</v>
      </c>
      <c r="Y32" s="91" t="str">
        <f>$A$18</f>
        <v>65+</v>
      </c>
      <c r="Z32" s="189">
        <v>183.28798651698779</v>
      </c>
      <c r="AA32" s="189">
        <v>198.84833199585475</v>
      </c>
      <c r="AB32" s="189">
        <v>264.78812722486305</v>
      </c>
      <c r="AC32" s="189">
        <v>324.20846857729254</v>
      </c>
      <c r="AD32" s="188">
        <v>390.52526772257721</v>
      </c>
      <c r="AE32" s="189"/>
      <c r="AF32" s="189">
        <v>175.04417159553057</v>
      </c>
      <c r="AG32" s="189">
        <v>189.90464961003784</v>
      </c>
      <c r="AH32" s="189">
        <v>252.8787207130141</v>
      </c>
      <c r="AI32" s="189">
        <v>309.62643682093773</v>
      </c>
      <c r="AJ32" s="188">
        <v>372.96056409867555</v>
      </c>
      <c r="AK32" s="189"/>
      <c r="AL32" s="189">
        <v>8.243814921457215</v>
      </c>
      <c r="AM32" s="189">
        <v>8.9436823858169294</v>
      </c>
      <c r="AN32" s="189">
        <v>11.909406511848935</v>
      </c>
      <c r="AO32" s="189">
        <v>14.582031756354773</v>
      </c>
      <c r="AP32" s="188">
        <v>17.564703623901661</v>
      </c>
      <c r="AQ32" s="91" t="str">
        <f t="shared" si="32"/>
        <v>65+</v>
      </c>
      <c r="AR32" s="189">
        <v>164.37253001313297</v>
      </c>
      <c r="AS32" s="189">
        <v>172.14466983686671</v>
      </c>
      <c r="AT32" s="189">
        <v>232.36725630371686</v>
      </c>
      <c r="AU32" s="189">
        <v>309.43936166704759</v>
      </c>
      <c r="AV32" s="188">
        <v>407.37086253789136</v>
      </c>
      <c r="AW32" s="189"/>
      <c r="AX32" s="189">
        <v>157.65906224959758</v>
      </c>
      <c r="AY32" s="189">
        <v>165.11377610213441</v>
      </c>
      <c r="AZ32" s="189">
        <v>222.87664185404887</v>
      </c>
      <c r="BA32" s="189">
        <v>296.80092091622549</v>
      </c>
      <c r="BB32" s="188">
        <v>390.73259978076936</v>
      </c>
      <c r="BC32" s="189"/>
      <c r="BD32" s="189">
        <v>6.7134677635354318</v>
      </c>
      <c r="BE32" s="189">
        <v>7.0308937347323051</v>
      </c>
      <c r="BF32" s="189">
        <v>9.4906144496679747</v>
      </c>
      <c r="BG32" s="189">
        <v>12.63844075082217</v>
      </c>
      <c r="BH32" s="188">
        <v>16.638262757122035</v>
      </c>
    </row>
    <row r="33" spans="1:60" x14ac:dyDescent="0.2">
      <c r="B33" s="189"/>
      <c r="C33" s="189"/>
      <c r="D33" s="189"/>
      <c r="E33" s="189"/>
      <c r="F33" s="188"/>
      <c r="G33" s="188"/>
      <c r="H33" s="188"/>
      <c r="I33" s="188"/>
      <c r="J33" s="188"/>
      <c r="K33" s="188"/>
      <c r="L33" s="188"/>
      <c r="M33" s="188"/>
      <c r="N33" s="188"/>
      <c r="O33" s="188"/>
      <c r="P33" s="188"/>
      <c r="Q33" s="188"/>
      <c r="R33" s="188"/>
      <c r="S33" s="188"/>
      <c r="T33" s="94"/>
      <c r="U33" s="94"/>
      <c r="V33" s="94"/>
      <c r="W33" s="94"/>
      <c r="X33" s="94"/>
      <c r="Z33" s="189"/>
      <c r="AA33" s="189"/>
      <c r="AB33" s="189"/>
      <c r="AC33" s="189"/>
      <c r="AD33" s="188"/>
      <c r="AE33" s="188"/>
      <c r="AF33" s="188"/>
      <c r="AG33" s="188"/>
      <c r="AH33" s="188"/>
      <c r="AI33" s="188"/>
      <c r="AJ33" s="188"/>
      <c r="AK33" s="188"/>
      <c r="AL33" s="188"/>
      <c r="AM33" s="188"/>
      <c r="AN33" s="188"/>
      <c r="AO33" s="188"/>
      <c r="AP33" s="188"/>
      <c r="AR33" s="189"/>
      <c r="AS33" s="189"/>
      <c r="AT33" s="189"/>
      <c r="AU33" s="189"/>
      <c r="AV33" s="188"/>
      <c r="AW33" s="188"/>
      <c r="AX33" s="188"/>
      <c r="AY33" s="188"/>
      <c r="AZ33" s="188"/>
      <c r="BA33" s="188"/>
      <c r="BB33" s="188"/>
      <c r="BC33" s="188"/>
      <c r="BD33" s="188"/>
      <c r="BE33" s="188"/>
      <c r="BF33" s="188"/>
      <c r="BG33" s="188"/>
      <c r="BH33" s="188"/>
    </row>
    <row r="34" spans="1:60" x14ac:dyDescent="0.2">
      <c r="A34" s="114" t="s">
        <v>105</v>
      </c>
      <c r="B34" s="189"/>
      <c r="C34" s="189"/>
      <c r="D34" s="189"/>
      <c r="E34" s="189"/>
      <c r="F34" s="188"/>
      <c r="G34" s="188"/>
      <c r="H34" s="188"/>
      <c r="I34" s="188"/>
      <c r="J34" s="188"/>
      <c r="K34" s="188"/>
      <c r="L34" s="188"/>
      <c r="M34" s="188"/>
      <c r="N34" s="188"/>
      <c r="O34" s="188"/>
      <c r="P34" s="188"/>
      <c r="Q34" s="188"/>
      <c r="R34" s="188"/>
      <c r="S34" s="188"/>
      <c r="T34" s="94"/>
      <c r="U34" s="94"/>
      <c r="V34" s="94"/>
      <c r="W34" s="94"/>
      <c r="X34" s="94"/>
      <c r="Y34" s="114" t="str">
        <f>A34</f>
        <v>Females</v>
      </c>
      <c r="Z34" s="94"/>
      <c r="AA34" s="94"/>
      <c r="AB34" s="94"/>
      <c r="AC34" s="94"/>
      <c r="AD34" s="188"/>
      <c r="AE34" s="188"/>
      <c r="AF34" s="188"/>
      <c r="AG34" s="188"/>
      <c r="AH34" s="188"/>
      <c r="AI34" s="188"/>
      <c r="AJ34" s="188"/>
      <c r="AK34" s="188"/>
      <c r="AL34" s="188"/>
      <c r="AM34" s="188"/>
      <c r="AN34" s="188"/>
      <c r="AO34" s="188"/>
      <c r="AP34" s="188"/>
      <c r="AQ34" s="114" t="str">
        <f>A34</f>
        <v>Females</v>
      </c>
      <c r="AR34" s="94"/>
      <c r="AS34" s="94"/>
      <c r="AT34" s="94"/>
      <c r="AU34" s="94"/>
      <c r="AV34" s="188"/>
      <c r="AW34" s="188"/>
      <c r="AX34" s="188"/>
      <c r="AY34" s="188"/>
      <c r="AZ34" s="188"/>
      <c r="BA34" s="188"/>
      <c r="BB34" s="188"/>
      <c r="BC34" s="188"/>
      <c r="BD34" s="188"/>
      <c r="BE34" s="188"/>
      <c r="BF34" s="188"/>
      <c r="BG34" s="188"/>
      <c r="BH34" s="188"/>
    </row>
    <row r="35" spans="1:60" x14ac:dyDescent="0.2">
      <c r="A35" s="91" t="str">
        <f>$A$7</f>
        <v>15+</v>
      </c>
      <c r="B35" s="189">
        <f>SUM(B36:B46)</f>
        <v>1839.2166575000715</v>
      </c>
      <c r="C35" s="189">
        <f t="shared" ref="C35:F35" si="33">SUM(C36:C46)</f>
        <v>1786.0603742980511</v>
      </c>
      <c r="D35" s="189">
        <f t="shared" si="33"/>
        <v>1572.103997262989</v>
      </c>
      <c r="E35" s="189">
        <f t="shared" si="33"/>
        <v>1350.9626109662327</v>
      </c>
      <c r="F35" s="189">
        <f t="shared" si="33"/>
        <v>1143.3207917146487</v>
      </c>
      <c r="G35" s="188"/>
      <c r="H35" s="189">
        <f>SUM(H36:H46)</f>
        <v>963.2794859618532</v>
      </c>
      <c r="I35" s="189">
        <f t="shared" ref="I35:L35" si="34">SUM(I36:I46)</f>
        <v>932.67382880597597</v>
      </c>
      <c r="J35" s="189">
        <f t="shared" si="34"/>
        <v>822.41738994957336</v>
      </c>
      <c r="K35" s="189">
        <f t="shared" si="34"/>
        <v>699.51116772963974</v>
      </c>
      <c r="L35" s="189">
        <f t="shared" si="34"/>
        <v>576.46624793891874</v>
      </c>
      <c r="M35" s="188"/>
      <c r="N35" s="189">
        <f>SUM(N36:N46)</f>
        <v>875.93717153821831</v>
      </c>
      <c r="O35" s="189">
        <f t="shared" ref="O35:R35" si="35">SUM(O36:O46)</f>
        <v>853.38654549207513</v>
      </c>
      <c r="P35" s="189">
        <f t="shared" si="35"/>
        <v>749.68660731341538</v>
      </c>
      <c r="Q35" s="189">
        <f t="shared" si="35"/>
        <v>651.45144323659315</v>
      </c>
      <c r="R35" s="189">
        <f t="shared" si="35"/>
        <v>566.85454377573012</v>
      </c>
      <c r="S35" s="188"/>
      <c r="T35" s="189">
        <f>SUM(T36:T46)</f>
        <v>0</v>
      </c>
      <c r="U35" s="189">
        <f t="shared" ref="U35:X35" si="36">SUM(U36:U46)</f>
        <v>0</v>
      </c>
      <c r="V35" s="189">
        <f t="shared" si="36"/>
        <v>0</v>
      </c>
      <c r="W35" s="189">
        <f t="shared" si="36"/>
        <v>0</v>
      </c>
      <c r="X35" s="189">
        <f t="shared" si="36"/>
        <v>0</v>
      </c>
      <c r="Y35" s="91" t="str">
        <f>$A$7</f>
        <v>15+</v>
      </c>
      <c r="Z35" s="189">
        <f>SUM(Z36:Z46)</f>
        <v>1514.4894356563314</v>
      </c>
      <c r="AA35" s="189">
        <f t="shared" ref="AA35:AD35" si="37">SUM(AA36:AA46)</f>
        <v>1503.6765075089238</v>
      </c>
      <c r="AB35" s="189">
        <f t="shared" si="37"/>
        <v>1659.9026427502681</v>
      </c>
      <c r="AC35" s="189">
        <f t="shared" si="37"/>
        <v>1797.4464428451124</v>
      </c>
      <c r="AD35" s="189">
        <f t="shared" si="37"/>
        <v>1939.4301277122679</v>
      </c>
      <c r="AE35" s="189"/>
      <c r="AF35" s="189">
        <f>SUM(AF36:AF46)</f>
        <v>1427.6490102140683</v>
      </c>
      <c r="AG35" s="189">
        <f t="shared" ref="AG35:AJ35" si="38">SUM(AG36:AG46)</f>
        <v>1417.9494245743583</v>
      </c>
      <c r="AH35" s="189">
        <f t="shared" si="38"/>
        <v>1565.6898030959378</v>
      </c>
      <c r="AI35" s="189">
        <f t="shared" si="38"/>
        <v>1695.8037388732168</v>
      </c>
      <c r="AJ35" s="189">
        <f t="shared" si="38"/>
        <v>1830.7085872896366</v>
      </c>
      <c r="AK35" s="189"/>
      <c r="AL35" s="189">
        <f>SUM(AL36:AL46)</f>
        <v>86.840425442262955</v>
      </c>
      <c r="AM35" s="189">
        <f t="shared" ref="AM35:AP35" si="39">SUM(AM36:AM46)</f>
        <v>85.727082934565459</v>
      </c>
      <c r="AN35" s="189">
        <f t="shared" si="39"/>
        <v>94.212839654330281</v>
      </c>
      <c r="AO35" s="189">
        <f t="shared" si="39"/>
        <v>101.64270397189549</v>
      </c>
      <c r="AP35" s="189">
        <f t="shared" si="39"/>
        <v>108.72154042263139</v>
      </c>
      <c r="AQ35" s="91" t="str">
        <f>$A$7</f>
        <v>15+</v>
      </c>
      <c r="AR35" s="189">
        <f>SUM(AR36:AR46)</f>
        <v>1208.4819068435977</v>
      </c>
      <c r="AS35" s="189">
        <f t="shared" ref="AS35:AV35" si="40">SUM(AS36:AS46)</f>
        <v>1342.1641181930254</v>
      </c>
      <c r="AT35" s="189">
        <f t="shared" si="40"/>
        <v>1576.2403599867432</v>
      </c>
      <c r="AU35" s="189">
        <f t="shared" si="40"/>
        <v>1829.5899461886547</v>
      </c>
      <c r="AV35" s="189">
        <f t="shared" si="40"/>
        <v>2104.1100805730839</v>
      </c>
      <c r="AW35" s="189"/>
      <c r="AX35" s="189">
        <f>SUM(AX36:AX46)</f>
        <v>1195.8231128172695</v>
      </c>
      <c r="AY35" s="189">
        <f t="shared" ref="AY35:BB35" si="41">SUM(AY36:AY46)</f>
        <v>1327.9996346900398</v>
      </c>
      <c r="AZ35" s="189">
        <f t="shared" si="41"/>
        <v>1559.651180973065</v>
      </c>
      <c r="BA35" s="189">
        <f t="shared" si="41"/>
        <v>1810.1453176220125</v>
      </c>
      <c r="BB35" s="189">
        <f t="shared" si="41"/>
        <v>2081.5851755357075</v>
      </c>
      <c r="BC35" s="189"/>
      <c r="BD35" s="189">
        <f>SUM(BD36:BD46)</f>
        <v>12.658794026328057</v>
      </c>
      <c r="BE35" s="189">
        <f t="shared" ref="BE35:BH35" si="42">SUM(BE36:BE46)</f>
        <v>14.164483502985499</v>
      </c>
      <c r="BF35" s="189">
        <f t="shared" si="42"/>
        <v>16.589179013678287</v>
      </c>
      <c r="BG35" s="189">
        <f t="shared" si="42"/>
        <v>19.444628566642407</v>
      </c>
      <c r="BH35" s="189">
        <f t="shared" si="42"/>
        <v>22.524905037375824</v>
      </c>
    </row>
    <row r="36" spans="1:60" x14ac:dyDescent="0.2">
      <c r="A36" s="91" t="str">
        <f>$A$8</f>
        <v>15-19</v>
      </c>
      <c r="B36" s="189">
        <v>235.75197725192589</v>
      </c>
      <c r="C36" s="189">
        <v>235.32459036047223</v>
      </c>
      <c r="D36" s="189">
        <v>224.52607187954138</v>
      </c>
      <c r="E36" s="189">
        <v>225.53877970723389</v>
      </c>
      <c r="F36" s="188">
        <v>243.72400964127928</v>
      </c>
      <c r="G36" s="188"/>
      <c r="H36" s="189">
        <v>48.983534945390808</v>
      </c>
      <c r="I36" s="189">
        <v>48.894690177294805</v>
      </c>
      <c r="J36" s="189">
        <v>46.651003976088816</v>
      </c>
      <c r="K36" s="189">
        <v>46.861405382749254</v>
      </c>
      <c r="L36" s="188">
        <v>50.639873799695991</v>
      </c>
      <c r="M36" s="188"/>
      <c r="N36" s="189">
        <v>186.76844230653509</v>
      </c>
      <c r="O36" s="189">
        <v>186.42990018317741</v>
      </c>
      <c r="P36" s="189">
        <v>177.87506790345256</v>
      </c>
      <c r="Q36" s="189">
        <v>178.67737432448465</v>
      </c>
      <c r="R36" s="188">
        <v>193.08413584158328</v>
      </c>
      <c r="S36" s="188"/>
      <c r="T36" s="189">
        <v>0</v>
      </c>
      <c r="U36" s="189">
        <v>0</v>
      </c>
      <c r="V36" s="189">
        <v>0</v>
      </c>
      <c r="W36" s="189">
        <v>0</v>
      </c>
      <c r="X36" s="188">
        <v>0</v>
      </c>
      <c r="Y36" s="91" t="str">
        <f>$A$8</f>
        <v>15-19</v>
      </c>
      <c r="Z36" s="189">
        <v>83.569879527684336</v>
      </c>
      <c r="AA36" s="189">
        <v>82.526656420969161</v>
      </c>
      <c r="AB36" s="189">
        <v>84.494484512367791</v>
      </c>
      <c r="AC36" s="189">
        <v>90.946079800349651</v>
      </c>
      <c r="AD36" s="188">
        <v>105.28765306859901</v>
      </c>
      <c r="AE36" s="188"/>
      <c r="AF36" s="189">
        <v>82.46118212650282</v>
      </c>
      <c r="AG36" s="189">
        <v>81.431768542600082</v>
      </c>
      <c r="AH36" s="189">
        <v>83.373443742554031</v>
      </c>
      <c r="AI36" s="189">
        <v>89.739476773593154</v>
      </c>
      <c r="AJ36" s="188">
        <v>103.89079794445267</v>
      </c>
      <c r="AK36" s="188"/>
      <c r="AL36" s="189">
        <v>1.1086974011815047</v>
      </c>
      <c r="AM36" s="189">
        <v>1.0948878783690683</v>
      </c>
      <c r="AN36" s="189">
        <v>1.1210407698137705</v>
      </c>
      <c r="AO36" s="189">
        <v>1.2066030267565</v>
      </c>
      <c r="AP36" s="188">
        <v>1.3968551241463449</v>
      </c>
      <c r="AQ36" s="91" t="str">
        <f>$A$8</f>
        <v>15-19</v>
      </c>
      <c r="AR36" s="189">
        <v>0.12314322038975159</v>
      </c>
      <c r="AS36" s="189">
        <v>0.59775321855860108</v>
      </c>
      <c r="AT36" s="189">
        <v>1.4364436080908414</v>
      </c>
      <c r="AU36" s="189">
        <v>1.4711404924164426</v>
      </c>
      <c r="AV36" s="188">
        <v>1.6223372901217372</v>
      </c>
      <c r="AW36" s="188"/>
      <c r="AX36" s="189">
        <v>0.12314322038975159</v>
      </c>
      <c r="AY36" s="189">
        <v>0.59775321855860108</v>
      </c>
      <c r="AZ36" s="189">
        <v>1.4364436080908414</v>
      </c>
      <c r="BA36" s="189">
        <v>1.4711404924164426</v>
      </c>
      <c r="BB36" s="188">
        <v>1.6223372901217372</v>
      </c>
      <c r="BC36" s="188"/>
      <c r="BD36" s="189">
        <v>0</v>
      </c>
      <c r="BE36" s="189">
        <v>0</v>
      </c>
      <c r="BF36" s="189">
        <v>0</v>
      </c>
      <c r="BG36" s="189">
        <v>0</v>
      </c>
      <c r="BH36" s="188">
        <v>0</v>
      </c>
    </row>
    <row r="37" spans="1:60" x14ac:dyDescent="0.2">
      <c r="A37" s="91" t="str">
        <f>$A$9</f>
        <v>20-24</v>
      </c>
      <c r="B37" s="189">
        <v>51.28667688291447</v>
      </c>
      <c r="C37" s="189">
        <v>50.325615142463022</v>
      </c>
      <c r="D37" s="189">
        <v>41.617556806647421</v>
      </c>
      <c r="E37" s="189">
        <v>36.381749805465141</v>
      </c>
      <c r="F37" s="188">
        <v>33.131944227953063</v>
      </c>
      <c r="G37" s="188"/>
      <c r="H37" s="189">
        <v>18.958252611047016</v>
      </c>
      <c r="I37" s="189">
        <v>18.60303815545123</v>
      </c>
      <c r="J37" s="189">
        <v>15.38403685205089</v>
      </c>
      <c r="K37" s="189">
        <v>13.448615257113641</v>
      </c>
      <c r="L37" s="188">
        <v>12.247310379881396</v>
      </c>
      <c r="M37" s="188"/>
      <c r="N37" s="189">
        <v>32.328424271867455</v>
      </c>
      <c r="O37" s="189">
        <v>31.722576987011788</v>
      </c>
      <c r="P37" s="189">
        <v>26.233519954596538</v>
      </c>
      <c r="Q37" s="189">
        <v>22.9331345483515</v>
      </c>
      <c r="R37" s="188">
        <v>20.884633848071665</v>
      </c>
      <c r="S37" s="188"/>
      <c r="T37" s="189">
        <v>0</v>
      </c>
      <c r="U37" s="189">
        <v>0</v>
      </c>
      <c r="V37" s="189">
        <v>0</v>
      </c>
      <c r="W37" s="189">
        <v>0</v>
      </c>
      <c r="X37" s="188">
        <v>0</v>
      </c>
      <c r="Y37" s="91" t="str">
        <f>$A$9</f>
        <v>20-24</v>
      </c>
      <c r="Z37" s="189">
        <v>179.47599670013653</v>
      </c>
      <c r="AA37" s="189">
        <v>187.56758244877105</v>
      </c>
      <c r="AB37" s="189">
        <v>195.70388276755187</v>
      </c>
      <c r="AC37" s="189">
        <v>186.34405047249078</v>
      </c>
      <c r="AD37" s="188">
        <v>185.01228504909878</v>
      </c>
      <c r="AE37" s="188"/>
      <c r="AF37" s="189">
        <v>169.79137146665974</v>
      </c>
      <c r="AG37" s="189">
        <v>177.44629400726811</v>
      </c>
      <c r="AH37" s="189">
        <v>185.14356605643363</v>
      </c>
      <c r="AI37" s="189">
        <v>176.28878253096943</v>
      </c>
      <c r="AJ37" s="188">
        <v>175.02885632439069</v>
      </c>
      <c r="AK37" s="188"/>
      <c r="AL37" s="189">
        <v>9.6846252334768117</v>
      </c>
      <c r="AM37" s="189">
        <v>10.121288441502955</v>
      </c>
      <c r="AN37" s="189">
        <v>10.560316711118229</v>
      </c>
      <c r="AO37" s="189">
        <v>10.055267941521366</v>
      </c>
      <c r="AP37" s="188">
        <v>9.9834287247081175</v>
      </c>
      <c r="AQ37" s="91" t="str">
        <f>$A$9</f>
        <v>20-24</v>
      </c>
      <c r="AR37" s="189">
        <v>88.329326416949002</v>
      </c>
      <c r="AS37" s="189">
        <v>91.282802408765903</v>
      </c>
      <c r="AT37" s="189">
        <v>110.63256042580073</v>
      </c>
      <c r="AU37" s="189">
        <v>118.86519972204405</v>
      </c>
      <c r="AV37" s="188">
        <v>132.58977072294817</v>
      </c>
      <c r="AW37" s="188"/>
      <c r="AX37" s="189">
        <v>88.165028914454396</v>
      </c>
      <c r="AY37" s="189">
        <v>91.112930485790656</v>
      </c>
      <c r="AZ37" s="189">
        <v>110.42669182995489</v>
      </c>
      <c r="BA37" s="189">
        <v>118.644032109338</v>
      </c>
      <c r="BB37" s="188">
        <v>132.3431042203359</v>
      </c>
      <c r="BC37" s="188"/>
      <c r="BD37" s="189">
        <v>0.16429750249460409</v>
      </c>
      <c r="BE37" s="189">
        <v>0.16987192297524076</v>
      </c>
      <c r="BF37" s="189">
        <v>0.2058685958458471</v>
      </c>
      <c r="BG37" s="189">
        <v>0.2211676127060439</v>
      </c>
      <c r="BH37" s="188">
        <v>0.2466665026122716</v>
      </c>
    </row>
    <row r="38" spans="1:60" x14ac:dyDescent="0.2">
      <c r="A38" s="91" t="str">
        <f>$A$10</f>
        <v>25-29</v>
      </c>
      <c r="B38" s="189">
        <v>48.980336910061595</v>
      </c>
      <c r="C38" s="189">
        <v>58.029393144137778</v>
      </c>
      <c r="D38" s="189">
        <v>51.776100367683391</v>
      </c>
      <c r="E38" s="189">
        <v>49.053973946460331</v>
      </c>
      <c r="F38" s="188">
        <v>43.531243964596278</v>
      </c>
      <c r="G38" s="188"/>
      <c r="H38" s="189">
        <v>18.23204899869749</v>
      </c>
      <c r="I38" s="189">
        <v>21.600341017225613</v>
      </c>
      <c r="J38" s="189">
        <v>19.272660294510747</v>
      </c>
      <c r="K38" s="189">
        <v>18.259465614997644</v>
      </c>
      <c r="L38" s="188">
        <v>16.203686177787539</v>
      </c>
      <c r="M38" s="188"/>
      <c r="N38" s="189">
        <v>30.748287911364105</v>
      </c>
      <c r="O38" s="189">
        <v>36.429052126912168</v>
      </c>
      <c r="P38" s="189">
        <v>32.503440073172648</v>
      </c>
      <c r="Q38" s="189">
        <v>30.794508331462694</v>
      </c>
      <c r="R38" s="188">
        <v>27.32755778680874</v>
      </c>
      <c r="S38" s="188"/>
      <c r="T38" s="189">
        <v>0</v>
      </c>
      <c r="U38" s="189">
        <v>0</v>
      </c>
      <c r="V38" s="189">
        <v>0</v>
      </c>
      <c r="W38" s="189">
        <v>0</v>
      </c>
      <c r="X38" s="188">
        <v>0</v>
      </c>
      <c r="Y38" s="91" t="str">
        <f>$A$10</f>
        <v>25-29</v>
      </c>
      <c r="Z38" s="189">
        <v>127.78718872779281</v>
      </c>
      <c r="AA38" s="189">
        <v>119.37410820126239</v>
      </c>
      <c r="AB38" s="189">
        <v>118.02109899531821</v>
      </c>
      <c r="AC38" s="189">
        <v>118.58410734575391</v>
      </c>
      <c r="AD38" s="188">
        <v>111.69989644356696</v>
      </c>
      <c r="AE38" s="188"/>
      <c r="AF38" s="189">
        <v>117.06434284916277</v>
      </c>
      <c r="AG38" s="189">
        <v>109.35717668619014</v>
      </c>
      <c r="AH38" s="189">
        <v>108.11773722560081</v>
      </c>
      <c r="AI38" s="189">
        <v>108.63342670868553</v>
      </c>
      <c r="AJ38" s="188">
        <v>102.3269079217695</v>
      </c>
      <c r="AK38" s="188"/>
      <c r="AL38" s="189">
        <v>10.722845878630038</v>
      </c>
      <c r="AM38" s="189">
        <v>10.01693151507223</v>
      </c>
      <c r="AN38" s="189">
        <v>9.9033617697174048</v>
      </c>
      <c r="AO38" s="189">
        <v>9.9506806370683663</v>
      </c>
      <c r="AP38" s="188">
        <v>9.3729885217974456</v>
      </c>
      <c r="AQ38" s="91" t="str">
        <f>$A$10</f>
        <v>25-29</v>
      </c>
      <c r="AR38" s="189">
        <v>165.48947436214561</v>
      </c>
      <c r="AS38" s="189">
        <v>169.04449865459986</v>
      </c>
      <c r="AT38" s="189">
        <v>192.77780063699839</v>
      </c>
      <c r="AU38" s="189">
        <v>214.16091870778578</v>
      </c>
      <c r="AV38" s="188">
        <v>222.34985959183678</v>
      </c>
      <c r="AW38" s="188"/>
      <c r="AX38" s="189">
        <v>163.99516578961072</v>
      </c>
      <c r="AY38" s="189">
        <v>167.51816718569009</v>
      </c>
      <c r="AZ38" s="189">
        <v>191.03715957991898</v>
      </c>
      <c r="BA38" s="189">
        <v>212.22723208261212</v>
      </c>
      <c r="BB38" s="188">
        <v>220.34220948065195</v>
      </c>
      <c r="BC38" s="188"/>
      <c r="BD38" s="189">
        <v>1.4943085725348841</v>
      </c>
      <c r="BE38" s="189">
        <v>1.526331468909754</v>
      </c>
      <c r="BF38" s="189">
        <v>1.740641057079428</v>
      </c>
      <c r="BG38" s="189">
        <v>1.9336866251736855</v>
      </c>
      <c r="BH38" s="188">
        <v>2.0076501111848128</v>
      </c>
    </row>
    <row r="39" spans="1:60" x14ac:dyDescent="0.2">
      <c r="A39" s="91" t="str">
        <f>$A$11</f>
        <v>30-34</v>
      </c>
      <c r="B39" s="189">
        <v>48.351616200732686</v>
      </c>
      <c r="C39" s="189">
        <v>54.81450484456311</v>
      </c>
      <c r="D39" s="189">
        <v>52.150998553698685</v>
      </c>
      <c r="E39" s="189">
        <v>48.164476439532713</v>
      </c>
      <c r="F39" s="188">
        <v>40.226027639053598</v>
      </c>
      <c r="G39" s="188"/>
      <c r="H39" s="189">
        <v>20.247488689226163</v>
      </c>
      <c r="I39" s="189">
        <v>22.95380254002168</v>
      </c>
      <c r="J39" s="189">
        <v>21.838502656747391</v>
      </c>
      <c r="K39" s="189">
        <v>20.169083304063328</v>
      </c>
      <c r="L39" s="188">
        <v>16.844826452036404</v>
      </c>
      <c r="M39" s="188"/>
      <c r="N39" s="189">
        <v>28.104127511506523</v>
      </c>
      <c r="O39" s="189">
        <v>31.86070230454143</v>
      </c>
      <c r="P39" s="189">
        <v>30.312495896951297</v>
      </c>
      <c r="Q39" s="189">
        <v>27.995393135469385</v>
      </c>
      <c r="R39" s="188">
        <v>23.381201187017187</v>
      </c>
      <c r="S39" s="188"/>
      <c r="T39" s="189">
        <v>0</v>
      </c>
      <c r="U39" s="189">
        <v>0</v>
      </c>
      <c r="V39" s="189">
        <v>0</v>
      </c>
      <c r="W39" s="189">
        <v>0</v>
      </c>
      <c r="X39" s="188">
        <v>0</v>
      </c>
      <c r="Y39" s="91" t="str">
        <f>$A$11</f>
        <v>30-34</v>
      </c>
      <c r="Z39" s="189">
        <v>126.59052603481021</v>
      </c>
      <c r="AA39" s="189">
        <v>118.76404254564063</v>
      </c>
      <c r="AB39" s="189">
        <v>124.03995863874285</v>
      </c>
      <c r="AC39" s="189">
        <v>123.84674741528471</v>
      </c>
      <c r="AD39" s="188">
        <v>125.93134426917472</v>
      </c>
      <c r="AE39" s="188"/>
      <c r="AF39" s="189">
        <v>116.68034085440465</v>
      </c>
      <c r="AG39" s="189">
        <v>109.46652247600598</v>
      </c>
      <c r="AH39" s="189">
        <v>114.32946398888731</v>
      </c>
      <c r="AI39" s="189">
        <v>114.15134413116714</v>
      </c>
      <c r="AJ39" s="188">
        <v>116.0727553396063</v>
      </c>
      <c r="AK39" s="188"/>
      <c r="AL39" s="189">
        <v>9.9101851804055663</v>
      </c>
      <c r="AM39" s="189">
        <v>9.2975200696346505</v>
      </c>
      <c r="AN39" s="189">
        <v>9.7104946498555318</v>
      </c>
      <c r="AO39" s="189">
        <v>9.6954032841175852</v>
      </c>
      <c r="AP39" s="188">
        <v>9.8585889295684215</v>
      </c>
      <c r="AQ39" s="91" t="str">
        <f>$A$11</f>
        <v>30-34</v>
      </c>
      <c r="AR39" s="189">
        <v>165.33285776445709</v>
      </c>
      <c r="AS39" s="189">
        <v>173.27745260979628</v>
      </c>
      <c r="AT39" s="189">
        <v>193.84104280755847</v>
      </c>
      <c r="AU39" s="189">
        <v>212.88877614518256</v>
      </c>
      <c r="AV39" s="188">
        <v>239.55062809177167</v>
      </c>
      <c r="AW39" s="188"/>
      <c r="AX39" s="189">
        <v>163.54698646509576</v>
      </c>
      <c r="AY39" s="189">
        <v>171.40581210762247</v>
      </c>
      <c r="AZ39" s="189">
        <v>191.74726433199922</v>
      </c>
      <c r="BA39" s="189">
        <v>210.58921239342598</v>
      </c>
      <c r="BB39" s="188">
        <v>236.96312770820174</v>
      </c>
      <c r="BC39" s="188"/>
      <c r="BD39" s="189">
        <v>1.785871299361329</v>
      </c>
      <c r="BE39" s="189">
        <v>1.8716405021737883</v>
      </c>
      <c r="BF39" s="189">
        <v>2.0937784755592417</v>
      </c>
      <c r="BG39" s="189">
        <v>2.2995637517565553</v>
      </c>
      <c r="BH39" s="188">
        <v>2.587500383569969</v>
      </c>
    </row>
    <row r="40" spans="1:60" x14ac:dyDescent="0.2">
      <c r="A40" s="91" t="str">
        <f>$A$12</f>
        <v>35-39</v>
      </c>
      <c r="B40" s="189">
        <v>72.542037614782771</v>
      </c>
      <c r="C40" s="189">
        <v>65.06766726540738</v>
      </c>
      <c r="D40" s="189">
        <v>54.766784806672291</v>
      </c>
      <c r="E40" s="189">
        <v>45.523587094052431</v>
      </c>
      <c r="F40" s="188">
        <v>34.291330085724873</v>
      </c>
      <c r="G40" s="188"/>
      <c r="H40" s="189">
        <v>28.179422220811407</v>
      </c>
      <c r="I40" s="189">
        <v>25.275934699382731</v>
      </c>
      <c r="J40" s="189">
        <v>21.27450416950764</v>
      </c>
      <c r="K40" s="189">
        <v>17.683894029231208</v>
      </c>
      <c r="L40" s="188">
        <v>13.320662566860962</v>
      </c>
      <c r="M40" s="188"/>
      <c r="N40" s="189">
        <v>44.362615393971375</v>
      </c>
      <c r="O40" s="189">
        <v>39.791732566024642</v>
      </c>
      <c r="P40" s="189">
        <v>33.492280637164654</v>
      </c>
      <c r="Q40" s="189">
        <v>27.839693064821223</v>
      </c>
      <c r="R40" s="188">
        <v>20.97066751886392</v>
      </c>
      <c r="S40" s="188"/>
      <c r="T40" s="189">
        <v>0</v>
      </c>
      <c r="U40" s="189">
        <v>0</v>
      </c>
      <c r="V40" s="189">
        <v>0</v>
      </c>
      <c r="W40" s="189">
        <v>0</v>
      </c>
      <c r="X40" s="188">
        <v>0</v>
      </c>
      <c r="Y40" s="91" t="str">
        <f>$A$12</f>
        <v>35-39</v>
      </c>
      <c r="Z40" s="189">
        <v>150.0126567417164</v>
      </c>
      <c r="AA40" s="189">
        <v>135.68236231505094</v>
      </c>
      <c r="AB40" s="189">
        <v>124.7291826751361</v>
      </c>
      <c r="AC40" s="189">
        <v>129.47197272823703</v>
      </c>
      <c r="AD40" s="188">
        <v>133.15322905166937</v>
      </c>
      <c r="AE40" s="188"/>
      <c r="AF40" s="189">
        <v>140.37576984147361</v>
      </c>
      <c r="AG40" s="189">
        <v>126.96602473402704</v>
      </c>
      <c r="AH40" s="189">
        <v>116.71649206662644</v>
      </c>
      <c r="AI40" s="189">
        <v>121.15460882835858</v>
      </c>
      <c r="AJ40" s="188">
        <v>124.59942116921782</v>
      </c>
      <c r="AK40" s="188"/>
      <c r="AL40" s="189">
        <v>9.6368869002428053</v>
      </c>
      <c r="AM40" s="189">
        <v>8.7163375810238843</v>
      </c>
      <c r="AN40" s="189">
        <v>8.0126906085096579</v>
      </c>
      <c r="AO40" s="189">
        <v>8.3173638998784618</v>
      </c>
      <c r="AP40" s="188">
        <v>8.5538078824515384</v>
      </c>
      <c r="AQ40" s="91" t="str">
        <f>$A$12</f>
        <v>35-39</v>
      </c>
      <c r="AR40" s="189">
        <v>154.06830564350082</v>
      </c>
      <c r="AS40" s="189">
        <v>168.96597041954166</v>
      </c>
      <c r="AT40" s="189">
        <v>183.46103251819156</v>
      </c>
      <c r="AU40" s="189">
        <v>208.70844017771051</v>
      </c>
      <c r="AV40" s="188">
        <v>232.21144086260571</v>
      </c>
      <c r="AW40" s="188"/>
      <c r="AX40" s="189">
        <v>152.29837009196677</v>
      </c>
      <c r="AY40" s="189">
        <v>167.02491938857551</v>
      </c>
      <c r="AZ40" s="189">
        <v>181.35346640367695</v>
      </c>
      <c r="BA40" s="189">
        <v>206.31083395767615</v>
      </c>
      <c r="BB40" s="188">
        <v>229.54383629553598</v>
      </c>
      <c r="BC40" s="188"/>
      <c r="BD40" s="189">
        <v>1.7699355515340602</v>
      </c>
      <c r="BE40" s="189">
        <v>1.9410510309661682</v>
      </c>
      <c r="BF40" s="189">
        <v>2.1075661145145714</v>
      </c>
      <c r="BG40" s="189">
        <v>2.3976062200343793</v>
      </c>
      <c r="BH40" s="188">
        <v>2.6676045670697208</v>
      </c>
    </row>
    <row r="41" spans="1:60" x14ac:dyDescent="0.2">
      <c r="A41" s="91" t="str">
        <f>$A$13</f>
        <v>40-44</v>
      </c>
      <c r="B41" s="189">
        <v>95.592148824351668</v>
      </c>
      <c r="C41" s="189">
        <v>82.616320455715311</v>
      </c>
      <c r="D41" s="189">
        <v>65.715939292358911</v>
      </c>
      <c r="E41" s="189">
        <v>45.625343125830476</v>
      </c>
      <c r="F41" s="188">
        <v>32.319365015981639</v>
      </c>
      <c r="G41" s="188"/>
      <c r="H41" s="189">
        <v>37.546766551729547</v>
      </c>
      <c r="I41" s="189">
        <v>32.450059589071273</v>
      </c>
      <c r="J41" s="189">
        <v>25.811957711373253</v>
      </c>
      <c r="K41" s="189">
        <v>17.920731648709907</v>
      </c>
      <c r="L41" s="188">
        <v>12.694407857730498</v>
      </c>
      <c r="M41" s="188"/>
      <c r="N41" s="189">
        <v>58.045382272622113</v>
      </c>
      <c r="O41" s="189">
        <v>50.166260866644031</v>
      </c>
      <c r="P41" s="189">
        <v>39.903981580985658</v>
      </c>
      <c r="Q41" s="189">
        <v>27.704611477120565</v>
      </c>
      <c r="R41" s="188">
        <v>19.624957158251146</v>
      </c>
      <c r="S41" s="188"/>
      <c r="T41" s="189">
        <v>0</v>
      </c>
      <c r="U41" s="189">
        <v>0</v>
      </c>
      <c r="V41" s="189">
        <v>0</v>
      </c>
      <c r="W41" s="189">
        <v>0</v>
      </c>
      <c r="X41" s="188">
        <v>0</v>
      </c>
      <c r="Y41" s="91" t="str">
        <f>$A$13</f>
        <v>40-44</v>
      </c>
      <c r="Z41" s="189">
        <v>162.09391868766315</v>
      </c>
      <c r="AA41" s="189">
        <v>149.15249146976197</v>
      </c>
      <c r="AB41" s="189">
        <v>139.74715456529819</v>
      </c>
      <c r="AC41" s="189">
        <v>140.1664801116975</v>
      </c>
      <c r="AD41" s="188">
        <v>150.93061003653065</v>
      </c>
      <c r="AE41" s="188"/>
      <c r="AF41" s="189">
        <v>153.25080642376565</v>
      </c>
      <c r="AG41" s="189">
        <v>141.01546291821501</v>
      </c>
      <c r="AH41" s="189">
        <v>132.12323273689802</v>
      </c>
      <c r="AI41" s="189">
        <v>132.51964992616811</v>
      </c>
      <c r="AJ41" s="188">
        <v>142.69650407013222</v>
      </c>
      <c r="AK41" s="188"/>
      <c r="AL41" s="189">
        <v>8.8431122638974973</v>
      </c>
      <c r="AM41" s="189">
        <v>8.1370285515469902</v>
      </c>
      <c r="AN41" s="189">
        <v>7.6239218284001815</v>
      </c>
      <c r="AO41" s="189">
        <v>7.6468301855293674</v>
      </c>
      <c r="AP41" s="188">
        <v>8.2341059663984471</v>
      </c>
      <c r="AQ41" s="91" t="str">
        <f>$A$13</f>
        <v>40-44</v>
      </c>
      <c r="AR41" s="189">
        <v>142.30393248798518</v>
      </c>
      <c r="AS41" s="189">
        <v>157.16218807452273</v>
      </c>
      <c r="AT41" s="189">
        <v>174.12990614234292</v>
      </c>
      <c r="AU41" s="189">
        <v>185.34617676247206</v>
      </c>
      <c r="AV41" s="188">
        <v>209.35902494748774</v>
      </c>
      <c r="AW41" s="188"/>
      <c r="AX41" s="189">
        <v>140.61932188279332</v>
      </c>
      <c r="AY41" s="189">
        <v>155.30162565099377</v>
      </c>
      <c r="AZ41" s="189">
        <v>172.06854465783039</v>
      </c>
      <c r="BA41" s="189">
        <v>183.15203689418161</v>
      </c>
      <c r="BB41" s="188">
        <v>206.8805346793352</v>
      </c>
      <c r="BC41" s="188"/>
      <c r="BD41" s="189">
        <v>1.6846106051918688</v>
      </c>
      <c r="BE41" s="189">
        <v>1.8605624235289417</v>
      </c>
      <c r="BF41" s="189">
        <v>2.061361484512561</v>
      </c>
      <c r="BG41" s="189">
        <v>2.1941398682904496</v>
      </c>
      <c r="BH41" s="188">
        <v>2.4784902681525449</v>
      </c>
    </row>
    <row r="42" spans="1:60" x14ac:dyDescent="0.2">
      <c r="A42" s="91" t="str">
        <f>$A$14</f>
        <v>45-49</v>
      </c>
      <c r="B42" s="189">
        <v>121.60001747416324</v>
      </c>
      <c r="C42" s="189">
        <v>119.25515350242472</v>
      </c>
      <c r="D42" s="189">
        <v>78.884619183002073</v>
      </c>
      <c r="E42" s="189">
        <v>54.824500970236151</v>
      </c>
      <c r="F42" s="188">
        <v>37.259131610277123</v>
      </c>
      <c r="G42" s="188"/>
      <c r="H42" s="189">
        <v>52.054388742127969</v>
      </c>
      <c r="I42" s="189">
        <v>51.050559464587302</v>
      </c>
      <c r="J42" s="189">
        <v>33.768780739827292</v>
      </c>
      <c r="K42" s="189">
        <v>23.469200966687755</v>
      </c>
      <c r="L42" s="188">
        <v>15.949827829172355</v>
      </c>
      <c r="M42" s="188"/>
      <c r="N42" s="189">
        <v>69.545628732035269</v>
      </c>
      <c r="O42" s="189">
        <v>68.20459403783741</v>
      </c>
      <c r="P42" s="189">
        <v>45.115838443174781</v>
      </c>
      <c r="Q42" s="189">
        <v>31.355300003548397</v>
      </c>
      <c r="R42" s="188">
        <v>21.309303781104767</v>
      </c>
      <c r="S42" s="188"/>
      <c r="T42" s="189">
        <v>0</v>
      </c>
      <c r="U42" s="189">
        <v>0</v>
      </c>
      <c r="V42" s="189">
        <v>0</v>
      </c>
      <c r="W42" s="189">
        <v>0</v>
      </c>
      <c r="X42" s="188">
        <v>0</v>
      </c>
      <c r="Y42" s="91" t="str">
        <f>$A$14</f>
        <v>45-49</v>
      </c>
      <c r="Z42" s="189">
        <v>149.19037176042775</v>
      </c>
      <c r="AA42" s="189">
        <v>147.02780307619315</v>
      </c>
      <c r="AB42" s="189">
        <v>157.07832682690201</v>
      </c>
      <c r="AC42" s="189">
        <v>161.18355055313589</v>
      </c>
      <c r="AD42" s="188">
        <v>163.5645829534713</v>
      </c>
      <c r="AE42" s="188"/>
      <c r="AF42" s="189">
        <v>141.73208428692129</v>
      </c>
      <c r="AG42" s="189">
        <v>139.67761552454377</v>
      </c>
      <c r="AH42" s="189">
        <v>149.22576147745451</v>
      </c>
      <c r="AI42" s="189">
        <v>153.12567731056208</v>
      </c>
      <c r="AJ42" s="188">
        <v>155.38774863532086</v>
      </c>
      <c r="AK42" s="188"/>
      <c r="AL42" s="189">
        <v>7.4582874735064566</v>
      </c>
      <c r="AM42" s="189">
        <v>7.350187551649368</v>
      </c>
      <c r="AN42" s="189">
        <v>7.852565349447544</v>
      </c>
      <c r="AO42" s="189">
        <v>8.0578732425738266</v>
      </c>
      <c r="AP42" s="188">
        <v>8.1768343181504513</v>
      </c>
      <c r="AQ42" s="91" t="str">
        <f>$A$14</f>
        <v>45-49</v>
      </c>
      <c r="AR42" s="189">
        <v>127.15261076540904</v>
      </c>
      <c r="AS42" s="189">
        <v>139.95804342138214</v>
      </c>
      <c r="AT42" s="189">
        <v>158.0250539900959</v>
      </c>
      <c r="AU42" s="189">
        <v>167.70994847662797</v>
      </c>
      <c r="AV42" s="188">
        <v>175.15628543625161</v>
      </c>
      <c r="AW42" s="188"/>
      <c r="AX42" s="189">
        <v>125.59964483820595</v>
      </c>
      <c r="AY42" s="189">
        <v>138.24869825890119</v>
      </c>
      <c r="AZ42" s="189">
        <v>156.09507742676459</v>
      </c>
      <c r="BA42" s="189">
        <v>165.66165535163051</v>
      </c>
      <c r="BB42" s="188">
        <v>173.01706017357083</v>
      </c>
      <c r="BC42" s="188"/>
      <c r="BD42" s="189">
        <v>1.5529659272030856</v>
      </c>
      <c r="BE42" s="189">
        <v>1.7093451624809444</v>
      </c>
      <c r="BF42" s="189">
        <v>1.9299765633313342</v>
      </c>
      <c r="BG42" s="189">
        <v>2.0482931249974619</v>
      </c>
      <c r="BH42" s="188">
        <v>2.1392252626807844</v>
      </c>
    </row>
    <row r="43" spans="1:60" x14ac:dyDescent="0.2">
      <c r="A43" s="91" t="str">
        <f>$A$15</f>
        <v>50-54</v>
      </c>
      <c r="B43" s="189">
        <v>151.76046321416865</v>
      </c>
      <c r="C43" s="189">
        <v>142.31942173288223</v>
      </c>
      <c r="D43" s="189">
        <v>119.93293116047923</v>
      </c>
      <c r="E43" s="189">
        <v>88.171156371964599</v>
      </c>
      <c r="F43" s="188">
        <v>63.180524219714144</v>
      </c>
      <c r="G43" s="188"/>
      <c r="H43" s="189">
        <v>72.199699301024509</v>
      </c>
      <c r="I43" s="189">
        <v>67.708117557824508</v>
      </c>
      <c r="J43" s="189">
        <v>57.057834143300127</v>
      </c>
      <c r="K43" s="189">
        <v>41.9472270479773</v>
      </c>
      <c r="L43" s="188">
        <v>30.058003326770649</v>
      </c>
      <c r="M43" s="188"/>
      <c r="N43" s="189">
        <v>79.560763913144157</v>
      </c>
      <c r="O43" s="189">
        <v>74.611304175057768</v>
      </c>
      <c r="P43" s="189">
        <v>62.875097017179108</v>
      </c>
      <c r="Q43" s="189">
        <v>46.223929323987292</v>
      </c>
      <c r="R43" s="188">
        <v>33.122520892943498</v>
      </c>
      <c r="S43" s="188"/>
      <c r="T43" s="189">
        <v>0</v>
      </c>
      <c r="U43" s="189">
        <v>0</v>
      </c>
      <c r="V43" s="189">
        <v>0</v>
      </c>
      <c r="W43" s="189">
        <v>0</v>
      </c>
      <c r="X43" s="188">
        <v>0</v>
      </c>
      <c r="Y43" s="91" t="str">
        <f>$A$15</f>
        <v>50-54</v>
      </c>
      <c r="Z43" s="189">
        <v>124.24614829379526</v>
      </c>
      <c r="AA43" s="189">
        <v>130.25908800461309</v>
      </c>
      <c r="AB43" s="189">
        <v>149.14503167899258</v>
      </c>
      <c r="AC43" s="189">
        <v>157.9913676435533</v>
      </c>
      <c r="AD43" s="188">
        <v>164.67380902817911</v>
      </c>
      <c r="AE43" s="188"/>
      <c r="AF43" s="189">
        <v>117.87817168097233</v>
      </c>
      <c r="AG43" s="189">
        <v>123.5828772613132</v>
      </c>
      <c r="AH43" s="189">
        <v>141.50083699823233</v>
      </c>
      <c r="AI43" s="189">
        <v>149.89384905562815</v>
      </c>
      <c r="AJ43" s="188">
        <v>156.23374286788874</v>
      </c>
      <c r="AK43" s="188"/>
      <c r="AL43" s="189">
        <v>6.3679766128229192</v>
      </c>
      <c r="AM43" s="189">
        <v>6.6762107432998921</v>
      </c>
      <c r="AN43" s="189">
        <v>7.6441946807602736</v>
      </c>
      <c r="AO43" s="189">
        <v>8.0975185879251441</v>
      </c>
      <c r="AP43" s="188">
        <v>8.4400661602903408</v>
      </c>
      <c r="AQ43" s="91" t="str">
        <f>$A$15</f>
        <v>50-54</v>
      </c>
      <c r="AR43" s="189">
        <v>92.988388492036123</v>
      </c>
      <c r="AS43" s="189">
        <v>110.77949026250468</v>
      </c>
      <c r="AT43" s="189">
        <v>137.77303716052822</v>
      </c>
      <c r="AU43" s="189">
        <v>148.29147598448213</v>
      </c>
      <c r="AV43" s="188">
        <v>157.07466675210676</v>
      </c>
      <c r="AW43" s="188"/>
      <c r="AX43" s="189">
        <v>92.202593366663635</v>
      </c>
      <c r="AY43" s="189">
        <v>109.84331382664183</v>
      </c>
      <c r="AZ43" s="189">
        <v>136.60872759410435</v>
      </c>
      <c r="BA43" s="189">
        <v>147.03823447333156</v>
      </c>
      <c r="BB43" s="188">
        <v>155.74724028806634</v>
      </c>
      <c r="BC43" s="188"/>
      <c r="BD43" s="189">
        <v>0.78579512537246932</v>
      </c>
      <c r="BE43" s="189">
        <v>0.93617643586283261</v>
      </c>
      <c r="BF43" s="189">
        <v>1.1643095664238496</v>
      </c>
      <c r="BG43" s="189">
        <v>1.2532415111505675</v>
      </c>
      <c r="BH43" s="188">
        <v>1.3274264640404241</v>
      </c>
    </row>
    <row r="44" spans="1:60" x14ac:dyDescent="0.2">
      <c r="A44" s="91" t="str">
        <f>$A$16</f>
        <v>55-59</v>
      </c>
      <c r="B44" s="189">
        <v>164.06581424258854</v>
      </c>
      <c r="C44" s="189">
        <v>150.69890471648134</v>
      </c>
      <c r="D44" s="189">
        <v>139.62009278798115</v>
      </c>
      <c r="E44" s="189">
        <v>115.66738771483223</v>
      </c>
      <c r="F44" s="188">
        <v>84.578879253283077</v>
      </c>
      <c r="G44" s="188"/>
      <c r="H44" s="189">
        <v>83.472280270866776</v>
      </c>
      <c r="I44" s="189">
        <v>76.671543299949803</v>
      </c>
      <c r="J44" s="189">
        <v>71.034930306068375</v>
      </c>
      <c r="K44" s="189">
        <v>58.848447605981825</v>
      </c>
      <c r="L44" s="188">
        <v>43.031510173276651</v>
      </c>
      <c r="M44" s="188"/>
      <c r="N44" s="189">
        <v>80.593533971721769</v>
      </c>
      <c r="O44" s="189">
        <v>74.027361416531534</v>
      </c>
      <c r="P44" s="189">
        <v>68.585162481912789</v>
      </c>
      <c r="Q44" s="189">
        <v>56.818940108850398</v>
      </c>
      <c r="R44" s="188">
        <v>41.547369080006419</v>
      </c>
      <c r="S44" s="188"/>
      <c r="T44" s="189">
        <v>0</v>
      </c>
      <c r="U44" s="189">
        <v>0</v>
      </c>
      <c r="V44" s="189">
        <v>0</v>
      </c>
      <c r="W44" s="189">
        <v>0</v>
      </c>
      <c r="X44" s="188">
        <v>0</v>
      </c>
      <c r="Y44" s="91" t="str">
        <f>$A$16</f>
        <v>55-59</v>
      </c>
      <c r="Z44" s="189">
        <v>103.85146408829428</v>
      </c>
      <c r="AA44" s="189">
        <v>105.31706169001831</v>
      </c>
      <c r="AB44" s="189">
        <v>133.62564527254057</v>
      </c>
      <c r="AC44" s="189">
        <v>158.51241512029338</v>
      </c>
      <c r="AD44" s="188">
        <v>167.67684572688086</v>
      </c>
      <c r="AE44" s="188"/>
      <c r="AF44" s="189">
        <v>97.635306286684369</v>
      </c>
      <c r="AG44" s="189">
        <v>99.013227711577329</v>
      </c>
      <c r="AH44" s="189">
        <v>125.62736470938835</v>
      </c>
      <c r="AI44" s="189">
        <v>149.02451048118331</v>
      </c>
      <c r="AJ44" s="188">
        <v>157.64040037339234</v>
      </c>
      <c r="AK44" s="188"/>
      <c r="AL44" s="189">
        <v>6.2161578016099055</v>
      </c>
      <c r="AM44" s="189">
        <v>6.3038339784409745</v>
      </c>
      <c r="AN44" s="189">
        <v>7.9982805631522167</v>
      </c>
      <c r="AO44" s="189">
        <v>9.4879046391100914</v>
      </c>
      <c r="AP44" s="188">
        <v>10.036445353488508</v>
      </c>
      <c r="AQ44" s="91" t="str">
        <f>$A$16</f>
        <v>55-59</v>
      </c>
      <c r="AR44" s="189">
        <v>71.118721669117207</v>
      </c>
      <c r="AS44" s="189">
        <v>89.960033593500384</v>
      </c>
      <c r="AT44" s="189">
        <v>106.67026193947827</v>
      </c>
      <c r="AU44" s="189">
        <v>129.27319716487438</v>
      </c>
      <c r="AV44" s="188">
        <v>139.76427501983605</v>
      </c>
      <c r="AW44" s="188"/>
      <c r="AX44" s="189">
        <v>70.361656937121666</v>
      </c>
      <c r="AY44" s="189">
        <v>89.002383349993565</v>
      </c>
      <c r="AZ44" s="189">
        <v>105.53473797538304</v>
      </c>
      <c r="BA44" s="189">
        <v>127.89702319588957</v>
      </c>
      <c r="BB44" s="188">
        <v>138.27638669068557</v>
      </c>
      <c r="BC44" s="188"/>
      <c r="BD44" s="189">
        <v>0.75706473199554847</v>
      </c>
      <c r="BE44" s="189">
        <v>0.95765024350680805</v>
      </c>
      <c r="BF44" s="189">
        <v>1.1355239640952357</v>
      </c>
      <c r="BG44" s="189">
        <v>1.3761739689848116</v>
      </c>
      <c r="BH44" s="188">
        <v>1.4878883291504774</v>
      </c>
    </row>
    <row r="45" spans="1:60" x14ac:dyDescent="0.2">
      <c r="A45" s="91" t="str">
        <f>$A$17</f>
        <v>60-64</v>
      </c>
      <c r="B45" s="189">
        <v>165.06537455422799</v>
      </c>
      <c r="C45" s="189">
        <v>167.88674816060211</v>
      </c>
      <c r="D45" s="189">
        <v>145.42540941137864</v>
      </c>
      <c r="E45" s="189">
        <v>125.57390015162404</v>
      </c>
      <c r="F45" s="188">
        <v>98.802245415285199</v>
      </c>
      <c r="G45" s="188"/>
      <c r="H45" s="189">
        <v>93.553123450841682</v>
      </c>
      <c r="I45" s="189">
        <v>95.15219797521867</v>
      </c>
      <c r="J45" s="189">
        <v>82.421896218232547</v>
      </c>
      <c r="K45" s="189">
        <v>71.170799052200323</v>
      </c>
      <c r="L45" s="188">
        <v>55.997543894228997</v>
      </c>
      <c r="M45" s="188"/>
      <c r="N45" s="189">
        <v>71.512251103386319</v>
      </c>
      <c r="O45" s="189">
        <v>72.734550185383426</v>
      </c>
      <c r="P45" s="189">
        <v>63.003513193146112</v>
      </c>
      <c r="Q45" s="189">
        <v>54.403101099423715</v>
      </c>
      <c r="R45" s="188">
        <v>42.804701521056209</v>
      </c>
      <c r="S45" s="188"/>
      <c r="T45" s="189">
        <v>0</v>
      </c>
      <c r="U45" s="189">
        <v>0</v>
      </c>
      <c r="V45" s="189">
        <v>0</v>
      </c>
      <c r="W45" s="189">
        <v>0</v>
      </c>
      <c r="X45" s="188">
        <v>0</v>
      </c>
      <c r="Y45" s="91" t="str">
        <f>$A$17</f>
        <v>60-64</v>
      </c>
      <c r="Z45" s="189">
        <v>78.364072036445037</v>
      </c>
      <c r="AA45" s="189">
        <v>85.048861618755822</v>
      </c>
      <c r="AB45" s="189">
        <v>109.18459242485633</v>
      </c>
      <c r="AC45" s="189">
        <v>137.4151283547578</v>
      </c>
      <c r="AD45" s="188">
        <v>160.29275934647907</v>
      </c>
      <c r="AE45" s="188"/>
      <c r="AF45" s="189">
        <v>73.870615721664365</v>
      </c>
      <c r="AG45" s="189">
        <v>80.172077906886543</v>
      </c>
      <c r="AH45" s="189">
        <v>102.92385352478725</v>
      </c>
      <c r="AI45" s="189">
        <v>129.53569602307752</v>
      </c>
      <c r="AJ45" s="188">
        <v>151.10146214371721</v>
      </c>
      <c r="AK45" s="188"/>
      <c r="AL45" s="189">
        <v>4.4934563147806799</v>
      </c>
      <c r="AM45" s="189">
        <v>4.8767837118692912</v>
      </c>
      <c r="AN45" s="189">
        <v>6.2607389000690823</v>
      </c>
      <c r="AO45" s="189">
        <v>7.8794323316802695</v>
      </c>
      <c r="AP45" s="188">
        <v>9.191297202761854</v>
      </c>
      <c r="AQ45" s="91" t="str">
        <f>$A$17</f>
        <v>60-64</v>
      </c>
      <c r="AR45" s="189">
        <v>56.310553409327007</v>
      </c>
      <c r="AS45" s="189">
        <v>67.870390220642065</v>
      </c>
      <c r="AT45" s="189">
        <v>84.024998163765019</v>
      </c>
      <c r="AU45" s="189">
        <v>110.21797149361819</v>
      </c>
      <c r="AV45" s="188">
        <v>138.11699523823569</v>
      </c>
      <c r="AW45" s="188"/>
      <c r="AX45" s="189">
        <v>55.169107221716523</v>
      </c>
      <c r="AY45" s="189">
        <v>66.494660625358861</v>
      </c>
      <c r="AZ45" s="189">
        <v>82.321847901242236</v>
      </c>
      <c r="BA45" s="189">
        <v>107.98385950823412</v>
      </c>
      <c r="BB45" s="188">
        <v>135.3173815226985</v>
      </c>
      <c r="BC45" s="188"/>
      <c r="BD45" s="189">
        <v>1.1414461876104915</v>
      </c>
      <c r="BE45" s="189">
        <v>1.375729595283202</v>
      </c>
      <c r="BF45" s="189">
        <v>1.7031502625227839</v>
      </c>
      <c r="BG45" s="189">
        <v>2.2341119853840721</v>
      </c>
      <c r="BH45" s="188">
        <v>2.7996137155371672</v>
      </c>
    </row>
    <row r="46" spans="1:60" x14ac:dyDescent="0.2">
      <c r="A46" s="91" t="str">
        <f>$A$18</f>
        <v>65+</v>
      </c>
      <c r="B46" s="189">
        <v>684.22019433015396</v>
      </c>
      <c r="C46" s="189">
        <v>659.7220549729019</v>
      </c>
      <c r="D46" s="189">
        <v>597.6874930135458</v>
      </c>
      <c r="E46" s="189">
        <v>516.4377556390009</v>
      </c>
      <c r="F46" s="188">
        <v>432.27609064150056</v>
      </c>
      <c r="G46" s="190"/>
      <c r="H46" s="189">
        <v>489.85248018008991</v>
      </c>
      <c r="I46" s="189">
        <v>472.31354432994846</v>
      </c>
      <c r="J46" s="189">
        <v>427.90128288186639</v>
      </c>
      <c r="K46" s="189">
        <v>369.73229781992757</v>
      </c>
      <c r="L46" s="188">
        <v>309.47859548147727</v>
      </c>
      <c r="M46" s="190"/>
      <c r="N46" s="189">
        <v>194.3677141500641</v>
      </c>
      <c r="O46" s="189">
        <v>187.40851064295344</v>
      </c>
      <c r="P46" s="189">
        <v>169.78621013167941</v>
      </c>
      <c r="Q46" s="189">
        <v>146.70545781907333</v>
      </c>
      <c r="R46" s="188">
        <v>122.79749516002329</v>
      </c>
      <c r="S46" s="190"/>
      <c r="T46" s="190">
        <v>0</v>
      </c>
      <c r="U46" s="190">
        <v>0</v>
      </c>
      <c r="V46" s="190">
        <v>0</v>
      </c>
      <c r="W46" s="190">
        <v>0</v>
      </c>
      <c r="X46" s="190">
        <v>0</v>
      </c>
      <c r="Y46" s="91" t="str">
        <f>$A$18</f>
        <v>65+</v>
      </c>
      <c r="Z46" s="189">
        <v>229.30721305756543</v>
      </c>
      <c r="AA46" s="189">
        <v>242.95644971788712</v>
      </c>
      <c r="AB46" s="189">
        <v>324.13328439256134</v>
      </c>
      <c r="AC46" s="189">
        <v>392.98454329955848</v>
      </c>
      <c r="AD46" s="188">
        <v>471.20711273861792</v>
      </c>
      <c r="AE46" s="190"/>
      <c r="AF46" s="189">
        <v>216.90901867585666</v>
      </c>
      <c r="AG46" s="189">
        <v>229.82037680573097</v>
      </c>
      <c r="AH46" s="189">
        <v>306.60805056907492</v>
      </c>
      <c r="AI46" s="189">
        <v>371.73671710382393</v>
      </c>
      <c r="AJ46" s="188">
        <v>445.72999049974806</v>
      </c>
      <c r="AK46" s="190"/>
      <c r="AL46" s="189">
        <v>12.398194381708771</v>
      </c>
      <c r="AM46" s="189">
        <v>13.136072912156155</v>
      </c>
      <c r="AN46" s="189">
        <v>17.525233823486392</v>
      </c>
      <c r="AO46" s="189">
        <v>21.247826195734497</v>
      </c>
      <c r="AP46" s="188">
        <v>25.477122238869928</v>
      </c>
      <c r="AQ46" s="91" t="str">
        <f>$A$18</f>
        <v>65+</v>
      </c>
      <c r="AR46" s="189">
        <v>145.26459261228058</v>
      </c>
      <c r="AS46" s="189">
        <v>173.26549530921105</v>
      </c>
      <c r="AT46" s="189">
        <v>233.46822259389299</v>
      </c>
      <c r="AU46" s="189">
        <v>332.65670106144069</v>
      </c>
      <c r="AV46" s="188">
        <v>456.31479661988146</v>
      </c>
      <c r="AW46" s="190"/>
      <c r="AX46" s="189">
        <v>143.74209408925086</v>
      </c>
      <c r="AY46" s="189">
        <v>171.44937059191324</v>
      </c>
      <c r="AZ46" s="189">
        <v>231.02121966409953</v>
      </c>
      <c r="BA46" s="189">
        <v>329.17005716327628</v>
      </c>
      <c r="BB46" s="188">
        <v>451.53195718650386</v>
      </c>
      <c r="BC46" s="190"/>
      <c r="BD46" s="189">
        <v>1.5224985230297139</v>
      </c>
      <c r="BE46" s="189">
        <v>1.8161247172978172</v>
      </c>
      <c r="BF46" s="189">
        <v>2.4470029297934355</v>
      </c>
      <c r="BG46" s="189">
        <v>3.4866438981643779</v>
      </c>
      <c r="BH46" s="188">
        <v>4.7828394333776503</v>
      </c>
    </row>
    <row r="47" spans="1:60" x14ac:dyDescent="0.2">
      <c r="A47" s="96"/>
      <c r="B47" s="191"/>
      <c r="C47" s="191"/>
      <c r="D47" s="191"/>
      <c r="E47" s="191"/>
      <c r="F47" s="191"/>
      <c r="G47" s="191"/>
      <c r="H47" s="191"/>
      <c r="I47" s="191"/>
      <c r="J47" s="191"/>
      <c r="K47" s="191"/>
      <c r="L47" s="191"/>
      <c r="M47" s="191"/>
      <c r="N47" s="191"/>
      <c r="O47" s="191"/>
      <c r="P47" s="191"/>
      <c r="Q47" s="191"/>
      <c r="R47" s="191"/>
      <c r="S47" s="191"/>
      <c r="Y47" s="96"/>
      <c r="Z47" s="191"/>
      <c r="AA47" s="191"/>
      <c r="AB47" s="191"/>
      <c r="AC47" s="191"/>
      <c r="AD47" s="191"/>
      <c r="AE47" s="191"/>
      <c r="AF47" s="191"/>
      <c r="AG47" s="191"/>
      <c r="AH47" s="191"/>
      <c r="AI47" s="191"/>
      <c r="AJ47" s="191"/>
      <c r="AK47" s="191"/>
      <c r="AL47" s="191"/>
      <c r="AM47" s="191"/>
      <c r="AN47" s="191"/>
      <c r="AO47" s="191"/>
      <c r="AP47" s="191"/>
      <c r="AQ47" s="96"/>
      <c r="AR47" s="191"/>
      <c r="AS47" s="191"/>
      <c r="AT47" s="191"/>
      <c r="AU47" s="191"/>
      <c r="AV47" s="191"/>
      <c r="AW47" s="191"/>
      <c r="AX47" s="191"/>
      <c r="AY47" s="191"/>
      <c r="AZ47" s="191"/>
      <c r="BA47" s="191"/>
      <c r="BB47" s="191"/>
      <c r="BC47" s="191"/>
      <c r="BD47" s="191"/>
      <c r="BE47" s="191"/>
      <c r="BF47" s="191"/>
      <c r="BG47" s="191"/>
      <c r="BH47" s="191"/>
    </row>
    <row r="48" spans="1:60" x14ac:dyDescent="0.2">
      <c r="B48" s="94"/>
      <c r="C48" s="94"/>
      <c r="D48" s="94"/>
      <c r="E48" s="94"/>
      <c r="Z48" s="94"/>
      <c r="AA48" s="94"/>
      <c r="AB48" s="94"/>
      <c r="AC48" s="94"/>
      <c r="AR48" s="94"/>
      <c r="AS48" s="94"/>
      <c r="AT48" s="94"/>
      <c r="AU48" s="94"/>
    </row>
    <row r="49" spans="1:60" ht="15.75" x14ac:dyDescent="0.25">
      <c r="A49" s="19" t="str">
        <f>CONCATENATE("Basic Table 2b  Labour Force by Gender, Age Group and ISCED Qualification, ",Info!B8,", ",$B$5,"-",$F$5)</f>
        <v>Basic Table 2b  Labour Force by Gender, Age Group and ISCED Qualification, , 2008-2025</v>
      </c>
      <c r="Y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  <c r="AQ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</row>
    <row r="50" spans="1:60" ht="12.75" customHeight="1" x14ac:dyDescent="0.2">
      <c r="W50" s="385" t="s">
        <v>13</v>
      </c>
      <c r="X50" s="385"/>
      <c r="AP50" s="183" t="str">
        <f>AP2</f>
        <v>Levels (000s)</v>
      </c>
      <c r="BH50" s="183" t="str">
        <f>BH2</f>
        <v>Levels (000s)</v>
      </c>
    </row>
    <row r="51" spans="1:60" x14ac:dyDescent="0.2">
      <c r="A51" s="118" t="s">
        <v>108</v>
      </c>
      <c r="B51" s="184" t="str">
        <f>B3</f>
        <v>All Low qualifications</v>
      </c>
      <c r="C51" s="184"/>
      <c r="D51" s="185"/>
      <c r="E51" s="184"/>
      <c r="F51" s="184"/>
      <c r="G51" s="118"/>
      <c r="H51" s="184" t="str">
        <f>H3</f>
        <v>Pre-primary education</v>
      </c>
      <c r="I51" s="184"/>
      <c r="J51" s="184"/>
      <c r="K51" s="184"/>
      <c r="L51" s="184"/>
      <c r="M51" s="118"/>
      <c r="N51" s="184" t="str">
        <f>N3</f>
        <v>Primary education (1st stage basic)</v>
      </c>
      <c r="O51" s="184"/>
      <c r="P51" s="184"/>
      <c r="Q51" s="184"/>
      <c r="R51" s="184"/>
      <c r="S51" s="118"/>
      <c r="T51" s="390" t="str">
        <f>T3</f>
        <v>Lower secondary education (2nd stage basic)</v>
      </c>
      <c r="U51" s="390"/>
      <c r="V51" s="390"/>
      <c r="W51" s="390"/>
      <c r="X51" s="390"/>
      <c r="Y51" s="118" t="s">
        <v>108</v>
      </c>
      <c r="Z51" s="184" t="str">
        <f>Z3</f>
        <v>All Medium qualifications</v>
      </c>
      <c r="AA51" s="184"/>
      <c r="AB51" s="185"/>
      <c r="AC51" s="184"/>
      <c r="AD51" s="184"/>
      <c r="AE51" s="118"/>
      <c r="AF51" s="184" t="str">
        <f>AF3</f>
        <v>Upper secondary education</v>
      </c>
      <c r="AG51" s="184"/>
      <c r="AH51" s="184"/>
      <c r="AI51" s="184"/>
      <c r="AJ51" s="184"/>
      <c r="AK51" s="118"/>
      <c r="AL51" s="184" t="str">
        <f>AL3</f>
        <v>Post-secondary non-tertiary education</v>
      </c>
      <c r="AM51" s="184"/>
      <c r="AN51" s="184"/>
      <c r="AO51" s="184"/>
      <c r="AP51" s="184"/>
      <c r="AQ51" s="118" t="s">
        <v>108</v>
      </c>
      <c r="AR51" s="184" t="str">
        <f>AR3</f>
        <v>All High qualifications</v>
      </c>
      <c r="AS51" s="184"/>
      <c r="AT51" s="185"/>
      <c r="AU51" s="184"/>
      <c r="AV51" s="184"/>
      <c r="AW51" s="118"/>
      <c r="AX51" s="184" t="str">
        <f>AX3</f>
        <v>First stage of tertiary education</v>
      </c>
      <c r="AY51" s="184"/>
      <c r="AZ51" s="184"/>
      <c r="BA51" s="184"/>
      <c r="BB51" s="184"/>
      <c r="BC51" s="118"/>
      <c r="BD51" s="184" t="str">
        <f>BD3</f>
        <v>Second stage of tertiary education</v>
      </c>
      <c r="BE51" s="184"/>
      <c r="BF51" s="184"/>
      <c r="BG51" s="184"/>
      <c r="BH51" s="184"/>
    </row>
    <row r="52" spans="1:60" x14ac:dyDescent="0.2">
      <c r="A52" s="180" t="s">
        <v>110</v>
      </c>
      <c r="B52" s="186"/>
      <c r="C52" s="186"/>
      <c r="D52" s="186"/>
      <c r="E52" s="186"/>
      <c r="F52" s="186"/>
      <c r="G52" s="92"/>
      <c r="H52" s="186"/>
      <c r="I52" s="186"/>
      <c r="J52" s="186"/>
      <c r="K52" s="186"/>
      <c r="L52" s="186"/>
      <c r="M52" s="92"/>
      <c r="N52" s="186"/>
      <c r="O52" s="186"/>
      <c r="P52" s="186"/>
      <c r="Q52" s="186"/>
      <c r="R52" s="186"/>
      <c r="S52" s="92"/>
      <c r="T52" s="186"/>
      <c r="U52" s="186"/>
      <c r="V52" s="186"/>
      <c r="W52" s="186"/>
      <c r="X52" s="186"/>
      <c r="Y52" s="180" t="s">
        <v>110</v>
      </c>
      <c r="Z52" s="186"/>
      <c r="AA52" s="186"/>
      <c r="AB52" s="186"/>
      <c r="AC52" s="186"/>
      <c r="AD52" s="186"/>
      <c r="AE52" s="92"/>
      <c r="AF52" s="186"/>
      <c r="AG52" s="186"/>
      <c r="AH52" s="186"/>
      <c r="AI52" s="186"/>
      <c r="AJ52" s="186"/>
      <c r="AK52" s="92"/>
      <c r="AL52" s="186"/>
      <c r="AM52" s="186"/>
      <c r="AN52" s="186"/>
      <c r="AO52" s="186"/>
      <c r="AP52" s="186"/>
      <c r="AQ52" s="180" t="s">
        <v>110</v>
      </c>
      <c r="AR52" s="186"/>
      <c r="AS52" s="186"/>
      <c r="AT52" s="186"/>
      <c r="AU52" s="186"/>
      <c r="AV52" s="186"/>
      <c r="AW52" s="92"/>
      <c r="AX52" s="186"/>
      <c r="AY52" s="186"/>
      <c r="AZ52" s="186"/>
      <c r="BA52" s="186"/>
      <c r="BB52" s="186"/>
      <c r="BC52" s="92"/>
      <c r="BD52" s="186"/>
      <c r="BE52" s="186"/>
      <c r="BF52" s="186"/>
      <c r="BG52" s="186"/>
      <c r="BH52" s="186"/>
    </row>
    <row r="53" spans="1:60" x14ac:dyDescent="0.2">
      <c r="A53" s="179"/>
      <c r="B53" s="187">
        <v>2008</v>
      </c>
      <c r="C53" s="187">
        <v>2010</v>
      </c>
      <c r="D53" s="187">
        <v>2012</v>
      </c>
      <c r="E53" s="187">
        <v>2015</v>
      </c>
      <c r="F53" s="180">
        <v>2020</v>
      </c>
      <c r="G53" s="120"/>
      <c r="H53" s="120">
        <f>B53</f>
        <v>2008</v>
      </c>
      <c r="I53" s="120">
        <f>C53</f>
        <v>2010</v>
      </c>
      <c r="J53" s="120">
        <f>D53</f>
        <v>2012</v>
      </c>
      <c r="K53" s="120">
        <f>E53</f>
        <v>2015</v>
      </c>
      <c r="L53" s="120">
        <f>F53</f>
        <v>2020</v>
      </c>
      <c r="M53" s="120"/>
      <c r="N53" s="120">
        <f>B53</f>
        <v>2008</v>
      </c>
      <c r="O53" s="120">
        <f>C53</f>
        <v>2010</v>
      </c>
      <c r="P53" s="120">
        <f>D53</f>
        <v>2012</v>
      </c>
      <c r="Q53" s="120">
        <f>E53</f>
        <v>2015</v>
      </c>
      <c r="R53" s="120">
        <f>F53</f>
        <v>2020</v>
      </c>
      <c r="S53" s="120"/>
      <c r="T53" s="120">
        <f>B53</f>
        <v>2008</v>
      </c>
      <c r="U53" s="120">
        <f>C53</f>
        <v>2010</v>
      </c>
      <c r="V53" s="120">
        <f>D53</f>
        <v>2012</v>
      </c>
      <c r="W53" s="120">
        <f>E53</f>
        <v>2015</v>
      </c>
      <c r="X53" s="120">
        <f>F53</f>
        <v>2020</v>
      </c>
      <c r="Y53" s="179"/>
      <c r="Z53" s="187">
        <v>2008</v>
      </c>
      <c r="AA53" s="187">
        <v>2010</v>
      </c>
      <c r="AB53" s="187">
        <v>2012</v>
      </c>
      <c r="AC53" s="187">
        <v>2015</v>
      </c>
      <c r="AD53" s="180">
        <v>2020</v>
      </c>
      <c r="AE53" s="120"/>
      <c r="AF53" s="120">
        <f>Z53</f>
        <v>2008</v>
      </c>
      <c r="AG53" s="120">
        <f>AA53</f>
        <v>2010</v>
      </c>
      <c r="AH53" s="120">
        <f>AB53</f>
        <v>2012</v>
      </c>
      <c r="AI53" s="120">
        <f>AC53</f>
        <v>2015</v>
      </c>
      <c r="AJ53" s="120">
        <f>AD53</f>
        <v>2020</v>
      </c>
      <c r="AK53" s="120"/>
      <c r="AL53" s="120">
        <f>Z53</f>
        <v>2008</v>
      </c>
      <c r="AM53" s="120">
        <f>AA53</f>
        <v>2010</v>
      </c>
      <c r="AN53" s="120">
        <f>AB53</f>
        <v>2012</v>
      </c>
      <c r="AO53" s="120">
        <f>AC53</f>
        <v>2015</v>
      </c>
      <c r="AP53" s="120">
        <f>AD53</f>
        <v>2020</v>
      </c>
      <c r="AQ53" s="179"/>
      <c r="AR53" s="187">
        <v>2008</v>
      </c>
      <c r="AS53" s="187">
        <v>2010</v>
      </c>
      <c r="AT53" s="187">
        <v>2012</v>
      </c>
      <c r="AU53" s="187">
        <v>2015</v>
      </c>
      <c r="AV53" s="180">
        <v>2020</v>
      </c>
      <c r="AW53" s="120"/>
      <c r="AX53" s="120">
        <f>AR53</f>
        <v>2008</v>
      </c>
      <c r="AY53" s="120">
        <f>AS53</f>
        <v>2010</v>
      </c>
      <c r="AZ53" s="120">
        <f>AT53</f>
        <v>2012</v>
      </c>
      <c r="BA53" s="120">
        <f>AU53</f>
        <v>2015</v>
      </c>
      <c r="BB53" s="120">
        <f>AV53</f>
        <v>2020</v>
      </c>
      <c r="BC53" s="120"/>
      <c r="BD53" s="120">
        <f>AR53</f>
        <v>2008</v>
      </c>
      <c r="BE53" s="120">
        <f>AS53</f>
        <v>2010</v>
      </c>
      <c r="BF53" s="120">
        <f>AT53</f>
        <v>2012</v>
      </c>
      <c r="BG53" s="120">
        <f>AU53</f>
        <v>2015</v>
      </c>
      <c r="BH53" s="120">
        <f>AV53</f>
        <v>2020</v>
      </c>
    </row>
    <row r="54" spans="1:60" x14ac:dyDescent="0.2">
      <c r="A54" s="114" t="str">
        <f>A6</f>
        <v>Males and females</v>
      </c>
      <c r="F54" s="188"/>
      <c r="G54" s="188"/>
      <c r="H54" s="188"/>
      <c r="I54" s="188"/>
      <c r="J54" s="188"/>
      <c r="K54" s="188"/>
      <c r="L54" s="188"/>
      <c r="M54" s="188"/>
      <c r="N54" s="188"/>
      <c r="O54" s="188"/>
      <c r="P54" s="188"/>
      <c r="Q54" s="188"/>
      <c r="R54" s="188"/>
      <c r="S54" s="188"/>
      <c r="Y54" s="114" t="str">
        <f>Y6</f>
        <v>Males and females</v>
      </c>
      <c r="AD54" s="188"/>
      <c r="AE54" s="188"/>
      <c r="AF54" s="188"/>
      <c r="AG54" s="188"/>
      <c r="AH54" s="188"/>
      <c r="AI54" s="188"/>
      <c r="AJ54" s="188"/>
      <c r="AK54" s="188"/>
      <c r="AL54" s="188"/>
      <c r="AM54" s="188"/>
      <c r="AN54" s="188"/>
      <c r="AO54" s="188"/>
      <c r="AP54" s="188"/>
      <c r="AQ54" s="114" t="str">
        <f>AQ6</f>
        <v>Males and females</v>
      </c>
      <c r="AV54" s="188"/>
      <c r="AW54" s="188"/>
      <c r="AX54" s="188"/>
      <c r="AY54" s="188"/>
      <c r="AZ54" s="188"/>
      <c r="BA54" s="188"/>
      <c r="BB54" s="188"/>
      <c r="BC54" s="188"/>
      <c r="BD54" s="188"/>
      <c r="BE54" s="188"/>
      <c r="BF54" s="188"/>
      <c r="BG54" s="188"/>
      <c r="BH54" s="188"/>
    </row>
    <row r="55" spans="1:60" x14ac:dyDescent="0.2">
      <c r="A55" s="91" t="str">
        <f>A7</f>
        <v>15+</v>
      </c>
      <c r="B55" s="189">
        <f>SUM(B69,B83)</f>
        <v>1091.4118992738524</v>
      </c>
      <c r="C55" s="189">
        <f t="shared" ref="C55:F55" si="43">SUM(C69,C83)</f>
        <v>1100.0037861102892</v>
      </c>
      <c r="D55" s="189">
        <f t="shared" si="43"/>
        <v>916.42301941602898</v>
      </c>
      <c r="E55" s="189">
        <f t="shared" si="43"/>
        <v>787.47393586094222</v>
      </c>
      <c r="F55" s="189">
        <f t="shared" si="43"/>
        <v>647.93759918436888</v>
      </c>
      <c r="G55" s="188"/>
      <c r="H55" s="189">
        <f>SUM(H69,H83)</f>
        <v>362.47383711398129</v>
      </c>
      <c r="I55" s="189">
        <f t="shared" ref="I55:L55" si="44">SUM(I69,I83)</f>
        <v>367.09230695546</v>
      </c>
      <c r="J55" s="189">
        <f t="shared" si="44"/>
        <v>309.04252665358638</v>
      </c>
      <c r="K55" s="189">
        <f t="shared" si="44"/>
        <v>265.71661758383789</v>
      </c>
      <c r="L55" s="189">
        <f t="shared" si="44"/>
        <v>217.36047114432725</v>
      </c>
      <c r="M55" s="188"/>
      <c r="N55" s="189">
        <f>SUM(N69,N83)</f>
        <v>728.93806215987115</v>
      </c>
      <c r="O55" s="189">
        <f t="shared" ref="O55:R55" si="45">SUM(O69,O83)</f>
        <v>732.91147915482918</v>
      </c>
      <c r="P55" s="189">
        <f t="shared" si="45"/>
        <v>607.3804927624426</v>
      </c>
      <c r="Q55" s="189">
        <f t="shared" si="45"/>
        <v>521.75731827710433</v>
      </c>
      <c r="R55" s="189">
        <f t="shared" si="45"/>
        <v>430.57712804004166</v>
      </c>
      <c r="S55" s="188"/>
      <c r="T55" s="189">
        <f>SUM(T69,T83)</f>
        <v>0</v>
      </c>
      <c r="U55" s="189">
        <f t="shared" ref="U55:X55" si="46">SUM(U69,U83)</f>
        <v>0</v>
      </c>
      <c r="V55" s="189">
        <f t="shared" si="46"/>
        <v>0</v>
      </c>
      <c r="W55" s="189">
        <f t="shared" si="46"/>
        <v>0</v>
      </c>
      <c r="X55" s="189">
        <f t="shared" si="46"/>
        <v>0</v>
      </c>
      <c r="Y55" s="91" t="str">
        <f>Y7</f>
        <v>15+</v>
      </c>
      <c r="Z55" s="189">
        <f>SUM(Z69,Z83)</f>
        <v>1946.6117047650587</v>
      </c>
      <c r="AA55" s="189">
        <f t="shared" ref="AA55:AD55" si="47">SUM(AA69,AA83)</f>
        <v>1898.9657890695435</v>
      </c>
      <c r="AB55" s="189">
        <f t="shared" si="47"/>
        <v>1962.8308563745852</v>
      </c>
      <c r="AC55" s="189">
        <f t="shared" si="47"/>
        <v>2069.7042275623553</v>
      </c>
      <c r="AD55" s="189">
        <f t="shared" si="47"/>
        <v>2170.6375884387007</v>
      </c>
      <c r="AE55" s="188"/>
      <c r="AF55" s="189">
        <f>SUM(AF69,AF83)</f>
        <v>1824.1912882451829</v>
      </c>
      <c r="AG55" s="189">
        <f t="shared" ref="AG55:AJ55" si="48">SUM(AG69,AG83)</f>
        <v>1779.7966268394514</v>
      </c>
      <c r="AH55" s="189">
        <f t="shared" si="48"/>
        <v>1839.9843516955048</v>
      </c>
      <c r="AI55" s="189">
        <f t="shared" si="48"/>
        <v>1940.4817534613794</v>
      </c>
      <c r="AJ55" s="189">
        <f t="shared" si="48"/>
        <v>2035.5057599780253</v>
      </c>
      <c r="AK55" s="188"/>
      <c r="AL55" s="189">
        <f>SUM(AL69,AL83)</f>
        <v>122.42041651987563</v>
      </c>
      <c r="AM55" s="189">
        <f t="shared" ref="AM55:AP55" si="49">SUM(AM69,AM83)</f>
        <v>119.16916223009233</v>
      </c>
      <c r="AN55" s="189">
        <f t="shared" si="49"/>
        <v>122.84650467908108</v>
      </c>
      <c r="AO55" s="189">
        <f t="shared" si="49"/>
        <v>129.22247410097572</v>
      </c>
      <c r="AP55" s="189">
        <f t="shared" si="49"/>
        <v>135.13182846067508</v>
      </c>
      <c r="AQ55" s="91" t="str">
        <f>AQ7</f>
        <v>15+</v>
      </c>
      <c r="AR55" s="189">
        <f>SUM(AR69,AR83)</f>
        <v>1748.2863959610891</v>
      </c>
      <c r="AS55" s="189">
        <f t="shared" ref="AS55:AV55" si="50">SUM(AS69,AS83)</f>
        <v>1906.3674248201669</v>
      </c>
      <c r="AT55" s="189">
        <f t="shared" si="50"/>
        <v>2115.1681242093855</v>
      </c>
      <c r="AU55" s="189">
        <f t="shared" si="50"/>
        <v>2318.0908365767018</v>
      </c>
      <c r="AV55" s="189">
        <f t="shared" si="50"/>
        <v>2521.4978123769306</v>
      </c>
      <c r="AW55" s="188"/>
      <c r="AX55" s="189">
        <f>SUM(AX69,AX83)</f>
        <v>1717.00572023467</v>
      </c>
      <c r="AY55" s="189">
        <f t="shared" ref="AY55:BB55" si="51">SUM(AY69,AY83)</f>
        <v>1871.5654118320501</v>
      </c>
      <c r="AZ55" s="189">
        <f t="shared" si="51"/>
        <v>2075.3669628743173</v>
      </c>
      <c r="BA55" s="189">
        <f t="shared" si="51"/>
        <v>2274.1381911334825</v>
      </c>
      <c r="BB55" s="189">
        <f t="shared" si="51"/>
        <v>2472.9509757013893</v>
      </c>
      <c r="BC55" s="188"/>
      <c r="BD55" s="189">
        <f>SUM(BD69,BD83)</f>
        <v>31.280675726418963</v>
      </c>
      <c r="BE55" s="189">
        <f t="shared" ref="BE55:BH55" si="52">SUM(BE69,BE83)</f>
        <v>34.676945501519299</v>
      </c>
      <c r="BF55" s="189">
        <f t="shared" si="52"/>
        <v>39.483123423895734</v>
      </c>
      <c r="BG55" s="189">
        <f t="shared" si="52"/>
        <v>43.95264544321995</v>
      </c>
      <c r="BH55" s="189">
        <f t="shared" si="52"/>
        <v>48.546836675541741</v>
      </c>
    </row>
    <row r="56" spans="1:60" x14ac:dyDescent="0.2">
      <c r="A56" s="91" t="str">
        <f t="shared" ref="A56:A66" si="53">A8</f>
        <v>15-19</v>
      </c>
      <c r="B56" s="189">
        <f t="shared" ref="B56:F66" si="54">SUM(B70,B84)</f>
        <v>33.922484918096792</v>
      </c>
      <c r="C56" s="189">
        <f t="shared" si="54"/>
        <v>33.428963380218356</v>
      </c>
      <c r="D56" s="189">
        <f t="shared" si="54"/>
        <v>25.618579168305843</v>
      </c>
      <c r="E56" s="189">
        <f t="shared" si="54"/>
        <v>27.576564899958772</v>
      </c>
      <c r="F56" s="189">
        <f t="shared" si="54"/>
        <v>31.444379921686618</v>
      </c>
      <c r="G56" s="188"/>
      <c r="H56" s="189">
        <f t="shared" ref="H56:L66" si="55">SUM(H70,H84)</f>
        <v>7.8573198535721822</v>
      </c>
      <c r="I56" s="189">
        <f t="shared" si="55"/>
        <v>7.5672034937247652</v>
      </c>
      <c r="J56" s="189">
        <f t="shared" si="55"/>
        <v>5.7747610908860949</v>
      </c>
      <c r="K56" s="189">
        <f t="shared" si="55"/>
        <v>6.3040880162625772</v>
      </c>
      <c r="L56" s="189">
        <f t="shared" si="55"/>
        <v>7.2506410354839996</v>
      </c>
      <c r="M56" s="188"/>
      <c r="N56" s="189">
        <f t="shared" ref="N56:R66" si="56">SUM(N70,N84)</f>
        <v>26.065165064524606</v>
      </c>
      <c r="O56" s="189">
        <f t="shared" si="56"/>
        <v>25.861759886493594</v>
      </c>
      <c r="P56" s="189">
        <f t="shared" si="56"/>
        <v>19.843818077419751</v>
      </c>
      <c r="Q56" s="189">
        <f t="shared" si="56"/>
        <v>21.272476883696193</v>
      </c>
      <c r="R56" s="189">
        <f t="shared" si="56"/>
        <v>24.193738886202624</v>
      </c>
      <c r="S56" s="188"/>
      <c r="T56" s="189">
        <f t="shared" ref="T56:X66" si="57">SUM(T70,T84)</f>
        <v>0</v>
      </c>
      <c r="U56" s="189">
        <f t="shared" si="57"/>
        <v>0</v>
      </c>
      <c r="V56" s="189">
        <f t="shared" si="57"/>
        <v>0</v>
      </c>
      <c r="W56" s="189">
        <f t="shared" si="57"/>
        <v>0</v>
      </c>
      <c r="X56" s="189">
        <f t="shared" si="57"/>
        <v>0</v>
      </c>
      <c r="Y56" s="91" t="str">
        <f t="shared" ref="Y56:Y66" si="58">Y8</f>
        <v>15-19</v>
      </c>
      <c r="Z56" s="189">
        <f t="shared" ref="Z56:AD66" si="59">SUM(Z70,Z84)</f>
        <v>28.669275921467221</v>
      </c>
      <c r="AA56" s="189">
        <f t="shared" si="59"/>
        <v>24.94017830051537</v>
      </c>
      <c r="AB56" s="189">
        <f t="shared" si="59"/>
        <v>22.096171672766943</v>
      </c>
      <c r="AC56" s="189">
        <f t="shared" si="59"/>
        <v>24.369923731987864</v>
      </c>
      <c r="AD56" s="189">
        <f t="shared" si="59"/>
        <v>28.847750118738247</v>
      </c>
      <c r="AE56" s="188"/>
      <c r="AF56" s="189">
        <f t="shared" ref="AF56:AJ66" si="60">SUM(AF70,AF84)</f>
        <v>27.131107622890386</v>
      </c>
      <c r="AG56" s="189">
        <f t="shared" si="60"/>
        <v>23.604856528669352</v>
      </c>
      <c r="AH56" s="189">
        <f t="shared" si="60"/>
        <v>20.910693259755835</v>
      </c>
      <c r="AI56" s="189">
        <f t="shared" si="60"/>
        <v>23.061501302502187</v>
      </c>
      <c r="AJ56" s="189">
        <f t="shared" si="60"/>
        <v>27.298051224460476</v>
      </c>
      <c r="AK56" s="188"/>
      <c r="AL56" s="189">
        <f t="shared" ref="AL56:AP66" si="61">SUM(AL70,AL84)</f>
        <v>1.538168298576831</v>
      </c>
      <c r="AM56" s="189">
        <f t="shared" si="61"/>
        <v>1.3353217718460186</v>
      </c>
      <c r="AN56" s="189">
        <f t="shared" si="61"/>
        <v>1.185478413011108</v>
      </c>
      <c r="AO56" s="189">
        <f t="shared" si="61"/>
        <v>1.3084224294856792</v>
      </c>
      <c r="AP56" s="189">
        <f t="shared" si="61"/>
        <v>1.5496988942777667</v>
      </c>
      <c r="AQ56" s="91" t="str">
        <f t="shared" ref="AQ56:AQ66" si="62">AQ8</f>
        <v>15-19</v>
      </c>
      <c r="AR56" s="189">
        <f t="shared" ref="AR56:AV66" si="63">SUM(AR70,AR84)</f>
        <v>0.22323916043599393</v>
      </c>
      <c r="AS56" s="189">
        <f t="shared" si="63"/>
        <v>0.23185831926626108</v>
      </c>
      <c r="AT56" s="189">
        <f t="shared" si="63"/>
        <v>0.31924915892721956</v>
      </c>
      <c r="AU56" s="189">
        <f t="shared" si="63"/>
        <v>0.32851136805335357</v>
      </c>
      <c r="AV56" s="189">
        <f t="shared" si="63"/>
        <v>0.36386995957513524</v>
      </c>
      <c r="AW56" s="188"/>
      <c r="AX56" s="189">
        <f t="shared" ref="AX56:BB66" si="64">SUM(AX70,AX84)</f>
        <v>0.18942213461700935</v>
      </c>
      <c r="AY56" s="189">
        <f t="shared" si="64"/>
        <v>7.0679138418197798E-2</v>
      </c>
      <c r="AZ56" s="189">
        <f t="shared" si="64"/>
        <v>8.014133599071727E-4</v>
      </c>
      <c r="BA56" s="189">
        <f t="shared" si="64"/>
        <v>0.32647088949339453</v>
      </c>
      <c r="BB56" s="189">
        <f t="shared" si="64"/>
        <v>0.3602016521563422</v>
      </c>
      <c r="BC56" s="188"/>
      <c r="BD56" s="189">
        <f t="shared" ref="BD56:BH66" si="65">SUM(BD70,BD84)</f>
        <v>3.3817025818984561E-2</v>
      </c>
      <c r="BE56" s="189">
        <f t="shared" si="65"/>
        <v>3.6111694250642229E-2</v>
      </c>
      <c r="BF56" s="189">
        <f t="shared" si="65"/>
        <v>4.0983439475890718E-4</v>
      </c>
      <c r="BG56" s="189">
        <f t="shared" si="65"/>
        <v>2.0404785599590159E-3</v>
      </c>
      <c r="BH56" s="189">
        <f t="shared" si="65"/>
        <v>3.6683074187930289E-3</v>
      </c>
    </row>
    <row r="57" spans="1:60" x14ac:dyDescent="0.2">
      <c r="A57" s="91" t="str">
        <f t="shared" si="53"/>
        <v>20-24</v>
      </c>
      <c r="B57" s="189">
        <f t="shared" si="54"/>
        <v>69.997446885450401</v>
      </c>
      <c r="C57" s="189">
        <f t="shared" si="54"/>
        <v>73.885251785075525</v>
      </c>
      <c r="D57" s="189">
        <f t="shared" si="54"/>
        <v>60.82748778551305</v>
      </c>
      <c r="E57" s="189">
        <f t="shared" si="54"/>
        <v>52.336025748722321</v>
      </c>
      <c r="F57" s="189">
        <f t="shared" si="54"/>
        <v>47.838308330484821</v>
      </c>
      <c r="G57" s="188"/>
      <c r="H57" s="189">
        <f t="shared" si="55"/>
        <v>17.50666245872462</v>
      </c>
      <c r="I57" s="189">
        <f t="shared" si="55"/>
        <v>18.316843567871658</v>
      </c>
      <c r="J57" s="189">
        <f t="shared" si="55"/>
        <v>14.976024192054551</v>
      </c>
      <c r="K57" s="189">
        <f t="shared" si="55"/>
        <v>12.905149968073884</v>
      </c>
      <c r="L57" s="189">
        <f t="shared" si="55"/>
        <v>11.781306690276619</v>
      </c>
      <c r="M57" s="188"/>
      <c r="N57" s="189">
        <f t="shared" si="56"/>
        <v>52.490784426725781</v>
      </c>
      <c r="O57" s="189">
        <f t="shared" si="56"/>
        <v>55.568408217203867</v>
      </c>
      <c r="P57" s="189">
        <f t="shared" si="56"/>
        <v>45.851463593458497</v>
      </c>
      <c r="Q57" s="189">
        <f t="shared" si="56"/>
        <v>39.430875780648435</v>
      </c>
      <c r="R57" s="189">
        <f t="shared" si="56"/>
        <v>36.057001640208199</v>
      </c>
      <c r="S57" s="188"/>
      <c r="T57" s="189">
        <f t="shared" si="57"/>
        <v>0</v>
      </c>
      <c r="U57" s="189">
        <f t="shared" si="57"/>
        <v>0</v>
      </c>
      <c r="V57" s="189">
        <f t="shared" si="57"/>
        <v>0</v>
      </c>
      <c r="W57" s="189">
        <f t="shared" si="57"/>
        <v>0</v>
      </c>
      <c r="X57" s="189">
        <f t="shared" si="57"/>
        <v>0</v>
      </c>
      <c r="Y57" s="91" t="str">
        <f t="shared" si="58"/>
        <v>20-24</v>
      </c>
      <c r="Z57" s="189">
        <f t="shared" si="59"/>
        <v>200.63056393547677</v>
      </c>
      <c r="AA57" s="189">
        <f t="shared" si="59"/>
        <v>200.10878986052779</v>
      </c>
      <c r="AB57" s="189">
        <f t="shared" si="59"/>
        <v>192.82988811096317</v>
      </c>
      <c r="AC57" s="189">
        <f t="shared" si="59"/>
        <v>182.24243827723632</v>
      </c>
      <c r="AD57" s="189">
        <f t="shared" si="59"/>
        <v>183.10832552939812</v>
      </c>
      <c r="AE57" s="188"/>
      <c r="AF57" s="189">
        <f t="shared" si="60"/>
        <v>184.4013377657671</v>
      </c>
      <c r="AG57" s="189">
        <f t="shared" si="60"/>
        <v>183.88709709012173</v>
      </c>
      <c r="AH57" s="189">
        <f t="shared" si="60"/>
        <v>177.34938200988924</v>
      </c>
      <c r="AI57" s="189">
        <f t="shared" si="60"/>
        <v>167.58221623961009</v>
      </c>
      <c r="AJ57" s="189">
        <f t="shared" si="60"/>
        <v>168.42784713146324</v>
      </c>
      <c r="AK57" s="188"/>
      <c r="AL57" s="189">
        <f t="shared" si="61"/>
        <v>16.229226169709651</v>
      </c>
      <c r="AM57" s="189">
        <f t="shared" si="61"/>
        <v>16.221692770406051</v>
      </c>
      <c r="AN57" s="189">
        <f t="shared" si="61"/>
        <v>15.480506101073939</v>
      </c>
      <c r="AO57" s="189">
        <f t="shared" si="61"/>
        <v>14.660222037626259</v>
      </c>
      <c r="AP57" s="189">
        <f t="shared" si="61"/>
        <v>14.680478397934866</v>
      </c>
      <c r="AQ57" s="91" t="str">
        <f t="shared" si="62"/>
        <v>20-24</v>
      </c>
      <c r="AR57" s="189">
        <f t="shared" si="63"/>
        <v>100.04998917907284</v>
      </c>
      <c r="AS57" s="189">
        <f t="shared" si="63"/>
        <v>94.987958354396682</v>
      </c>
      <c r="AT57" s="189">
        <f t="shared" si="63"/>
        <v>103.98462410352381</v>
      </c>
      <c r="AU57" s="189">
        <f t="shared" si="63"/>
        <v>110.10453597404138</v>
      </c>
      <c r="AV57" s="189">
        <f t="shared" si="63"/>
        <v>122.21236614011708</v>
      </c>
      <c r="AW57" s="188"/>
      <c r="AX57" s="189">
        <f t="shared" si="64"/>
        <v>99.830703255982527</v>
      </c>
      <c r="AY57" s="189">
        <f t="shared" si="64"/>
        <v>94.78083623451991</v>
      </c>
      <c r="AZ57" s="189">
        <f t="shared" si="64"/>
        <v>103.75807484517797</v>
      </c>
      <c r="BA57" s="189">
        <f t="shared" si="64"/>
        <v>109.86373714713562</v>
      </c>
      <c r="BB57" s="189">
        <f t="shared" si="64"/>
        <v>121.94555113721529</v>
      </c>
      <c r="BC57" s="188"/>
      <c r="BD57" s="189">
        <f t="shared" si="65"/>
        <v>0.21928592309030701</v>
      </c>
      <c r="BE57" s="189">
        <f t="shared" si="65"/>
        <v>0.20712211987677406</v>
      </c>
      <c r="BF57" s="189">
        <f t="shared" si="65"/>
        <v>0.2265492583458453</v>
      </c>
      <c r="BG57" s="189">
        <f t="shared" si="65"/>
        <v>0.24079882690576235</v>
      </c>
      <c r="BH57" s="189">
        <f t="shared" si="65"/>
        <v>0.26681500290179178</v>
      </c>
    </row>
    <row r="58" spans="1:60" x14ac:dyDescent="0.2">
      <c r="A58" s="91" t="str">
        <f t="shared" si="53"/>
        <v>25-29</v>
      </c>
      <c r="B58" s="189">
        <f t="shared" si="54"/>
        <v>83.10566032859262</v>
      </c>
      <c r="C58" s="189">
        <f t="shared" si="54"/>
        <v>92.922114197332945</v>
      </c>
      <c r="D58" s="189">
        <f t="shared" si="54"/>
        <v>81.756122550300972</v>
      </c>
      <c r="E58" s="189">
        <f t="shared" si="54"/>
        <v>81.088950586198422</v>
      </c>
      <c r="F58" s="189">
        <f t="shared" si="54"/>
        <v>71.085865926883031</v>
      </c>
      <c r="G58" s="188"/>
      <c r="H58" s="189">
        <f t="shared" si="55"/>
        <v>23.608107087454297</v>
      </c>
      <c r="I58" s="189">
        <f t="shared" si="55"/>
        <v>26.378552793035944</v>
      </c>
      <c r="J58" s="189">
        <f t="shared" si="55"/>
        <v>23.222779194804581</v>
      </c>
      <c r="K58" s="189">
        <f t="shared" si="55"/>
        <v>23.044303745971408</v>
      </c>
      <c r="L58" s="189">
        <f t="shared" si="55"/>
        <v>20.194793417876976</v>
      </c>
      <c r="M58" s="188"/>
      <c r="N58" s="189">
        <f t="shared" si="56"/>
        <v>59.49755324113832</v>
      </c>
      <c r="O58" s="189">
        <f t="shared" si="56"/>
        <v>66.543561404296995</v>
      </c>
      <c r="P58" s="189">
        <f t="shared" si="56"/>
        <v>58.533343355496399</v>
      </c>
      <c r="Q58" s="189">
        <f t="shared" si="56"/>
        <v>58.04464684022701</v>
      </c>
      <c r="R58" s="189">
        <f t="shared" si="56"/>
        <v>50.891072509006051</v>
      </c>
      <c r="S58" s="188"/>
      <c r="T58" s="189">
        <f t="shared" si="57"/>
        <v>0</v>
      </c>
      <c r="U58" s="189">
        <f t="shared" si="57"/>
        <v>0</v>
      </c>
      <c r="V58" s="189">
        <f t="shared" si="57"/>
        <v>0</v>
      </c>
      <c r="W58" s="189">
        <f t="shared" si="57"/>
        <v>0</v>
      </c>
      <c r="X58" s="189">
        <f t="shared" si="57"/>
        <v>0</v>
      </c>
      <c r="Y58" s="91" t="str">
        <f t="shared" si="58"/>
        <v>25-29</v>
      </c>
      <c r="Z58" s="189">
        <f t="shared" si="59"/>
        <v>253.52682972521137</v>
      </c>
      <c r="AA58" s="189">
        <f t="shared" si="59"/>
        <v>234.83645593614608</v>
      </c>
      <c r="AB58" s="189">
        <f t="shared" si="59"/>
        <v>239.38100582652388</v>
      </c>
      <c r="AC58" s="189">
        <f t="shared" si="59"/>
        <v>250.47379611646011</v>
      </c>
      <c r="AD58" s="189">
        <f t="shared" si="59"/>
        <v>242.75774055369266</v>
      </c>
      <c r="AE58" s="188"/>
      <c r="AF58" s="189">
        <f t="shared" si="60"/>
        <v>233.96361796129568</v>
      </c>
      <c r="AG58" s="189">
        <f t="shared" si="60"/>
        <v>216.69951214512702</v>
      </c>
      <c r="AH58" s="189">
        <f t="shared" si="60"/>
        <v>220.99938766367791</v>
      </c>
      <c r="AI58" s="189">
        <f t="shared" si="60"/>
        <v>231.32962388195671</v>
      </c>
      <c r="AJ58" s="189">
        <f t="shared" si="60"/>
        <v>224.27741219211396</v>
      </c>
      <c r="AK58" s="188"/>
      <c r="AL58" s="189">
        <f t="shared" si="61"/>
        <v>19.563211763915717</v>
      </c>
      <c r="AM58" s="189">
        <f t="shared" si="61"/>
        <v>18.13694379101905</v>
      </c>
      <c r="AN58" s="189">
        <f t="shared" si="61"/>
        <v>18.381618162845992</v>
      </c>
      <c r="AO58" s="189">
        <f t="shared" si="61"/>
        <v>19.144172234503415</v>
      </c>
      <c r="AP58" s="189">
        <f t="shared" si="61"/>
        <v>18.480328361578685</v>
      </c>
      <c r="AQ58" s="91" t="str">
        <f t="shared" si="62"/>
        <v>25-29</v>
      </c>
      <c r="AR58" s="189">
        <f t="shared" si="63"/>
        <v>268.657509946196</v>
      </c>
      <c r="AS58" s="189">
        <f t="shared" si="63"/>
        <v>278.23442986652105</v>
      </c>
      <c r="AT58" s="189">
        <f t="shared" si="63"/>
        <v>292.29787162317513</v>
      </c>
      <c r="AU58" s="189">
        <f t="shared" si="63"/>
        <v>322.87025329734149</v>
      </c>
      <c r="AV58" s="189">
        <f t="shared" si="63"/>
        <v>330.34739351942437</v>
      </c>
      <c r="AW58" s="188"/>
      <c r="AX58" s="189">
        <f t="shared" si="64"/>
        <v>266.3288913677211</v>
      </c>
      <c r="AY58" s="189">
        <f t="shared" si="64"/>
        <v>275.82018573820613</v>
      </c>
      <c r="AZ58" s="189">
        <f t="shared" si="64"/>
        <v>289.76922026464791</v>
      </c>
      <c r="BA58" s="189">
        <f t="shared" si="64"/>
        <v>320.08257546262871</v>
      </c>
      <c r="BB58" s="189">
        <f t="shared" si="64"/>
        <v>327.50130630655138</v>
      </c>
      <c r="BC58" s="188"/>
      <c r="BD58" s="189">
        <f t="shared" si="65"/>
        <v>2.3286185784749271</v>
      </c>
      <c r="BE58" s="189">
        <f t="shared" si="65"/>
        <v>2.414244128314877</v>
      </c>
      <c r="BF58" s="189">
        <f t="shared" si="65"/>
        <v>2.5286513585272092</v>
      </c>
      <c r="BG58" s="189">
        <f t="shared" si="65"/>
        <v>2.7876778347128019</v>
      </c>
      <c r="BH58" s="189">
        <f t="shared" si="65"/>
        <v>2.8460872128729875</v>
      </c>
    </row>
    <row r="59" spans="1:60" x14ac:dyDescent="0.2">
      <c r="A59" s="91" t="str">
        <f t="shared" si="53"/>
        <v>30-34</v>
      </c>
      <c r="B59" s="189">
        <f t="shared" si="54"/>
        <v>88.294623576316411</v>
      </c>
      <c r="C59" s="189">
        <f t="shared" si="54"/>
        <v>89.184182813705448</v>
      </c>
      <c r="D59" s="189">
        <f t="shared" si="54"/>
        <v>78.82086492460455</v>
      </c>
      <c r="E59" s="189">
        <f t="shared" si="54"/>
        <v>73.409248466261431</v>
      </c>
      <c r="F59" s="189">
        <f t="shared" si="54"/>
        <v>62.433211012240555</v>
      </c>
      <c r="G59" s="188"/>
      <c r="H59" s="189">
        <f t="shared" si="55"/>
        <v>28.30985950772898</v>
      </c>
      <c r="I59" s="189">
        <f t="shared" si="55"/>
        <v>28.523912034677551</v>
      </c>
      <c r="J59" s="189">
        <f t="shared" si="55"/>
        <v>25.261997348079788</v>
      </c>
      <c r="K59" s="189">
        <f t="shared" si="55"/>
        <v>23.527246978251746</v>
      </c>
      <c r="L59" s="189">
        <f t="shared" si="55"/>
        <v>20.017532858379102</v>
      </c>
      <c r="M59" s="188"/>
      <c r="N59" s="189">
        <f t="shared" si="56"/>
        <v>59.984764068587438</v>
      </c>
      <c r="O59" s="189">
        <f t="shared" si="56"/>
        <v>60.660270779027904</v>
      </c>
      <c r="P59" s="189">
        <f t="shared" si="56"/>
        <v>53.558867576524761</v>
      </c>
      <c r="Q59" s="189">
        <f t="shared" si="56"/>
        <v>49.882001488009664</v>
      </c>
      <c r="R59" s="189">
        <f t="shared" si="56"/>
        <v>42.41567815386145</v>
      </c>
      <c r="S59" s="188"/>
      <c r="T59" s="189">
        <f t="shared" si="57"/>
        <v>0</v>
      </c>
      <c r="U59" s="189">
        <f t="shared" si="57"/>
        <v>0</v>
      </c>
      <c r="V59" s="189">
        <f t="shared" si="57"/>
        <v>0</v>
      </c>
      <c r="W59" s="189">
        <f t="shared" si="57"/>
        <v>0</v>
      </c>
      <c r="X59" s="189">
        <f t="shared" si="57"/>
        <v>0</v>
      </c>
      <c r="Y59" s="91" t="str">
        <f t="shared" si="58"/>
        <v>30-34</v>
      </c>
      <c r="Z59" s="189">
        <f t="shared" si="59"/>
        <v>252.02853262692997</v>
      </c>
      <c r="AA59" s="189">
        <f t="shared" si="59"/>
        <v>241.95757229192009</v>
      </c>
      <c r="AB59" s="189">
        <f t="shared" si="59"/>
        <v>250.36416862690376</v>
      </c>
      <c r="AC59" s="189">
        <f t="shared" si="59"/>
        <v>260.01917178438288</v>
      </c>
      <c r="AD59" s="189">
        <f t="shared" si="59"/>
        <v>277.87154542964436</v>
      </c>
      <c r="AE59" s="188"/>
      <c r="AF59" s="189">
        <f t="shared" si="60"/>
        <v>233.37617479742303</v>
      </c>
      <c r="AG59" s="189">
        <f t="shared" si="60"/>
        <v>224.1436906659363</v>
      </c>
      <c r="AH59" s="189">
        <f t="shared" si="60"/>
        <v>231.98013090632361</v>
      </c>
      <c r="AI59" s="189">
        <f t="shared" si="60"/>
        <v>240.99879756210669</v>
      </c>
      <c r="AJ59" s="189">
        <f t="shared" si="60"/>
        <v>257.66322853004982</v>
      </c>
      <c r="AK59" s="188"/>
      <c r="AL59" s="189">
        <f t="shared" si="61"/>
        <v>18.65235782950694</v>
      </c>
      <c r="AM59" s="189">
        <f t="shared" si="61"/>
        <v>17.813881625983782</v>
      </c>
      <c r="AN59" s="189">
        <f t="shared" si="61"/>
        <v>18.384037720580174</v>
      </c>
      <c r="AO59" s="189">
        <f t="shared" si="61"/>
        <v>19.02037422227616</v>
      </c>
      <c r="AP59" s="189">
        <f t="shared" si="61"/>
        <v>20.208316899594564</v>
      </c>
      <c r="AQ59" s="91" t="str">
        <f t="shared" si="62"/>
        <v>30-34</v>
      </c>
      <c r="AR59" s="189">
        <f t="shared" si="63"/>
        <v>280.69384379675364</v>
      </c>
      <c r="AS59" s="189">
        <f t="shared" si="63"/>
        <v>298.74624489437451</v>
      </c>
      <c r="AT59" s="189">
        <f t="shared" si="63"/>
        <v>315.83096644849167</v>
      </c>
      <c r="AU59" s="189">
        <f t="shared" si="63"/>
        <v>342.31857974935576</v>
      </c>
      <c r="AV59" s="189">
        <f t="shared" si="63"/>
        <v>384.08524355811511</v>
      </c>
      <c r="AW59" s="188"/>
      <c r="AX59" s="189">
        <f t="shared" si="64"/>
        <v>275.62991148902091</v>
      </c>
      <c r="AY59" s="189">
        <f t="shared" si="64"/>
        <v>293.35345054546065</v>
      </c>
      <c r="AZ59" s="189">
        <f t="shared" si="64"/>
        <v>310.17909296528001</v>
      </c>
      <c r="BA59" s="189">
        <f t="shared" si="64"/>
        <v>336.2348278556392</v>
      </c>
      <c r="BB59" s="189">
        <f t="shared" si="64"/>
        <v>377.23616137901718</v>
      </c>
      <c r="BC59" s="188"/>
      <c r="BD59" s="189">
        <f t="shared" si="65"/>
        <v>5.063932307732685</v>
      </c>
      <c r="BE59" s="189">
        <f t="shared" si="65"/>
        <v>5.3927943489138421</v>
      </c>
      <c r="BF59" s="189">
        <f t="shared" si="65"/>
        <v>5.6518734832116824</v>
      </c>
      <c r="BG59" s="189">
        <f t="shared" si="65"/>
        <v>6.0837518937165616</v>
      </c>
      <c r="BH59" s="189">
        <f t="shared" si="65"/>
        <v>6.8490821790979144</v>
      </c>
    </row>
    <row r="60" spans="1:60" x14ac:dyDescent="0.2">
      <c r="A60" s="91" t="str">
        <f t="shared" si="53"/>
        <v>35-39</v>
      </c>
      <c r="B60" s="189">
        <f t="shared" si="54"/>
        <v>116.40573165092457</v>
      </c>
      <c r="C60" s="189">
        <f t="shared" si="54"/>
        <v>111.62087650319086</v>
      </c>
      <c r="D60" s="189">
        <f t="shared" si="54"/>
        <v>87.010674497835979</v>
      </c>
      <c r="E60" s="189">
        <f t="shared" si="54"/>
        <v>72.169455639072808</v>
      </c>
      <c r="F60" s="189">
        <f t="shared" si="54"/>
        <v>56.078787071994824</v>
      </c>
      <c r="G60" s="188"/>
      <c r="H60" s="189">
        <f t="shared" si="55"/>
        <v>35.263117567908004</v>
      </c>
      <c r="I60" s="189">
        <f t="shared" si="55"/>
        <v>33.826936328651151</v>
      </c>
      <c r="J60" s="189">
        <f t="shared" si="55"/>
        <v>26.372888660399127</v>
      </c>
      <c r="K60" s="189">
        <f t="shared" si="55"/>
        <v>21.873558995262968</v>
      </c>
      <c r="L60" s="189">
        <f t="shared" si="55"/>
        <v>16.999346797068803</v>
      </c>
      <c r="M60" s="188"/>
      <c r="N60" s="189">
        <f t="shared" si="56"/>
        <v>81.142614083016582</v>
      </c>
      <c r="O60" s="189">
        <f t="shared" si="56"/>
        <v>77.793940174539699</v>
      </c>
      <c r="P60" s="189">
        <f t="shared" si="56"/>
        <v>60.637785837436844</v>
      </c>
      <c r="Q60" s="189">
        <f t="shared" si="56"/>
        <v>50.29589664380984</v>
      </c>
      <c r="R60" s="189">
        <f t="shared" si="56"/>
        <v>39.079440274926021</v>
      </c>
      <c r="S60" s="188"/>
      <c r="T60" s="189">
        <f t="shared" si="57"/>
        <v>0</v>
      </c>
      <c r="U60" s="189">
        <f t="shared" si="57"/>
        <v>0</v>
      </c>
      <c r="V60" s="189">
        <f t="shared" si="57"/>
        <v>0</v>
      </c>
      <c r="W60" s="189">
        <f t="shared" si="57"/>
        <v>0</v>
      </c>
      <c r="X60" s="189">
        <f t="shared" si="57"/>
        <v>0</v>
      </c>
      <c r="Y60" s="91" t="str">
        <f t="shared" si="58"/>
        <v>35-39</v>
      </c>
      <c r="Z60" s="189">
        <f t="shared" si="59"/>
        <v>292.69516984616689</v>
      </c>
      <c r="AA60" s="189">
        <f t="shared" si="59"/>
        <v>264.43124011815416</v>
      </c>
      <c r="AB60" s="189">
        <f t="shared" si="59"/>
        <v>249.36383456629306</v>
      </c>
      <c r="AC60" s="189">
        <f t="shared" si="59"/>
        <v>265.62693121403328</v>
      </c>
      <c r="AD60" s="189">
        <f t="shared" si="59"/>
        <v>281.01300955525153</v>
      </c>
      <c r="AE60" s="188"/>
      <c r="AF60" s="189">
        <f t="shared" si="60"/>
        <v>274.90708265744615</v>
      </c>
      <c r="AG60" s="189">
        <f t="shared" si="60"/>
        <v>248.33674178769135</v>
      </c>
      <c r="AH60" s="189">
        <f t="shared" si="60"/>
        <v>234.22524163699583</v>
      </c>
      <c r="AI60" s="189">
        <f t="shared" si="60"/>
        <v>249.52613818829445</v>
      </c>
      <c r="AJ60" s="189">
        <f t="shared" si="60"/>
        <v>264.00561865600736</v>
      </c>
      <c r="AK60" s="188"/>
      <c r="AL60" s="189">
        <f t="shared" si="61"/>
        <v>17.788087188720716</v>
      </c>
      <c r="AM60" s="189">
        <f t="shared" si="61"/>
        <v>16.094498330462777</v>
      </c>
      <c r="AN60" s="189">
        <f t="shared" si="61"/>
        <v>15.138592929297266</v>
      </c>
      <c r="AO60" s="189">
        <f t="shared" si="61"/>
        <v>16.100793025738767</v>
      </c>
      <c r="AP60" s="189">
        <f t="shared" si="61"/>
        <v>17.007390899244211</v>
      </c>
      <c r="AQ60" s="91" t="str">
        <f t="shared" si="62"/>
        <v>35-39</v>
      </c>
      <c r="AR60" s="189">
        <f t="shared" si="63"/>
        <v>271.17009850290862</v>
      </c>
      <c r="AS60" s="189">
        <f t="shared" si="63"/>
        <v>299.350883378655</v>
      </c>
      <c r="AT60" s="189">
        <f t="shared" si="63"/>
        <v>309.54249093587089</v>
      </c>
      <c r="AU60" s="189">
        <f t="shared" si="63"/>
        <v>347.30661314689394</v>
      </c>
      <c r="AV60" s="189">
        <f t="shared" si="63"/>
        <v>383.85620337275361</v>
      </c>
      <c r="AW60" s="188"/>
      <c r="AX60" s="189">
        <f t="shared" si="64"/>
        <v>266.39031937491359</v>
      </c>
      <c r="AY60" s="189">
        <f t="shared" si="64"/>
        <v>294.09970734798696</v>
      </c>
      <c r="AZ60" s="189">
        <f t="shared" si="64"/>
        <v>304.18685308252333</v>
      </c>
      <c r="BA60" s="189">
        <f t="shared" si="64"/>
        <v>341.32613291295013</v>
      </c>
      <c r="BB60" s="189">
        <f t="shared" si="64"/>
        <v>377.26357305597628</v>
      </c>
      <c r="BC60" s="188"/>
      <c r="BD60" s="189">
        <f t="shared" si="65"/>
        <v>4.7797791279950284</v>
      </c>
      <c r="BE60" s="189">
        <f t="shared" si="65"/>
        <v>5.2511760306679776</v>
      </c>
      <c r="BF60" s="189">
        <f t="shared" si="65"/>
        <v>5.3556378533475719</v>
      </c>
      <c r="BG60" s="189">
        <f t="shared" si="65"/>
        <v>5.9804802339438368</v>
      </c>
      <c r="BH60" s="189">
        <f t="shared" si="65"/>
        <v>6.5926303167773872</v>
      </c>
    </row>
    <row r="61" spans="1:60" x14ac:dyDescent="0.2">
      <c r="A61" s="91" t="str">
        <f t="shared" si="53"/>
        <v>40-44</v>
      </c>
      <c r="B61" s="189">
        <f t="shared" si="54"/>
        <v>156.26741886428681</v>
      </c>
      <c r="C61" s="189">
        <f t="shared" si="54"/>
        <v>138.06633532257501</v>
      </c>
      <c r="D61" s="189">
        <f t="shared" si="54"/>
        <v>102.04230405027101</v>
      </c>
      <c r="E61" s="189">
        <f t="shared" si="54"/>
        <v>72.607670352464169</v>
      </c>
      <c r="F61" s="189">
        <f t="shared" si="54"/>
        <v>53.870397558877769</v>
      </c>
      <c r="G61" s="188"/>
      <c r="H61" s="189">
        <f t="shared" si="55"/>
        <v>49.7957894254127</v>
      </c>
      <c r="I61" s="189">
        <f t="shared" si="55"/>
        <v>43.898270250594351</v>
      </c>
      <c r="J61" s="189">
        <f t="shared" si="55"/>
        <v>32.409044993954737</v>
      </c>
      <c r="K61" s="189">
        <f t="shared" si="55"/>
        <v>23.036152368803652</v>
      </c>
      <c r="L61" s="189">
        <f t="shared" si="55"/>
        <v>17.053911147098564</v>
      </c>
      <c r="M61" s="188"/>
      <c r="N61" s="189">
        <f t="shared" si="56"/>
        <v>106.47162943887409</v>
      </c>
      <c r="O61" s="189">
        <f t="shared" si="56"/>
        <v>94.168065071980649</v>
      </c>
      <c r="P61" s="189">
        <f t="shared" si="56"/>
        <v>69.633259056316291</v>
      </c>
      <c r="Q61" s="189">
        <f t="shared" si="56"/>
        <v>49.571517983660513</v>
      </c>
      <c r="R61" s="189">
        <f t="shared" si="56"/>
        <v>36.816486411779202</v>
      </c>
      <c r="S61" s="188"/>
      <c r="T61" s="189">
        <f t="shared" si="57"/>
        <v>0</v>
      </c>
      <c r="U61" s="189">
        <f t="shared" si="57"/>
        <v>0</v>
      </c>
      <c r="V61" s="189">
        <f t="shared" si="57"/>
        <v>0</v>
      </c>
      <c r="W61" s="189">
        <f t="shared" si="57"/>
        <v>0</v>
      </c>
      <c r="X61" s="189">
        <f t="shared" si="57"/>
        <v>0</v>
      </c>
      <c r="Y61" s="91" t="str">
        <f t="shared" si="58"/>
        <v>40-44</v>
      </c>
      <c r="Z61" s="189">
        <f t="shared" si="59"/>
        <v>297.53049844792429</v>
      </c>
      <c r="AA61" s="189">
        <f t="shared" si="59"/>
        <v>279.21152782576593</v>
      </c>
      <c r="AB61" s="189">
        <f t="shared" si="59"/>
        <v>264.15997152705989</v>
      </c>
      <c r="AC61" s="189">
        <f t="shared" si="59"/>
        <v>265.769688987834</v>
      </c>
      <c r="AD61" s="189">
        <f t="shared" si="59"/>
        <v>285.38300501207038</v>
      </c>
      <c r="AE61" s="188"/>
      <c r="AF61" s="189">
        <f t="shared" si="60"/>
        <v>281.6051488677208</v>
      </c>
      <c r="AG61" s="189">
        <f t="shared" si="60"/>
        <v>264.27565335337636</v>
      </c>
      <c r="AH61" s="189">
        <f t="shared" si="60"/>
        <v>250.06064702096575</v>
      </c>
      <c r="AI61" s="189">
        <f t="shared" si="60"/>
        <v>251.59948400746447</v>
      </c>
      <c r="AJ61" s="189">
        <f t="shared" si="60"/>
        <v>270.1868670204085</v>
      </c>
      <c r="AK61" s="188"/>
      <c r="AL61" s="189">
        <f t="shared" si="61"/>
        <v>15.925349580203488</v>
      </c>
      <c r="AM61" s="189">
        <f t="shared" si="61"/>
        <v>14.935874472389486</v>
      </c>
      <c r="AN61" s="189">
        <f t="shared" si="61"/>
        <v>14.099324506094138</v>
      </c>
      <c r="AO61" s="189">
        <f t="shared" si="61"/>
        <v>14.170204980369528</v>
      </c>
      <c r="AP61" s="189">
        <f t="shared" si="61"/>
        <v>15.196137991661878</v>
      </c>
      <c r="AQ61" s="91" t="str">
        <f t="shared" si="62"/>
        <v>40-44</v>
      </c>
      <c r="AR61" s="189">
        <f t="shared" si="63"/>
        <v>254.53008268778893</v>
      </c>
      <c r="AS61" s="189">
        <f t="shared" si="63"/>
        <v>277.04113685165908</v>
      </c>
      <c r="AT61" s="189">
        <f t="shared" si="63"/>
        <v>302.03972442266905</v>
      </c>
      <c r="AU61" s="189">
        <f t="shared" si="63"/>
        <v>315.32964065970185</v>
      </c>
      <c r="AV61" s="189">
        <f t="shared" si="63"/>
        <v>349.0545974290518</v>
      </c>
      <c r="AW61" s="188"/>
      <c r="AX61" s="189">
        <f t="shared" si="64"/>
        <v>250.24828407721705</v>
      </c>
      <c r="AY61" s="189">
        <f t="shared" si="64"/>
        <v>272.4224484468516</v>
      </c>
      <c r="AZ61" s="189">
        <f t="shared" si="64"/>
        <v>297.01618494130969</v>
      </c>
      <c r="BA61" s="189">
        <f t="shared" si="64"/>
        <v>310.0976851562209</v>
      </c>
      <c r="BB61" s="189">
        <f t="shared" si="64"/>
        <v>343.26501484324086</v>
      </c>
      <c r="BC61" s="188"/>
      <c r="BD61" s="189">
        <f t="shared" si="65"/>
        <v>4.2817986105719035</v>
      </c>
      <c r="BE61" s="189">
        <f t="shared" si="65"/>
        <v>4.6186884048075676</v>
      </c>
      <c r="BF61" s="189">
        <f t="shared" si="65"/>
        <v>5.0235394813593235</v>
      </c>
      <c r="BG61" s="189">
        <f t="shared" si="65"/>
        <v>5.2319555034809255</v>
      </c>
      <c r="BH61" s="189">
        <f t="shared" si="65"/>
        <v>5.7895825858109662</v>
      </c>
    </row>
    <row r="62" spans="1:60" x14ac:dyDescent="0.2">
      <c r="A62" s="91" t="str">
        <f t="shared" si="53"/>
        <v>45-49</v>
      </c>
      <c r="B62" s="189">
        <f t="shared" si="54"/>
        <v>192.10532237663983</v>
      </c>
      <c r="C62" s="189">
        <f t="shared" si="54"/>
        <v>181.7014990686323</v>
      </c>
      <c r="D62" s="189">
        <f t="shared" si="54"/>
        <v>125.84366969436242</v>
      </c>
      <c r="E62" s="189">
        <f t="shared" si="54"/>
        <v>94.413771810554039</v>
      </c>
      <c r="F62" s="189">
        <f t="shared" si="54"/>
        <v>69.482068956144474</v>
      </c>
      <c r="G62" s="188"/>
      <c r="H62" s="189">
        <f t="shared" si="55"/>
        <v>63.114524104301118</v>
      </c>
      <c r="I62" s="189">
        <f t="shared" si="55"/>
        <v>59.680357878773279</v>
      </c>
      <c r="J62" s="189">
        <f t="shared" si="55"/>
        <v>41.135830568231285</v>
      </c>
      <c r="K62" s="189">
        <f t="shared" si="55"/>
        <v>30.734675124538327</v>
      </c>
      <c r="L62" s="189">
        <f t="shared" si="55"/>
        <v>22.525760365918362</v>
      </c>
      <c r="M62" s="188"/>
      <c r="N62" s="189">
        <f t="shared" si="56"/>
        <v>128.99079827233871</v>
      </c>
      <c r="O62" s="189">
        <f t="shared" si="56"/>
        <v>122.02114118985901</v>
      </c>
      <c r="P62" s="189">
        <f t="shared" si="56"/>
        <v>84.707839126131134</v>
      </c>
      <c r="Q62" s="189">
        <f t="shared" si="56"/>
        <v>63.679096686015725</v>
      </c>
      <c r="R62" s="189">
        <f t="shared" si="56"/>
        <v>46.956308590226101</v>
      </c>
      <c r="S62" s="188"/>
      <c r="T62" s="189">
        <f t="shared" si="57"/>
        <v>0</v>
      </c>
      <c r="U62" s="189">
        <f t="shared" si="57"/>
        <v>0</v>
      </c>
      <c r="V62" s="189">
        <f t="shared" si="57"/>
        <v>0</v>
      </c>
      <c r="W62" s="189">
        <f t="shared" si="57"/>
        <v>0</v>
      </c>
      <c r="X62" s="189">
        <f t="shared" si="57"/>
        <v>0</v>
      </c>
      <c r="Y62" s="91" t="str">
        <f t="shared" si="58"/>
        <v>45-49</v>
      </c>
      <c r="Z62" s="189">
        <f t="shared" si="59"/>
        <v>259.3931665564873</v>
      </c>
      <c r="AA62" s="189">
        <f t="shared" si="59"/>
        <v>259.85569110569543</v>
      </c>
      <c r="AB62" s="189">
        <f t="shared" si="59"/>
        <v>276.06033600610709</v>
      </c>
      <c r="AC62" s="189">
        <f t="shared" si="59"/>
        <v>283.54672387522641</v>
      </c>
      <c r="AD62" s="189">
        <f t="shared" si="59"/>
        <v>287.849736988811</v>
      </c>
      <c r="AE62" s="188"/>
      <c r="AF62" s="189">
        <f t="shared" si="60"/>
        <v>247.30603323034916</v>
      </c>
      <c r="AG62" s="189">
        <f t="shared" si="60"/>
        <v>247.7788871489098</v>
      </c>
      <c r="AH62" s="189">
        <f t="shared" si="60"/>
        <v>263.21646229283618</v>
      </c>
      <c r="AI62" s="189">
        <f t="shared" si="60"/>
        <v>270.34872282364341</v>
      </c>
      <c r="AJ62" s="189">
        <f t="shared" si="60"/>
        <v>274.44279780539426</v>
      </c>
      <c r="AK62" s="188"/>
      <c r="AL62" s="189">
        <f t="shared" si="61"/>
        <v>12.087133326138117</v>
      </c>
      <c r="AM62" s="189">
        <f t="shared" si="61"/>
        <v>12.076803956785602</v>
      </c>
      <c r="AN62" s="189">
        <f t="shared" si="61"/>
        <v>12.84387371327092</v>
      </c>
      <c r="AO62" s="189">
        <f t="shared" si="61"/>
        <v>13.198001051582985</v>
      </c>
      <c r="AP62" s="189">
        <f t="shared" si="61"/>
        <v>13.40693918341676</v>
      </c>
      <c r="AQ62" s="91" t="str">
        <f t="shared" si="62"/>
        <v>45-49</v>
      </c>
      <c r="AR62" s="189">
        <f t="shared" si="63"/>
        <v>233.19851106687287</v>
      </c>
      <c r="AS62" s="189">
        <f t="shared" si="63"/>
        <v>255.42780982567223</v>
      </c>
      <c r="AT62" s="189">
        <f t="shared" si="63"/>
        <v>278.84899429953055</v>
      </c>
      <c r="AU62" s="189">
        <f t="shared" si="63"/>
        <v>292.33350431421957</v>
      </c>
      <c r="AV62" s="189">
        <f t="shared" si="63"/>
        <v>302.44819405504461</v>
      </c>
      <c r="AW62" s="188"/>
      <c r="AX62" s="189">
        <f t="shared" si="64"/>
        <v>228.81453920689103</v>
      </c>
      <c r="AY62" s="189">
        <f t="shared" si="64"/>
        <v>250.65558136759938</v>
      </c>
      <c r="AZ62" s="189">
        <f t="shared" si="64"/>
        <v>273.711876568962</v>
      </c>
      <c r="BA62" s="189">
        <f t="shared" si="64"/>
        <v>286.97795838324782</v>
      </c>
      <c r="BB62" s="189">
        <f t="shared" si="64"/>
        <v>296.93591992657696</v>
      </c>
      <c r="BC62" s="188"/>
      <c r="BD62" s="189">
        <f t="shared" si="65"/>
        <v>4.3839718599818829</v>
      </c>
      <c r="BE62" s="189">
        <f t="shared" si="65"/>
        <v>4.7722284580728216</v>
      </c>
      <c r="BF62" s="189">
        <f t="shared" si="65"/>
        <v>5.1371177305685114</v>
      </c>
      <c r="BG62" s="189">
        <f t="shared" si="65"/>
        <v>5.3555459309717897</v>
      </c>
      <c r="BH62" s="189">
        <f t="shared" si="65"/>
        <v>5.5122741284676167</v>
      </c>
    </row>
    <row r="63" spans="1:60" x14ac:dyDescent="0.2">
      <c r="A63" s="91" t="str">
        <f t="shared" si="53"/>
        <v>50-54</v>
      </c>
      <c r="B63" s="189">
        <f t="shared" si="54"/>
        <v>185.40604857322711</v>
      </c>
      <c r="C63" s="189">
        <f t="shared" si="54"/>
        <v>192.72292557560411</v>
      </c>
      <c r="D63" s="189">
        <f t="shared" si="54"/>
        <v>162.16719193834749</v>
      </c>
      <c r="E63" s="189">
        <f t="shared" si="54"/>
        <v>133.41410305220273</v>
      </c>
      <c r="F63" s="189">
        <f t="shared" si="54"/>
        <v>106.3528116102037</v>
      </c>
      <c r="G63" s="188"/>
      <c r="H63" s="189">
        <f t="shared" si="55"/>
        <v>66.691082872087563</v>
      </c>
      <c r="I63" s="189">
        <f t="shared" si="55"/>
        <v>69.308339401755902</v>
      </c>
      <c r="J63" s="189">
        <f t="shared" si="55"/>
        <v>58.294203339386414</v>
      </c>
      <c r="K63" s="189">
        <f t="shared" si="55"/>
        <v>47.904759864066669</v>
      </c>
      <c r="L63" s="189">
        <f t="shared" si="55"/>
        <v>38.151642732729172</v>
      </c>
      <c r="M63" s="188"/>
      <c r="N63" s="189">
        <f t="shared" si="56"/>
        <v>118.71496570113956</v>
      </c>
      <c r="O63" s="189">
        <f t="shared" si="56"/>
        <v>123.41458617384822</v>
      </c>
      <c r="P63" s="189">
        <f t="shared" si="56"/>
        <v>103.87298859896106</v>
      </c>
      <c r="Q63" s="189">
        <f t="shared" si="56"/>
        <v>85.509343188136071</v>
      </c>
      <c r="R63" s="189">
        <f t="shared" si="56"/>
        <v>68.201168877474544</v>
      </c>
      <c r="S63" s="188"/>
      <c r="T63" s="189">
        <f t="shared" si="57"/>
        <v>0</v>
      </c>
      <c r="U63" s="189">
        <f t="shared" si="57"/>
        <v>0</v>
      </c>
      <c r="V63" s="189">
        <f t="shared" si="57"/>
        <v>0</v>
      </c>
      <c r="W63" s="189">
        <f t="shared" si="57"/>
        <v>0</v>
      </c>
      <c r="X63" s="189">
        <f t="shared" si="57"/>
        <v>0</v>
      </c>
      <c r="Y63" s="91" t="str">
        <f t="shared" si="58"/>
        <v>50-54</v>
      </c>
      <c r="Z63" s="189">
        <f t="shared" si="59"/>
        <v>200.15705088001573</v>
      </c>
      <c r="AA63" s="189">
        <f t="shared" si="59"/>
        <v>218.54573674510601</v>
      </c>
      <c r="AB63" s="189">
        <f t="shared" si="59"/>
        <v>239.21960647496348</v>
      </c>
      <c r="AC63" s="189">
        <f t="shared" si="59"/>
        <v>257.81605841504751</v>
      </c>
      <c r="AD63" s="189">
        <f t="shared" si="59"/>
        <v>271.65581059286012</v>
      </c>
      <c r="AE63" s="188"/>
      <c r="AF63" s="189">
        <f t="shared" si="60"/>
        <v>190.04078964826027</v>
      </c>
      <c r="AG63" s="189">
        <f t="shared" si="60"/>
        <v>207.46488432579588</v>
      </c>
      <c r="AH63" s="189">
        <f t="shared" si="60"/>
        <v>227.09664617165495</v>
      </c>
      <c r="AI63" s="189">
        <f t="shared" si="60"/>
        <v>244.71475666454</v>
      </c>
      <c r="AJ63" s="189">
        <f t="shared" si="60"/>
        <v>257.79476785525156</v>
      </c>
      <c r="AK63" s="188"/>
      <c r="AL63" s="189">
        <f t="shared" si="61"/>
        <v>10.116261231755457</v>
      </c>
      <c r="AM63" s="189">
        <f t="shared" si="61"/>
        <v>11.080852419310158</v>
      </c>
      <c r="AN63" s="189">
        <f t="shared" si="61"/>
        <v>12.122960303308531</v>
      </c>
      <c r="AO63" s="189">
        <f t="shared" si="61"/>
        <v>13.101301750507519</v>
      </c>
      <c r="AP63" s="189">
        <f t="shared" si="61"/>
        <v>13.861042737608585</v>
      </c>
      <c r="AQ63" s="91" t="str">
        <f t="shared" si="62"/>
        <v>50-54</v>
      </c>
      <c r="AR63" s="189">
        <f t="shared" si="63"/>
        <v>172.51190054675715</v>
      </c>
      <c r="AS63" s="189">
        <f t="shared" si="63"/>
        <v>201.44733767928977</v>
      </c>
      <c r="AT63" s="189">
        <f t="shared" si="63"/>
        <v>243.89220158668905</v>
      </c>
      <c r="AU63" s="189">
        <f t="shared" si="63"/>
        <v>263.09583853274978</v>
      </c>
      <c r="AV63" s="189">
        <f t="shared" si="63"/>
        <v>278.2843777969361</v>
      </c>
      <c r="AW63" s="188"/>
      <c r="AX63" s="189">
        <f t="shared" si="64"/>
        <v>168.88787751101148</v>
      </c>
      <c r="AY63" s="189">
        <f t="shared" si="64"/>
        <v>197.35794837642953</v>
      </c>
      <c r="AZ63" s="189">
        <f t="shared" si="64"/>
        <v>238.9340888070729</v>
      </c>
      <c r="BA63" s="189">
        <f t="shared" si="64"/>
        <v>257.81671276903228</v>
      </c>
      <c r="BB63" s="189">
        <f t="shared" si="64"/>
        <v>272.79729732120262</v>
      </c>
      <c r="BC63" s="188"/>
      <c r="BD63" s="189">
        <f t="shared" si="65"/>
        <v>3.6240230357456578</v>
      </c>
      <c r="BE63" s="189">
        <f t="shared" si="65"/>
        <v>4.0893893028602495</v>
      </c>
      <c r="BF63" s="189">
        <f t="shared" si="65"/>
        <v>4.958112779616183</v>
      </c>
      <c r="BG63" s="189">
        <f t="shared" si="65"/>
        <v>5.2791257637175608</v>
      </c>
      <c r="BH63" s="189">
        <f t="shared" si="65"/>
        <v>5.4870804757334763</v>
      </c>
    </row>
    <row r="64" spans="1:60" x14ac:dyDescent="0.2">
      <c r="A64" s="91" t="str">
        <f t="shared" si="53"/>
        <v>55-59</v>
      </c>
      <c r="B64" s="189">
        <f t="shared" si="54"/>
        <v>118.1352024705036</v>
      </c>
      <c r="C64" s="189">
        <f t="shared" si="54"/>
        <v>125.51688761373863</v>
      </c>
      <c r="D64" s="189">
        <f t="shared" si="54"/>
        <v>135.69347634171973</v>
      </c>
      <c r="E64" s="189">
        <f t="shared" si="54"/>
        <v>127.61999627132217</v>
      </c>
      <c r="F64" s="189">
        <f t="shared" si="54"/>
        <v>103.83680807778796</v>
      </c>
      <c r="G64" s="188"/>
      <c r="H64" s="189">
        <f t="shared" si="55"/>
        <v>47.020085047969616</v>
      </c>
      <c r="I64" s="189">
        <f t="shared" si="55"/>
        <v>49.942017947737568</v>
      </c>
      <c r="J64" s="189">
        <f t="shared" si="55"/>
        <v>53.996980542501134</v>
      </c>
      <c r="K64" s="189">
        <f t="shared" si="55"/>
        <v>50.765369807184982</v>
      </c>
      <c r="L64" s="189">
        <f t="shared" si="55"/>
        <v>41.29898124275995</v>
      </c>
      <c r="M64" s="188"/>
      <c r="N64" s="189">
        <f t="shared" si="56"/>
        <v>71.115117422534013</v>
      </c>
      <c r="O64" s="189">
        <f t="shared" si="56"/>
        <v>75.574869666001078</v>
      </c>
      <c r="P64" s="189">
        <f t="shared" si="56"/>
        <v>81.696495799218582</v>
      </c>
      <c r="Q64" s="189">
        <f t="shared" si="56"/>
        <v>76.854626464137169</v>
      </c>
      <c r="R64" s="189">
        <f t="shared" si="56"/>
        <v>62.537826835028014</v>
      </c>
      <c r="S64" s="188"/>
      <c r="T64" s="189">
        <f t="shared" si="57"/>
        <v>0</v>
      </c>
      <c r="U64" s="189">
        <f t="shared" si="57"/>
        <v>0</v>
      </c>
      <c r="V64" s="189">
        <f t="shared" si="57"/>
        <v>0</v>
      </c>
      <c r="W64" s="189">
        <f t="shared" si="57"/>
        <v>0</v>
      </c>
      <c r="X64" s="189">
        <f t="shared" si="57"/>
        <v>0</v>
      </c>
      <c r="Y64" s="91" t="str">
        <f t="shared" si="58"/>
        <v>55-59</v>
      </c>
      <c r="Z64" s="189">
        <f t="shared" si="59"/>
        <v>122.81319674265731</v>
      </c>
      <c r="AA64" s="189">
        <f t="shared" si="59"/>
        <v>127.76576484388534</v>
      </c>
      <c r="AB64" s="189">
        <f t="shared" si="59"/>
        <v>167.56934646025536</v>
      </c>
      <c r="AC64" s="189">
        <f t="shared" si="59"/>
        <v>201.55893986495374</v>
      </c>
      <c r="AD64" s="189">
        <f t="shared" si="59"/>
        <v>218.03560485524812</v>
      </c>
      <c r="AE64" s="188"/>
      <c r="AF64" s="189">
        <f t="shared" si="60"/>
        <v>115.33146461461402</v>
      </c>
      <c r="AG64" s="189">
        <f t="shared" si="60"/>
        <v>119.93869463814224</v>
      </c>
      <c r="AH64" s="189">
        <f t="shared" si="60"/>
        <v>157.20305952301629</v>
      </c>
      <c r="AI64" s="189">
        <f t="shared" si="60"/>
        <v>189.09467188304029</v>
      </c>
      <c r="AJ64" s="189">
        <f t="shared" si="60"/>
        <v>204.52603798057652</v>
      </c>
      <c r="AK64" s="188"/>
      <c r="AL64" s="189">
        <f t="shared" si="61"/>
        <v>7.4817321280432685</v>
      </c>
      <c r="AM64" s="189">
        <f t="shared" si="61"/>
        <v>7.8270702057431016</v>
      </c>
      <c r="AN64" s="189">
        <f t="shared" si="61"/>
        <v>10.366286937239055</v>
      </c>
      <c r="AO64" s="189">
        <f t="shared" si="61"/>
        <v>12.464267981913423</v>
      </c>
      <c r="AP64" s="189">
        <f t="shared" si="61"/>
        <v>13.509566874671609</v>
      </c>
      <c r="AQ64" s="91" t="str">
        <f t="shared" si="62"/>
        <v>55-59</v>
      </c>
      <c r="AR64" s="189">
        <f t="shared" si="63"/>
        <v>115.94160078683907</v>
      </c>
      <c r="AS64" s="189">
        <f t="shared" si="63"/>
        <v>135.51634754237602</v>
      </c>
      <c r="AT64" s="189">
        <f t="shared" si="63"/>
        <v>177.65217719802493</v>
      </c>
      <c r="AU64" s="189">
        <f t="shared" si="63"/>
        <v>208.31606386372408</v>
      </c>
      <c r="AV64" s="189">
        <f t="shared" si="63"/>
        <v>226.8625870669639</v>
      </c>
      <c r="AW64" s="188"/>
      <c r="AX64" s="189">
        <f t="shared" si="64"/>
        <v>112.73432150536409</v>
      </c>
      <c r="AY64" s="189">
        <f t="shared" si="64"/>
        <v>131.84828185573497</v>
      </c>
      <c r="AZ64" s="189">
        <f t="shared" si="64"/>
        <v>173.0031356627903</v>
      </c>
      <c r="BA64" s="189">
        <f t="shared" si="64"/>
        <v>202.93168009516813</v>
      </c>
      <c r="BB64" s="189">
        <f t="shared" si="64"/>
        <v>221.04132666504691</v>
      </c>
      <c r="BC64" s="188"/>
      <c r="BD64" s="189">
        <f t="shared" si="65"/>
        <v>3.2072792814749906</v>
      </c>
      <c r="BE64" s="189">
        <f t="shared" si="65"/>
        <v>3.6680656866410524</v>
      </c>
      <c r="BF64" s="189">
        <f t="shared" si="65"/>
        <v>4.6490415352346357</v>
      </c>
      <c r="BG64" s="189">
        <f t="shared" si="65"/>
        <v>5.3843837685559581</v>
      </c>
      <c r="BH64" s="189">
        <f t="shared" si="65"/>
        <v>5.8212604019169705</v>
      </c>
    </row>
    <row r="65" spans="1:60" x14ac:dyDescent="0.2">
      <c r="A65" s="91" t="str">
        <f t="shared" si="53"/>
        <v>60-64</v>
      </c>
      <c r="B65" s="189">
        <f t="shared" si="54"/>
        <v>35.823218463615042</v>
      </c>
      <c r="C65" s="189">
        <f t="shared" si="54"/>
        <v>44.494263253571226</v>
      </c>
      <c r="D65" s="189">
        <f t="shared" si="54"/>
        <v>41.613632960941956</v>
      </c>
      <c r="E65" s="189">
        <f t="shared" si="54"/>
        <v>40.934965671055551</v>
      </c>
      <c r="F65" s="189">
        <f t="shared" si="54"/>
        <v>35.667541570413341</v>
      </c>
      <c r="G65" s="188"/>
      <c r="H65" s="189">
        <f t="shared" si="55"/>
        <v>16.931856207862616</v>
      </c>
      <c r="I65" s="189">
        <f t="shared" si="55"/>
        <v>21.062717164219428</v>
      </c>
      <c r="J65" s="189">
        <f t="shared" si="55"/>
        <v>19.717624343517112</v>
      </c>
      <c r="K65" s="189">
        <f t="shared" si="55"/>
        <v>19.381394399502241</v>
      </c>
      <c r="L65" s="189">
        <f t="shared" si="55"/>
        <v>16.879614538550584</v>
      </c>
      <c r="M65" s="188"/>
      <c r="N65" s="189">
        <f t="shared" si="56"/>
        <v>18.891362255752426</v>
      </c>
      <c r="O65" s="189">
        <f t="shared" si="56"/>
        <v>23.431546089351805</v>
      </c>
      <c r="P65" s="189">
        <f t="shared" si="56"/>
        <v>21.89600861742484</v>
      </c>
      <c r="Q65" s="189">
        <f t="shared" si="56"/>
        <v>21.553571271553317</v>
      </c>
      <c r="R65" s="189">
        <f t="shared" si="56"/>
        <v>18.787927031862754</v>
      </c>
      <c r="S65" s="188"/>
      <c r="T65" s="189">
        <f t="shared" si="57"/>
        <v>0</v>
      </c>
      <c r="U65" s="189">
        <f t="shared" si="57"/>
        <v>0</v>
      </c>
      <c r="V65" s="189">
        <f t="shared" si="57"/>
        <v>0</v>
      </c>
      <c r="W65" s="189">
        <f t="shared" si="57"/>
        <v>0</v>
      </c>
      <c r="X65" s="189">
        <f t="shared" si="57"/>
        <v>0</v>
      </c>
      <c r="Y65" s="91" t="str">
        <f t="shared" si="58"/>
        <v>60-64</v>
      </c>
      <c r="Z65" s="189">
        <f t="shared" si="59"/>
        <v>31.343339667083313</v>
      </c>
      <c r="AA65" s="189">
        <f t="shared" si="59"/>
        <v>37.400907742954743</v>
      </c>
      <c r="AB65" s="189">
        <f t="shared" si="59"/>
        <v>50.777770478130293</v>
      </c>
      <c r="AC65" s="189">
        <f t="shared" si="59"/>
        <v>66.266094080470012</v>
      </c>
      <c r="AD65" s="189">
        <f t="shared" si="59"/>
        <v>80.260766484007178</v>
      </c>
      <c r="AE65" s="188"/>
      <c r="AF65" s="189">
        <f t="shared" si="60"/>
        <v>29.203027553951088</v>
      </c>
      <c r="AG65" s="189">
        <f t="shared" si="60"/>
        <v>34.871395449563813</v>
      </c>
      <c r="AH65" s="189">
        <f t="shared" si="60"/>
        <v>47.209555911882788</v>
      </c>
      <c r="AI65" s="189">
        <f t="shared" si="60"/>
        <v>61.600974211672487</v>
      </c>
      <c r="AJ65" s="189">
        <f t="shared" si="60"/>
        <v>74.607227360463867</v>
      </c>
      <c r="AK65" s="188"/>
      <c r="AL65" s="189">
        <f t="shared" si="61"/>
        <v>2.1403121131322234</v>
      </c>
      <c r="AM65" s="189">
        <f t="shared" si="61"/>
        <v>2.5295122933909324</v>
      </c>
      <c r="AN65" s="189">
        <f t="shared" si="61"/>
        <v>3.5682145662475118</v>
      </c>
      <c r="AO65" s="189">
        <f t="shared" si="61"/>
        <v>4.6651198687975111</v>
      </c>
      <c r="AP65" s="189">
        <f t="shared" si="61"/>
        <v>5.6535391235433075</v>
      </c>
      <c r="AQ65" s="91" t="str">
        <f t="shared" si="62"/>
        <v>60-64</v>
      </c>
      <c r="AR65" s="189">
        <f t="shared" si="63"/>
        <v>38.517441869301649</v>
      </c>
      <c r="AS65" s="189">
        <f t="shared" si="63"/>
        <v>53.191829003474027</v>
      </c>
      <c r="AT65" s="189">
        <f t="shared" si="63"/>
        <v>71.393596560927747</v>
      </c>
      <c r="AU65" s="189">
        <f t="shared" si="63"/>
        <v>92.303940248474447</v>
      </c>
      <c r="AV65" s="189">
        <f t="shared" si="63"/>
        <v>113.97169194557949</v>
      </c>
      <c r="AW65" s="188"/>
      <c r="AX65" s="189">
        <f t="shared" si="64"/>
        <v>35.940957081944205</v>
      </c>
      <c r="AY65" s="189">
        <f t="shared" si="64"/>
        <v>49.626732053099445</v>
      </c>
      <c r="AZ65" s="189">
        <f t="shared" si="64"/>
        <v>66.596362264723197</v>
      </c>
      <c r="BA65" s="189">
        <f t="shared" si="64"/>
        <v>86.098448390329622</v>
      </c>
      <c r="BB65" s="189">
        <f t="shared" si="64"/>
        <v>106.3052407990122</v>
      </c>
      <c r="BC65" s="188"/>
      <c r="BD65" s="189">
        <f t="shared" si="65"/>
        <v>2.5764847873574377</v>
      </c>
      <c r="BE65" s="189">
        <f t="shared" si="65"/>
        <v>3.5650969503745911</v>
      </c>
      <c r="BF65" s="189">
        <f t="shared" si="65"/>
        <v>4.7972342962045555</v>
      </c>
      <c r="BG65" s="189">
        <f t="shared" si="65"/>
        <v>6.2054918581448213</v>
      </c>
      <c r="BH65" s="189">
        <f t="shared" si="65"/>
        <v>7.6664511465673009</v>
      </c>
    </row>
    <row r="66" spans="1:60" x14ac:dyDescent="0.2">
      <c r="A66" s="91" t="str">
        <f t="shared" si="53"/>
        <v>65+</v>
      </c>
      <c r="B66" s="189">
        <f t="shared" si="54"/>
        <v>11.948741166199174</v>
      </c>
      <c r="C66" s="189">
        <f t="shared" si="54"/>
        <v>16.460486596644937</v>
      </c>
      <c r="D66" s="189">
        <f t="shared" si="54"/>
        <v>15.029015503825972</v>
      </c>
      <c r="E66" s="189">
        <f t="shared" si="54"/>
        <v>11.903183363129848</v>
      </c>
      <c r="F66" s="189">
        <f t="shared" si="54"/>
        <v>9.8474191476518342</v>
      </c>
      <c r="G66" s="188"/>
      <c r="H66" s="189">
        <f t="shared" si="55"/>
        <v>6.3754329809595625</v>
      </c>
      <c r="I66" s="189">
        <f t="shared" si="55"/>
        <v>8.5871560944185141</v>
      </c>
      <c r="J66" s="189">
        <f t="shared" si="55"/>
        <v>7.8803923797716067</v>
      </c>
      <c r="K66" s="189">
        <f t="shared" si="55"/>
        <v>6.2399183159193861</v>
      </c>
      <c r="L66" s="189">
        <f t="shared" si="55"/>
        <v>5.2069403181851044</v>
      </c>
      <c r="M66" s="188"/>
      <c r="N66" s="189">
        <f t="shared" si="56"/>
        <v>5.5733081852396102</v>
      </c>
      <c r="O66" s="189">
        <f t="shared" si="56"/>
        <v>7.8733305022264224</v>
      </c>
      <c r="P66" s="189">
        <f t="shared" si="56"/>
        <v>7.1486231240543656</v>
      </c>
      <c r="Q66" s="189">
        <f t="shared" si="56"/>
        <v>5.6632650472104613</v>
      </c>
      <c r="R66" s="189">
        <f t="shared" si="56"/>
        <v>4.6404788294667298</v>
      </c>
      <c r="S66" s="188"/>
      <c r="T66" s="189">
        <f t="shared" si="57"/>
        <v>0</v>
      </c>
      <c r="U66" s="189">
        <f t="shared" si="57"/>
        <v>0</v>
      </c>
      <c r="V66" s="189">
        <f t="shared" si="57"/>
        <v>0</v>
      </c>
      <c r="W66" s="189">
        <f t="shared" si="57"/>
        <v>0</v>
      </c>
      <c r="X66" s="189">
        <f t="shared" si="57"/>
        <v>0</v>
      </c>
      <c r="Y66" s="91" t="str">
        <f t="shared" si="58"/>
        <v>65+</v>
      </c>
      <c r="Z66" s="189">
        <f t="shared" si="59"/>
        <v>7.8240804156386137</v>
      </c>
      <c r="AA66" s="189">
        <f t="shared" si="59"/>
        <v>9.9119242988728669</v>
      </c>
      <c r="AB66" s="189">
        <f t="shared" si="59"/>
        <v>11.008756624618567</v>
      </c>
      <c r="AC66" s="189">
        <f t="shared" si="59"/>
        <v>12.01446121472337</v>
      </c>
      <c r="AD66" s="189">
        <f t="shared" si="59"/>
        <v>13.854293318978709</v>
      </c>
      <c r="AE66" s="188"/>
      <c r="AF66" s="189">
        <f t="shared" si="60"/>
        <v>6.9255035254653912</v>
      </c>
      <c r="AG66" s="189">
        <f t="shared" si="60"/>
        <v>8.7952137061175186</v>
      </c>
      <c r="AH66" s="189">
        <f t="shared" si="60"/>
        <v>9.7331452985061144</v>
      </c>
      <c r="AI66" s="189">
        <f t="shared" si="60"/>
        <v>10.624866696548906</v>
      </c>
      <c r="AJ66" s="189">
        <f t="shared" si="60"/>
        <v>12.275904221835862</v>
      </c>
      <c r="AK66" s="188"/>
      <c r="AL66" s="189">
        <f t="shared" si="61"/>
        <v>0.89857689017322329</v>
      </c>
      <c r="AM66" s="189">
        <f t="shared" si="61"/>
        <v>1.1167105927553487</v>
      </c>
      <c r="AN66" s="189">
        <f t="shared" si="61"/>
        <v>1.2756113261124509</v>
      </c>
      <c r="AO66" s="189">
        <f t="shared" si="61"/>
        <v>1.389594518174466</v>
      </c>
      <c r="AP66" s="189">
        <f t="shared" si="61"/>
        <v>1.5783890971428471</v>
      </c>
      <c r="AQ66" s="91" t="str">
        <f t="shared" si="62"/>
        <v>65+</v>
      </c>
      <c r="AR66" s="189">
        <f t="shared" si="63"/>
        <v>12.792178418162218</v>
      </c>
      <c r="AS66" s="189">
        <f t="shared" si="63"/>
        <v>12.19158910448219</v>
      </c>
      <c r="AT66" s="189">
        <f t="shared" si="63"/>
        <v>19.366227871555463</v>
      </c>
      <c r="AU66" s="189">
        <f t="shared" si="63"/>
        <v>23.78335542214678</v>
      </c>
      <c r="AV66" s="189">
        <f t="shared" si="63"/>
        <v>30.011287533369462</v>
      </c>
      <c r="AW66" s="188"/>
      <c r="AX66" s="189">
        <f t="shared" si="64"/>
        <v>12.010493229987055</v>
      </c>
      <c r="AY66" s="189">
        <f t="shared" si="64"/>
        <v>11.529560727743291</v>
      </c>
      <c r="AZ66" s="189">
        <f t="shared" si="64"/>
        <v>18.211272058470012</v>
      </c>
      <c r="BA66" s="189">
        <f t="shared" si="64"/>
        <v>22.381962071636803</v>
      </c>
      <c r="BB66" s="189">
        <f t="shared" si="64"/>
        <v>28.299382615392936</v>
      </c>
      <c r="BC66" s="188"/>
      <c r="BD66" s="189">
        <f t="shared" si="65"/>
        <v>0.78168518817516097</v>
      </c>
      <c r="BE66" s="189">
        <f t="shared" si="65"/>
        <v>0.66202837673890058</v>
      </c>
      <c r="BF66" s="189">
        <f t="shared" si="65"/>
        <v>1.1549558130854503</v>
      </c>
      <c r="BG66" s="189">
        <f t="shared" si="65"/>
        <v>1.4013933505099772</v>
      </c>
      <c r="BH66" s="189">
        <f t="shared" si="65"/>
        <v>1.7119049179765302</v>
      </c>
    </row>
    <row r="67" spans="1:60" x14ac:dyDescent="0.2">
      <c r="B67" s="189"/>
      <c r="C67" s="189"/>
      <c r="D67" s="188"/>
      <c r="E67" s="188"/>
      <c r="F67" s="188"/>
      <c r="G67" s="188"/>
      <c r="H67" s="188"/>
      <c r="I67" s="188"/>
      <c r="J67" s="188"/>
      <c r="K67" s="188"/>
      <c r="L67" s="188"/>
      <c r="M67" s="188"/>
      <c r="N67" s="188"/>
      <c r="O67" s="188"/>
      <c r="P67" s="188"/>
      <c r="Q67" s="188"/>
      <c r="R67" s="188"/>
      <c r="S67" s="188"/>
      <c r="T67" s="94"/>
      <c r="U67" s="94"/>
      <c r="V67" s="94"/>
      <c r="W67" s="94"/>
      <c r="X67" s="94"/>
      <c r="Z67" s="189"/>
      <c r="AA67" s="189"/>
      <c r="AB67" s="188"/>
      <c r="AC67" s="188"/>
      <c r="AD67" s="188"/>
      <c r="AE67" s="188"/>
      <c r="AF67" s="188"/>
      <c r="AG67" s="188"/>
      <c r="AH67" s="188"/>
      <c r="AI67" s="188"/>
      <c r="AJ67" s="188"/>
      <c r="AK67" s="188"/>
      <c r="AL67" s="188"/>
      <c r="AM67" s="188"/>
      <c r="AN67" s="188"/>
      <c r="AO67" s="188"/>
      <c r="AP67" s="188"/>
      <c r="AR67" s="189"/>
      <c r="AS67" s="189"/>
      <c r="AT67" s="188"/>
      <c r="AU67" s="188"/>
      <c r="AV67" s="188"/>
      <c r="AW67" s="188"/>
      <c r="AX67" s="188"/>
      <c r="AY67" s="188"/>
      <c r="AZ67" s="188"/>
      <c r="BA67" s="188"/>
      <c r="BB67" s="188"/>
      <c r="BC67" s="188"/>
      <c r="BD67" s="188"/>
      <c r="BE67" s="188"/>
      <c r="BF67" s="188"/>
      <c r="BG67" s="188"/>
      <c r="BH67" s="188"/>
    </row>
    <row r="68" spans="1:60" x14ac:dyDescent="0.2">
      <c r="A68" s="114" t="str">
        <f>A20</f>
        <v>Males</v>
      </c>
      <c r="B68" s="94"/>
      <c r="C68" s="94"/>
      <c r="D68" s="94"/>
      <c r="E68" s="94"/>
      <c r="F68" s="189"/>
      <c r="G68" s="189"/>
      <c r="H68" s="189"/>
      <c r="I68" s="189"/>
      <c r="J68" s="189"/>
      <c r="K68" s="189"/>
      <c r="L68" s="189"/>
      <c r="M68" s="189"/>
      <c r="N68" s="189"/>
      <c r="O68" s="189"/>
      <c r="P68" s="189"/>
      <c r="Q68" s="189"/>
      <c r="R68" s="189"/>
      <c r="S68" s="189"/>
      <c r="T68" s="94"/>
      <c r="U68" s="94"/>
      <c r="V68" s="94"/>
      <c r="W68" s="94"/>
      <c r="X68" s="94"/>
      <c r="Y68" s="114" t="str">
        <f>Y20</f>
        <v>Males</v>
      </c>
      <c r="Z68" s="94"/>
      <c r="AA68" s="94"/>
      <c r="AB68" s="94"/>
      <c r="AC68" s="94"/>
      <c r="AD68" s="189"/>
      <c r="AE68" s="189"/>
      <c r="AF68" s="189"/>
      <c r="AG68" s="189"/>
      <c r="AH68" s="189"/>
      <c r="AI68" s="189"/>
      <c r="AJ68" s="189"/>
      <c r="AK68" s="189"/>
      <c r="AL68" s="189"/>
      <c r="AM68" s="189"/>
      <c r="AN68" s="189"/>
      <c r="AO68" s="189"/>
      <c r="AP68" s="189"/>
      <c r="AQ68" s="114" t="str">
        <f>AQ20</f>
        <v>Males</v>
      </c>
      <c r="AR68" s="94"/>
      <c r="AS68" s="94"/>
      <c r="AT68" s="94"/>
      <c r="AU68" s="94"/>
      <c r="AV68" s="189"/>
      <c r="AW68" s="189"/>
      <c r="AX68" s="189"/>
      <c r="AY68" s="189"/>
      <c r="AZ68" s="189"/>
      <c r="BA68" s="189"/>
      <c r="BB68" s="189"/>
      <c r="BC68" s="189"/>
      <c r="BD68" s="189"/>
      <c r="BE68" s="189"/>
      <c r="BF68" s="189"/>
      <c r="BG68" s="189"/>
      <c r="BH68" s="189"/>
    </row>
    <row r="69" spans="1:60" x14ac:dyDescent="0.2">
      <c r="A69" s="91" t="str">
        <f>A21</f>
        <v>15+</v>
      </c>
      <c r="B69" s="189">
        <f>SUM(B70:B80)</f>
        <v>668.34829787442732</v>
      </c>
      <c r="C69" s="189">
        <f t="shared" ref="C69:F69" si="66">SUM(C70:C80)</f>
        <v>679.97434318708918</v>
      </c>
      <c r="D69" s="189">
        <f t="shared" si="66"/>
        <v>576.0987188576471</v>
      </c>
      <c r="E69" s="189">
        <f t="shared" si="66"/>
        <v>506.60924483387572</v>
      </c>
      <c r="F69" s="189">
        <f t="shared" si="66"/>
        <v>424.17079532170612</v>
      </c>
      <c r="G69" s="189"/>
      <c r="H69" s="189">
        <f>SUM(H70:H80)</f>
        <v>216.57689663424574</v>
      </c>
      <c r="I69" s="189">
        <f t="shared" ref="I69:L69" si="67">SUM(I70:I80)</f>
        <v>222.01749682244036</v>
      </c>
      <c r="J69" s="189">
        <f t="shared" si="67"/>
        <v>189.97263257060061</v>
      </c>
      <c r="K69" s="189">
        <f t="shared" si="67"/>
        <v>168.03119397716577</v>
      </c>
      <c r="L69" s="189">
        <f t="shared" si="67"/>
        <v>140.23377379308036</v>
      </c>
      <c r="M69" s="189"/>
      <c r="N69" s="189">
        <f>SUM(N70:N80)</f>
        <v>451.77140124018155</v>
      </c>
      <c r="O69" s="189">
        <f t="shared" ref="O69:R69" si="68">SUM(O70:O80)</f>
        <v>457.95684636464887</v>
      </c>
      <c r="P69" s="189">
        <f t="shared" si="68"/>
        <v>386.12608628704652</v>
      </c>
      <c r="Q69" s="189">
        <f t="shared" si="68"/>
        <v>338.57805085670992</v>
      </c>
      <c r="R69" s="189">
        <f t="shared" si="68"/>
        <v>283.93702152862579</v>
      </c>
      <c r="S69" s="189"/>
      <c r="T69" s="189">
        <f>SUM(T70:T80)</f>
        <v>0</v>
      </c>
      <c r="U69" s="189">
        <f t="shared" ref="U69:X69" si="69">SUM(U70:U80)</f>
        <v>0</v>
      </c>
      <c r="V69" s="189">
        <f t="shared" si="69"/>
        <v>0</v>
      </c>
      <c r="W69" s="189">
        <f t="shared" si="69"/>
        <v>0</v>
      </c>
      <c r="X69" s="189">
        <f t="shared" si="69"/>
        <v>0</v>
      </c>
      <c r="Y69" s="91" t="str">
        <f>Y21</f>
        <v>15+</v>
      </c>
      <c r="Z69" s="189">
        <f>SUM(Z70:Z80)</f>
        <v>1110.8221091376672</v>
      </c>
      <c r="AA69" s="189">
        <f t="shared" ref="AA69:AD69" si="70">SUM(AA70:AA80)</f>
        <v>1081.2462760791657</v>
      </c>
      <c r="AB69" s="189">
        <f t="shared" si="70"/>
        <v>1129.3696341240161</v>
      </c>
      <c r="AC69" s="189">
        <f t="shared" si="70"/>
        <v>1196.947412591609</v>
      </c>
      <c r="AD69" s="189">
        <f t="shared" si="70"/>
        <v>1263.8735341848089</v>
      </c>
      <c r="AE69" s="189"/>
      <c r="AF69" s="189">
        <f>SUM(AF70:AF80)</f>
        <v>1048.6925402059803</v>
      </c>
      <c r="AG69" s="189">
        <f t="shared" ref="AG69:AJ69" si="71">SUM(AG70:AG80)</f>
        <v>1020.9879008290815</v>
      </c>
      <c r="AH69" s="189">
        <f t="shared" si="71"/>
        <v>1066.4680897558023</v>
      </c>
      <c r="AI69" s="189">
        <f t="shared" si="71"/>
        <v>1130.4132844970143</v>
      </c>
      <c r="AJ69" s="189">
        <f t="shared" si="71"/>
        <v>1193.6123831216405</v>
      </c>
      <c r="AK69" s="189"/>
      <c r="AL69" s="189">
        <f>SUM(AL70:AL80)</f>
        <v>62.12956893168694</v>
      </c>
      <c r="AM69" s="189">
        <f t="shared" ref="AM69:AP69" si="72">SUM(AM70:AM80)</f>
        <v>60.258375250084285</v>
      </c>
      <c r="AN69" s="189">
        <f t="shared" si="72"/>
        <v>62.90154436821414</v>
      </c>
      <c r="AO69" s="189">
        <f t="shared" si="72"/>
        <v>66.534128094594536</v>
      </c>
      <c r="AP69" s="189">
        <f t="shared" si="72"/>
        <v>70.261151063168086</v>
      </c>
      <c r="AQ69" s="91" t="str">
        <f>AQ21</f>
        <v>15+</v>
      </c>
      <c r="AR69" s="189">
        <f>SUM(AR70:AR80)</f>
        <v>858.87759298790547</v>
      </c>
      <c r="AS69" s="189">
        <f t="shared" ref="AS69:AV69" si="73">SUM(AS70:AS80)</f>
        <v>924.03238073374484</v>
      </c>
      <c r="AT69" s="189">
        <f t="shared" si="73"/>
        <v>1006.6636470183364</v>
      </c>
      <c r="AU69" s="189">
        <f t="shared" si="73"/>
        <v>1087.2593425745151</v>
      </c>
      <c r="AV69" s="189">
        <f t="shared" si="73"/>
        <v>1172.5296704934854</v>
      </c>
      <c r="AW69" s="189"/>
      <c r="AX69" s="189">
        <f>SUM(AX70:AX80)</f>
        <v>837.25747303433036</v>
      </c>
      <c r="AY69" s="189">
        <f t="shared" ref="AY69:BB69" si="74">SUM(AY70:AY80)</f>
        <v>900.46119959493876</v>
      </c>
      <c r="AZ69" s="189">
        <f t="shared" si="74"/>
        <v>980.19920817165428</v>
      </c>
      <c r="BA69" s="189">
        <f t="shared" si="74"/>
        <v>1058.1193206787443</v>
      </c>
      <c r="BB69" s="189">
        <f t="shared" si="74"/>
        <v>1140.618907885826</v>
      </c>
      <c r="BC69" s="189"/>
      <c r="BD69" s="189">
        <f>SUM(BD70:BD80)</f>
        <v>21.620119953575205</v>
      </c>
      <c r="BE69" s="189">
        <f t="shared" ref="BE69:BH69" si="75">SUM(BE70:BE80)</f>
        <v>23.571181138806118</v>
      </c>
      <c r="BF69" s="189">
        <f t="shared" si="75"/>
        <v>26.464438846682153</v>
      </c>
      <c r="BG69" s="189">
        <f t="shared" si="75"/>
        <v>29.140021895771127</v>
      </c>
      <c r="BH69" s="189">
        <f t="shared" si="75"/>
        <v>31.910762607659223</v>
      </c>
    </row>
    <row r="70" spans="1:60" x14ac:dyDescent="0.2">
      <c r="A70" s="91" t="str">
        <f t="shared" ref="A70:A80" si="76">A22</f>
        <v>15-19</v>
      </c>
      <c r="B70" s="189">
        <v>21.970306906103936</v>
      </c>
      <c r="C70" s="189">
        <v>20.026076119996116</v>
      </c>
      <c r="D70" s="189">
        <v>15.121179094017016</v>
      </c>
      <c r="E70" s="189">
        <v>17.089485140563891</v>
      </c>
      <c r="F70" s="188">
        <v>20.063648634933156</v>
      </c>
      <c r="G70" s="189"/>
      <c r="H70" s="189">
        <v>5.926181505924986</v>
      </c>
      <c r="I70" s="189">
        <v>5.4017609070647374</v>
      </c>
      <c r="J70" s="189">
        <v>4.0787280675207782</v>
      </c>
      <c r="K70" s="189">
        <v>4.6096697076419106</v>
      </c>
      <c r="L70" s="188">
        <v>5.4118921208641293</v>
      </c>
      <c r="M70" s="189"/>
      <c r="N70" s="189">
        <v>16.044125400178949</v>
      </c>
      <c r="O70" s="189">
        <v>14.624315212931378</v>
      </c>
      <c r="P70" s="189">
        <v>11.04245102649624</v>
      </c>
      <c r="Q70" s="189">
        <v>12.479815432921979</v>
      </c>
      <c r="R70" s="188">
        <v>14.651756514069028</v>
      </c>
      <c r="S70" s="189"/>
      <c r="T70" s="189">
        <v>0</v>
      </c>
      <c r="U70" s="189">
        <v>0</v>
      </c>
      <c r="V70" s="189">
        <v>0</v>
      </c>
      <c r="W70" s="189">
        <v>0</v>
      </c>
      <c r="X70" s="188">
        <v>0</v>
      </c>
      <c r="Y70" s="91" t="str">
        <f t="shared" ref="Y70:Y80" si="77">Y22</f>
        <v>15-19</v>
      </c>
      <c r="Z70" s="189">
        <v>17.840683082880268</v>
      </c>
      <c r="AA70" s="189">
        <v>14.680133047335039</v>
      </c>
      <c r="AB70" s="189">
        <v>13.72560965822832</v>
      </c>
      <c r="AC70" s="189">
        <v>15.436484788467865</v>
      </c>
      <c r="AD70" s="188">
        <v>18.541508530812692</v>
      </c>
      <c r="AE70" s="189"/>
      <c r="AF70" s="189">
        <v>16.8611671563519</v>
      </c>
      <c r="AG70" s="189">
        <v>13.874168165612016</v>
      </c>
      <c r="AH70" s="189">
        <v>12.972040867641711</v>
      </c>
      <c r="AI70" s="189">
        <v>14.588974970800006</v>
      </c>
      <c r="AJ70" s="188">
        <v>17.523528875034817</v>
      </c>
      <c r="AK70" s="189"/>
      <c r="AL70" s="189">
        <v>0.9795159265283645</v>
      </c>
      <c r="AM70" s="189">
        <v>0.80596488172302239</v>
      </c>
      <c r="AN70" s="189">
        <v>0.75356879058660964</v>
      </c>
      <c r="AO70" s="189">
        <v>0.84750981766786149</v>
      </c>
      <c r="AP70" s="188">
        <v>1.0179796557778724</v>
      </c>
      <c r="AQ70" s="91" t="str">
        <f t="shared" ref="AQ70:AQ80" si="78">AQ22</f>
        <v>15-19</v>
      </c>
      <c r="AR70" s="189">
        <v>0.10001001101580378</v>
      </c>
      <c r="AS70" s="189">
        <v>0.10679083266884004</v>
      </c>
      <c r="AT70" s="189">
        <v>1.2112477546660798E-3</v>
      </c>
      <c r="AU70" s="189">
        <v>6.0300709682370914E-3</v>
      </c>
      <c r="AV70" s="188">
        <v>1.0842834254153347E-2</v>
      </c>
      <c r="AW70" s="189"/>
      <c r="AX70" s="189">
        <v>6.6192985196819223E-2</v>
      </c>
      <c r="AY70" s="189">
        <v>7.0679138418197798E-2</v>
      </c>
      <c r="AZ70" s="189">
        <v>8.014133599071727E-4</v>
      </c>
      <c r="BA70" s="189">
        <v>3.9895924082780755E-3</v>
      </c>
      <c r="BB70" s="188">
        <v>7.1745268353603188E-3</v>
      </c>
      <c r="BC70" s="189"/>
      <c r="BD70" s="189">
        <v>3.3817025818984561E-2</v>
      </c>
      <c r="BE70" s="189">
        <v>3.6111694250642229E-2</v>
      </c>
      <c r="BF70" s="189">
        <v>4.0983439475890718E-4</v>
      </c>
      <c r="BG70" s="189">
        <v>2.0404785599590159E-3</v>
      </c>
      <c r="BH70" s="188">
        <v>3.6683074187930289E-3</v>
      </c>
    </row>
    <row r="71" spans="1:60" x14ac:dyDescent="0.2">
      <c r="A71" s="91" t="str">
        <f t="shared" si="76"/>
        <v>20-24</v>
      </c>
      <c r="B71" s="189">
        <v>42.835372944962316</v>
      </c>
      <c r="C71" s="189">
        <v>48.066292311616593</v>
      </c>
      <c r="D71" s="189">
        <v>41.397068793006476</v>
      </c>
      <c r="E71" s="189">
        <v>35.270255608267561</v>
      </c>
      <c r="F71" s="188">
        <v>32.498817128536295</v>
      </c>
      <c r="G71" s="189"/>
      <c r="H71" s="189">
        <v>9.7684866793085128</v>
      </c>
      <c r="I71" s="189">
        <v>10.961327650529908</v>
      </c>
      <c r="J71" s="189">
        <v>9.4404947503411645</v>
      </c>
      <c r="K71" s="189">
        <v>8.0432844087857056</v>
      </c>
      <c r="L71" s="188">
        <v>7.4112487352797149</v>
      </c>
      <c r="M71" s="189"/>
      <c r="N71" s="189">
        <v>33.0668862656538</v>
      </c>
      <c r="O71" s="189">
        <v>37.104964661086683</v>
      </c>
      <c r="P71" s="189">
        <v>31.956574042665309</v>
      </c>
      <c r="Q71" s="189">
        <v>27.226971199481849</v>
      </c>
      <c r="R71" s="188">
        <v>25.087568393256582</v>
      </c>
      <c r="S71" s="189"/>
      <c r="T71" s="189">
        <v>0</v>
      </c>
      <c r="U71" s="189">
        <v>0</v>
      </c>
      <c r="V71" s="189">
        <v>0</v>
      </c>
      <c r="W71" s="189">
        <v>0</v>
      </c>
      <c r="X71" s="188">
        <v>0</v>
      </c>
      <c r="Y71" s="91" t="str">
        <f t="shared" si="77"/>
        <v>20-24</v>
      </c>
      <c r="Z71" s="189">
        <v>117.60066097337621</v>
      </c>
      <c r="AA71" s="189">
        <v>116.00972577437592</v>
      </c>
      <c r="AB71" s="189">
        <v>117.37387172072432</v>
      </c>
      <c r="AC71" s="189">
        <v>109.8328571099937</v>
      </c>
      <c r="AD71" s="188">
        <v>112.18324785696579</v>
      </c>
      <c r="AE71" s="189"/>
      <c r="AF71" s="189">
        <v>109.40519835653062</v>
      </c>
      <c r="AG71" s="189">
        <v>107.92518380300695</v>
      </c>
      <c r="AH71" s="189">
        <v>109.19423291573709</v>
      </c>
      <c r="AI71" s="189">
        <v>102.17877037651678</v>
      </c>
      <c r="AJ71" s="188">
        <v>104.36530258032673</v>
      </c>
      <c r="AK71" s="189"/>
      <c r="AL71" s="189">
        <v>8.1954626168455889</v>
      </c>
      <c r="AM71" s="189">
        <v>8.0845419713689743</v>
      </c>
      <c r="AN71" s="189">
        <v>8.1796388049872402</v>
      </c>
      <c r="AO71" s="189">
        <v>7.6540867334769196</v>
      </c>
      <c r="AP71" s="188">
        <v>7.8179452766390698</v>
      </c>
      <c r="AQ71" s="91" t="str">
        <f t="shared" si="78"/>
        <v>20-24</v>
      </c>
      <c r="AR71" s="189">
        <v>35.953966081661484</v>
      </c>
      <c r="AS71" s="189">
        <v>35.412981914007489</v>
      </c>
      <c r="AT71" s="189">
        <v>39.05605948626922</v>
      </c>
      <c r="AU71" s="189">
        <v>40.227887281738759</v>
      </c>
      <c r="AV71" s="188">
        <v>45.244935014497926</v>
      </c>
      <c r="AW71" s="189"/>
      <c r="AX71" s="189">
        <v>35.894388197223741</v>
      </c>
      <c r="AY71" s="189">
        <v>35.354282498596831</v>
      </c>
      <c r="AZ71" s="189">
        <v>38.991316542918099</v>
      </c>
      <c r="BA71" s="189">
        <v>40.161217830179162</v>
      </c>
      <c r="BB71" s="188">
        <v>45.169897221289091</v>
      </c>
      <c r="BC71" s="189"/>
      <c r="BD71" s="189">
        <v>5.9577884437741695E-2</v>
      </c>
      <c r="BE71" s="189">
        <v>5.8699415410650713E-2</v>
      </c>
      <c r="BF71" s="189">
        <v>6.4742943351118576E-2</v>
      </c>
      <c r="BG71" s="189">
        <v>6.6669451559595388E-2</v>
      </c>
      <c r="BH71" s="188">
        <v>7.5037793208839618E-2</v>
      </c>
    </row>
    <row r="72" spans="1:60" x14ac:dyDescent="0.2">
      <c r="A72" s="91" t="str">
        <f t="shared" si="76"/>
        <v>25-29</v>
      </c>
      <c r="B72" s="189">
        <v>54.132987761997782</v>
      </c>
      <c r="C72" s="189">
        <v>59.30277365778997</v>
      </c>
      <c r="D72" s="189">
        <v>53.119400404129237</v>
      </c>
      <c r="E72" s="189">
        <v>53.434184420591016</v>
      </c>
      <c r="F72" s="188">
        <v>46.384829749714591</v>
      </c>
      <c r="G72" s="189"/>
      <c r="H72" s="189">
        <v>15.657402965414564</v>
      </c>
      <c r="I72" s="189">
        <v>17.15271266465906</v>
      </c>
      <c r="J72" s="189">
        <v>15.364227768456015</v>
      </c>
      <c r="K72" s="189">
        <v>15.455258797856304</v>
      </c>
      <c r="L72" s="188">
        <v>13.416311066916181</v>
      </c>
      <c r="M72" s="189"/>
      <c r="N72" s="189">
        <v>38.47558479658322</v>
      </c>
      <c r="O72" s="189">
        <v>42.150060993130907</v>
      </c>
      <c r="P72" s="189">
        <v>37.755172635673226</v>
      </c>
      <c r="Q72" s="189">
        <v>37.978925622734714</v>
      </c>
      <c r="R72" s="188">
        <v>32.968518682798404</v>
      </c>
      <c r="S72" s="189"/>
      <c r="T72" s="189">
        <v>0</v>
      </c>
      <c r="U72" s="189">
        <v>0</v>
      </c>
      <c r="V72" s="189">
        <v>0</v>
      </c>
      <c r="W72" s="189">
        <v>0</v>
      </c>
      <c r="X72" s="188">
        <v>0</v>
      </c>
      <c r="Y72" s="91" t="str">
        <f t="shared" si="77"/>
        <v>25-29</v>
      </c>
      <c r="Z72" s="189">
        <v>149.16941523155822</v>
      </c>
      <c r="AA72" s="189">
        <v>137.65111832560171</v>
      </c>
      <c r="AB72" s="189">
        <v>143.78119393240843</v>
      </c>
      <c r="AC72" s="189">
        <v>153.35525074005449</v>
      </c>
      <c r="AD72" s="188">
        <v>151.04532202229836</v>
      </c>
      <c r="AE72" s="189"/>
      <c r="AF72" s="189">
        <v>139.54207798178672</v>
      </c>
      <c r="AG72" s="189">
        <v>128.76718250907044</v>
      </c>
      <c r="AH72" s="189">
        <v>134.50166828917818</v>
      </c>
      <c r="AI72" s="189">
        <v>143.4577811169944</v>
      </c>
      <c r="AJ72" s="188">
        <v>141.29698663959073</v>
      </c>
      <c r="AK72" s="189"/>
      <c r="AL72" s="189">
        <v>9.6273372497715179</v>
      </c>
      <c r="AM72" s="189">
        <v>8.8839358165312774</v>
      </c>
      <c r="AN72" s="189">
        <v>9.2795256432302509</v>
      </c>
      <c r="AO72" s="189">
        <v>9.8974696230601076</v>
      </c>
      <c r="AP72" s="188">
        <v>9.7483353827076193</v>
      </c>
      <c r="AQ72" s="91" t="str">
        <f t="shared" si="78"/>
        <v>25-29</v>
      </c>
      <c r="AR72" s="189">
        <v>114.08059700644398</v>
      </c>
      <c r="AS72" s="189">
        <v>119.54710801660832</v>
      </c>
      <c r="AT72" s="189">
        <v>121.54440566346231</v>
      </c>
      <c r="AU72" s="189">
        <v>131.36556483935448</v>
      </c>
      <c r="AV72" s="188">
        <v>131.1628482279871</v>
      </c>
      <c r="AW72" s="189"/>
      <c r="AX72" s="189">
        <v>112.96810261144897</v>
      </c>
      <c r="AY72" s="189">
        <v>118.38128469844733</v>
      </c>
      <c r="AZ72" s="189">
        <v>120.35910614116368</v>
      </c>
      <c r="BA72" s="189">
        <v>130.08456385999412</v>
      </c>
      <c r="BB72" s="188">
        <v>129.88383705598</v>
      </c>
      <c r="BC72" s="189"/>
      <c r="BD72" s="189">
        <v>1.1124943949950061</v>
      </c>
      <c r="BE72" s="189">
        <v>1.1658233181609874</v>
      </c>
      <c r="BF72" s="189">
        <v>1.1852995222986344</v>
      </c>
      <c r="BG72" s="189">
        <v>1.2810009793603585</v>
      </c>
      <c r="BH72" s="188">
        <v>1.2790111720071109</v>
      </c>
    </row>
    <row r="73" spans="1:60" x14ac:dyDescent="0.2">
      <c r="A73" s="91" t="str">
        <f t="shared" si="76"/>
        <v>30-34</v>
      </c>
      <c r="B73" s="189">
        <v>59.746194470013975</v>
      </c>
      <c r="C73" s="189">
        <v>55.826048413105191</v>
      </c>
      <c r="D73" s="189">
        <v>52.687517039427384</v>
      </c>
      <c r="E73" s="189">
        <v>49.043992638223799</v>
      </c>
      <c r="F73" s="188">
        <v>42.215560181056873</v>
      </c>
      <c r="G73" s="189"/>
      <c r="H73" s="189">
        <v>19.460449413601172</v>
      </c>
      <c r="I73" s="189">
        <v>18.183578385321248</v>
      </c>
      <c r="J73" s="189">
        <v>17.161250414897957</v>
      </c>
      <c r="K73" s="189">
        <v>15.974514770585094</v>
      </c>
      <c r="L73" s="188">
        <v>13.750439228926275</v>
      </c>
      <c r="M73" s="189"/>
      <c r="N73" s="189">
        <v>40.285745056412807</v>
      </c>
      <c r="O73" s="189">
        <v>37.642470027783951</v>
      </c>
      <c r="P73" s="189">
        <v>35.526266624529427</v>
      </c>
      <c r="Q73" s="189">
        <v>33.069477867638696</v>
      </c>
      <c r="R73" s="188">
        <v>28.465120952130594</v>
      </c>
      <c r="S73" s="189"/>
      <c r="T73" s="189">
        <v>0</v>
      </c>
      <c r="U73" s="189">
        <v>0</v>
      </c>
      <c r="V73" s="189">
        <v>0</v>
      </c>
      <c r="W73" s="189">
        <v>0</v>
      </c>
      <c r="X73" s="188">
        <v>0</v>
      </c>
      <c r="Y73" s="91" t="str">
        <f t="shared" si="77"/>
        <v>30-34</v>
      </c>
      <c r="Z73" s="189">
        <v>143.97550755975615</v>
      </c>
      <c r="AA73" s="189">
        <v>143.04692062923695</v>
      </c>
      <c r="AB73" s="189">
        <v>150.54112992034914</v>
      </c>
      <c r="AC73" s="189">
        <v>160.10889854017847</v>
      </c>
      <c r="AD73" s="188">
        <v>177.21576862141688</v>
      </c>
      <c r="AE73" s="189"/>
      <c r="AF73" s="189">
        <v>134.51151244341474</v>
      </c>
      <c r="AG73" s="189">
        <v>133.6439199496856</v>
      </c>
      <c r="AH73" s="189">
        <v>140.64555798795368</v>
      </c>
      <c r="AI73" s="189">
        <v>149.58441151968711</v>
      </c>
      <c r="AJ73" s="188">
        <v>165.5667550636862</v>
      </c>
      <c r="AK73" s="189"/>
      <c r="AL73" s="189">
        <v>9.4639951163413958</v>
      </c>
      <c r="AM73" s="189">
        <v>9.4030006795513597</v>
      </c>
      <c r="AN73" s="189">
        <v>9.8955719323954607</v>
      </c>
      <c r="AO73" s="189">
        <v>10.524487020491364</v>
      </c>
      <c r="AP73" s="188">
        <v>11.649013557730687</v>
      </c>
      <c r="AQ73" s="91" t="str">
        <f t="shared" si="78"/>
        <v>30-34</v>
      </c>
      <c r="AR73" s="189">
        <v>126.29229797022987</v>
      </c>
      <c r="AS73" s="189">
        <v>134.62703095765789</v>
      </c>
      <c r="AT73" s="189">
        <v>139.10335304022348</v>
      </c>
      <c r="AU73" s="189">
        <v>148.01810882159774</v>
      </c>
      <c r="AV73" s="188">
        <v>167.58267119752625</v>
      </c>
      <c r="AW73" s="189"/>
      <c r="AX73" s="189">
        <v>122.95073277336256</v>
      </c>
      <c r="AY73" s="189">
        <v>131.06497700319039</v>
      </c>
      <c r="AZ73" s="189">
        <v>135.42281890028266</v>
      </c>
      <c r="BA73" s="189">
        <v>144.10171770063747</v>
      </c>
      <c r="BB73" s="188">
        <v>163.14861509949301</v>
      </c>
      <c r="BC73" s="189"/>
      <c r="BD73" s="189">
        <v>3.3415651968673079</v>
      </c>
      <c r="BE73" s="189">
        <v>3.5620539544675016</v>
      </c>
      <c r="BF73" s="189">
        <v>3.6805341399408</v>
      </c>
      <c r="BG73" s="189">
        <v>3.9163911209602649</v>
      </c>
      <c r="BH73" s="188">
        <v>4.434056098033226</v>
      </c>
    </row>
    <row r="74" spans="1:60" x14ac:dyDescent="0.2">
      <c r="A74" s="91" t="str">
        <f t="shared" si="76"/>
        <v>35-39</v>
      </c>
      <c r="B74" s="189">
        <v>72.389274390689224</v>
      </c>
      <c r="C74" s="189">
        <v>71.644104598988108</v>
      </c>
      <c r="D74" s="189">
        <v>56.546565915153813</v>
      </c>
      <c r="E74" s="189">
        <v>46.727112769454443</v>
      </c>
      <c r="F74" s="188">
        <v>36.765389039064232</v>
      </c>
      <c r="G74" s="189"/>
      <c r="H74" s="189">
        <v>22.092351099930109</v>
      </c>
      <c r="I74" s="189">
        <v>21.864916566985048</v>
      </c>
      <c r="J74" s="189">
        <v>17.257326348768249</v>
      </c>
      <c r="K74" s="189">
        <v>14.26057413503738</v>
      </c>
      <c r="L74" s="188">
        <v>11.220343143702051</v>
      </c>
      <c r="M74" s="189"/>
      <c r="N74" s="189">
        <v>50.296923290759125</v>
      </c>
      <c r="O74" s="189">
        <v>49.779188032003056</v>
      </c>
      <c r="P74" s="189">
        <v>39.289239566385561</v>
      </c>
      <c r="Q74" s="189">
        <v>32.466538634417063</v>
      </c>
      <c r="R74" s="188">
        <v>25.545045895362183</v>
      </c>
      <c r="S74" s="189"/>
      <c r="T74" s="189">
        <v>0</v>
      </c>
      <c r="U74" s="189">
        <v>0</v>
      </c>
      <c r="V74" s="189">
        <v>0</v>
      </c>
      <c r="W74" s="189">
        <v>0</v>
      </c>
      <c r="X74" s="188">
        <v>0</v>
      </c>
      <c r="Y74" s="91" t="str">
        <f t="shared" si="77"/>
        <v>35-39</v>
      </c>
      <c r="Z74" s="189">
        <v>168.36341500024318</v>
      </c>
      <c r="AA74" s="189">
        <v>149.22804572146893</v>
      </c>
      <c r="AB74" s="189">
        <v>145.3653492467291</v>
      </c>
      <c r="AC74" s="189">
        <v>157.84177384899948</v>
      </c>
      <c r="AD74" s="188">
        <v>170.08164787734725</v>
      </c>
      <c r="AE74" s="189"/>
      <c r="AF74" s="189">
        <v>158.73056855159768</v>
      </c>
      <c r="AG74" s="189">
        <v>140.68998106739087</v>
      </c>
      <c r="AH74" s="189">
        <v>137.0482794654304</v>
      </c>
      <c r="AI74" s="189">
        <v>148.81088905475639</v>
      </c>
      <c r="AJ74" s="188">
        <v>160.35047022072709</v>
      </c>
      <c r="AK74" s="189"/>
      <c r="AL74" s="189">
        <v>9.632846448645493</v>
      </c>
      <c r="AM74" s="189">
        <v>8.53806465407804</v>
      </c>
      <c r="AN74" s="189">
        <v>8.3170697812987289</v>
      </c>
      <c r="AO74" s="189">
        <v>9.0308847942430752</v>
      </c>
      <c r="AP74" s="188">
        <v>9.7311776566201527</v>
      </c>
      <c r="AQ74" s="91" t="str">
        <f t="shared" si="78"/>
        <v>35-39</v>
      </c>
      <c r="AR74" s="189">
        <v>130.00931060906763</v>
      </c>
      <c r="AS74" s="189">
        <v>141.63984967954292</v>
      </c>
      <c r="AT74" s="189">
        <v>140.96708483811705</v>
      </c>
      <c r="AU74" s="189">
        <v>156.05411338154607</v>
      </c>
      <c r="AV74" s="188">
        <v>171.1889630835885</v>
      </c>
      <c r="AW74" s="189"/>
      <c r="AX74" s="189">
        <v>126.80367098267918</v>
      </c>
      <c r="AY74" s="189">
        <v>138.14739398786907</v>
      </c>
      <c r="AZ74" s="189">
        <v>137.49128574990962</v>
      </c>
      <c r="BA74" s="189">
        <v>152.20632202622306</v>
      </c>
      <c r="BB74" s="188">
        <v>166.96792004521947</v>
      </c>
      <c r="BC74" s="189"/>
      <c r="BD74" s="189">
        <v>3.2056396263884279</v>
      </c>
      <c r="BE74" s="189">
        <v>3.4924556916738441</v>
      </c>
      <c r="BF74" s="189">
        <v>3.4757990882074257</v>
      </c>
      <c r="BG74" s="189">
        <v>3.8477913553230336</v>
      </c>
      <c r="BH74" s="188">
        <v>4.2210430383690394</v>
      </c>
    </row>
    <row r="75" spans="1:60" x14ac:dyDescent="0.2">
      <c r="A75" s="91" t="str">
        <f t="shared" si="76"/>
        <v>40-44</v>
      </c>
      <c r="B75" s="189">
        <v>93.704921018490225</v>
      </c>
      <c r="C75" s="189">
        <v>86.025081460274208</v>
      </c>
      <c r="D75" s="189">
        <v>64.749495706932109</v>
      </c>
      <c r="E75" s="189">
        <v>46.877352399091471</v>
      </c>
      <c r="F75" s="188">
        <v>36.022235674570041</v>
      </c>
      <c r="G75" s="189"/>
      <c r="H75" s="189">
        <v>28.726825295106707</v>
      </c>
      <c r="I75" s="189">
        <v>26.372500122799597</v>
      </c>
      <c r="J75" s="189">
        <v>19.850090685545279</v>
      </c>
      <c r="K75" s="189">
        <v>14.37105615293013</v>
      </c>
      <c r="L75" s="188">
        <v>11.043233820019529</v>
      </c>
      <c r="M75" s="189"/>
      <c r="N75" s="189">
        <v>64.978095723383518</v>
      </c>
      <c r="O75" s="189">
        <v>59.652581337474615</v>
      </c>
      <c r="P75" s="189">
        <v>44.899405021386841</v>
      </c>
      <c r="Q75" s="189">
        <v>32.506296246161341</v>
      </c>
      <c r="R75" s="188">
        <v>24.979001854550507</v>
      </c>
      <c r="S75" s="189"/>
      <c r="T75" s="189">
        <v>0</v>
      </c>
      <c r="U75" s="189">
        <v>0</v>
      </c>
      <c r="V75" s="189">
        <v>0</v>
      </c>
      <c r="W75" s="189">
        <v>0</v>
      </c>
      <c r="X75" s="188">
        <v>0</v>
      </c>
      <c r="Y75" s="91" t="str">
        <f t="shared" si="77"/>
        <v>40-44</v>
      </c>
      <c r="Z75" s="189">
        <v>164.09838718909504</v>
      </c>
      <c r="AA75" s="189">
        <v>154.9023270474899</v>
      </c>
      <c r="AB75" s="189">
        <v>149.73668224901951</v>
      </c>
      <c r="AC75" s="189">
        <v>152.17875641282711</v>
      </c>
      <c r="AD75" s="188">
        <v>165.42214209784782</v>
      </c>
      <c r="AE75" s="189"/>
      <c r="AF75" s="189">
        <v>156.03959735584664</v>
      </c>
      <c r="AG75" s="189">
        <v>147.29512638226808</v>
      </c>
      <c r="AH75" s="189">
        <v>142.38323098553826</v>
      </c>
      <c r="AI75" s="189">
        <v>144.70535111932526</v>
      </c>
      <c r="AJ75" s="188">
        <v>157.29833296840684</v>
      </c>
      <c r="AK75" s="189"/>
      <c r="AL75" s="189">
        <v>8.0587898332483814</v>
      </c>
      <c r="AM75" s="189">
        <v>7.6072006652217956</v>
      </c>
      <c r="AN75" s="189">
        <v>7.3534512634812508</v>
      </c>
      <c r="AO75" s="189">
        <v>7.4734052935018527</v>
      </c>
      <c r="AP75" s="188">
        <v>8.1238091294409802</v>
      </c>
      <c r="AQ75" s="91" t="str">
        <f t="shared" si="78"/>
        <v>40-44</v>
      </c>
      <c r="AR75" s="189">
        <v>126.01269179241478</v>
      </c>
      <c r="AS75" s="189">
        <v>132.67959149223591</v>
      </c>
      <c r="AT75" s="189">
        <v>143.37582204404833</v>
      </c>
      <c r="AU75" s="189">
        <v>148.33089118808141</v>
      </c>
      <c r="AV75" s="188">
        <v>163.98362222758209</v>
      </c>
      <c r="AW75" s="189"/>
      <c r="AX75" s="189">
        <v>123.30009020573293</v>
      </c>
      <c r="AY75" s="189">
        <v>129.8235193902282</v>
      </c>
      <c r="AZ75" s="189">
        <v>140.28954114726304</v>
      </c>
      <c r="BA75" s="189">
        <v>145.13792831010065</v>
      </c>
      <c r="BB75" s="188">
        <v>160.4537346018306</v>
      </c>
      <c r="BC75" s="189"/>
      <c r="BD75" s="189">
        <v>2.7126015866818696</v>
      </c>
      <c r="BE75" s="189">
        <v>2.85607210200773</v>
      </c>
      <c r="BF75" s="189">
        <v>3.0862808967852815</v>
      </c>
      <c r="BG75" s="189">
        <v>3.1929628779807668</v>
      </c>
      <c r="BH75" s="188">
        <v>3.5298876257514915</v>
      </c>
    </row>
    <row r="76" spans="1:60" x14ac:dyDescent="0.2">
      <c r="A76" s="91" t="str">
        <f t="shared" si="76"/>
        <v>45-49</v>
      </c>
      <c r="B76" s="189">
        <v>115.30181592604359</v>
      </c>
      <c r="C76" s="189">
        <v>109.33182845391168</v>
      </c>
      <c r="D76" s="189">
        <v>79.086091683348073</v>
      </c>
      <c r="E76" s="189">
        <v>61.499061829076247</v>
      </c>
      <c r="F76" s="188">
        <v>46.838498328679577</v>
      </c>
      <c r="G76" s="189"/>
      <c r="H76" s="189">
        <v>35.170555457916208</v>
      </c>
      <c r="I76" s="189">
        <v>33.349530919839154</v>
      </c>
      <c r="J76" s="189">
        <v>24.123666078720824</v>
      </c>
      <c r="K76" s="189">
        <v>18.759060670682956</v>
      </c>
      <c r="L76" s="188">
        <v>14.287158175019892</v>
      </c>
      <c r="M76" s="189"/>
      <c r="N76" s="189">
        <v>80.131260468127394</v>
      </c>
      <c r="O76" s="189">
        <v>75.982297534072529</v>
      </c>
      <c r="P76" s="189">
        <v>54.962425604627256</v>
      </c>
      <c r="Q76" s="189">
        <v>42.740001158393298</v>
      </c>
      <c r="R76" s="188">
        <v>32.55134015365968</v>
      </c>
      <c r="S76" s="189"/>
      <c r="T76" s="189">
        <v>0</v>
      </c>
      <c r="U76" s="189">
        <v>0</v>
      </c>
      <c r="V76" s="189">
        <v>0</v>
      </c>
      <c r="W76" s="189">
        <v>0</v>
      </c>
      <c r="X76" s="188">
        <v>0</v>
      </c>
      <c r="Y76" s="91" t="str">
        <f t="shared" si="77"/>
        <v>45-49</v>
      </c>
      <c r="Z76" s="189">
        <v>139.47645471921948</v>
      </c>
      <c r="AA76" s="189">
        <v>142.31555594986082</v>
      </c>
      <c r="AB76" s="189">
        <v>150.05821621827403</v>
      </c>
      <c r="AC76" s="189">
        <v>153.64746661870106</v>
      </c>
      <c r="AD76" s="188">
        <v>155.27997647346041</v>
      </c>
      <c r="AE76" s="189"/>
      <c r="AF76" s="189">
        <v>133.76971424566429</v>
      </c>
      <c r="AG76" s="189">
        <v>136.49269012868396</v>
      </c>
      <c r="AH76" s="189">
        <v>143.91849594775999</v>
      </c>
      <c r="AI76" s="189">
        <v>147.36094259416896</v>
      </c>
      <c r="AJ76" s="188">
        <v>148.92665752037087</v>
      </c>
      <c r="AK76" s="189"/>
      <c r="AL76" s="189">
        <v>5.7067404735551852</v>
      </c>
      <c r="AM76" s="189">
        <v>5.8228658211768556</v>
      </c>
      <c r="AN76" s="189">
        <v>6.1397202705140401</v>
      </c>
      <c r="AO76" s="189">
        <v>6.2865240245320777</v>
      </c>
      <c r="AP76" s="188">
        <v>6.3533189530895484</v>
      </c>
      <c r="AQ76" s="91" t="str">
        <f t="shared" si="78"/>
        <v>45-49</v>
      </c>
      <c r="AR76" s="189">
        <v>120.1197293547369</v>
      </c>
      <c r="AS76" s="189">
        <v>129.44461559622746</v>
      </c>
      <c r="AT76" s="189">
        <v>136.0726920983779</v>
      </c>
      <c r="AU76" s="189">
        <v>140.49347155222273</v>
      </c>
      <c r="AV76" s="188">
        <v>143.29652519786003</v>
      </c>
      <c r="AW76" s="189"/>
      <c r="AX76" s="189">
        <v>117.05294273548799</v>
      </c>
      <c r="AY76" s="189">
        <v>126.13980543389869</v>
      </c>
      <c r="AZ76" s="189">
        <v>132.59867152271417</v>
      </c>
      <c r="BA76" s="189">
        <v>136.90652744386634</v>
      </c>
      <c r="BB76" s="188">
        <v>139.63803926200524</v>
      </c>
      <c r="BC76" s="189"/>
      <c r="BD76" s="189">
        <v>3.0667866192489188</v>
      </c>
      <c r="BE76" s="189">
        <v>3.3048101623287747</v>
      </c>
      <c r="BF76" s="189">
        <v>3.4740205756637477</v>
      </c>
      <c r="BG76" s="189">
        <v>3.5869441083564158</v>
      </c>
      <c r="BH76" s="188">
        <v>3.6584859358547694</v>
      </c>
    </row>
    <row r="77" spans="1:60" x14ac:dyDescent="0.2">
      <c r="A77" s="91" t="str">
        <f t="shared" si="76"/>
        <v>50-54</v>
      </c>
      <c r="B77" s="189">
        <v>111.27520275605481</v>
      </c>
      <c r="C77" s="189">
        <v>116.43002391638842</v>
      </c>
      <c r="D77" s="189">
        <v>99.298446084176007</v>
      </c>
      <c r="E77" s="189">
        <v>84.486604991419114</v>
      </c>
      <c r="F77" s="188">
        <v>69.243878653988489</v>
      </c>
      <c r="G77" s="189"/>
      <c r="H77" s="189">
        <v>39.173130960659876</v>
      </c>
      <c r="I77" s="189">
        <v>40.987832117041947</v>
      </c>
      <c r="J77" s="189">
        <v>34.956838880438383</v>
      </c>
      <c r="K77" s="189">
        <v>29.742505447101941</v>
      </c>
      <c r="L77" s="188">
        <v>24.376494465649984</v>
      </c>
      <c r="M77" s="189"/>
      <c r="N77" s="189">
        <v>72.102071795394934</v>
      </c>
      <c r="O77" s="189">
        <v>75.442191799346489</v>
      </c>
      <c r="P77" s="189">
        <v>64.34160720373761</v>
      </c>
      <c r="Q77" s="189">
        <v>54.74409954431718</v>
      </c>
      <c r="R77" s="188">
        <v>44.867384188338512</v>
      </c>
      <c r="S77" s="189"/>
      <c r="T77" s="189">
        <v>0</v>
      </c>
      <c r="U77" s="189">
        <v>0</v>
      </c>
      <c r="V77" s="189">
        <v>0</v>
      </c>
      <c r="W77" s="189">
        <v>0</v>
      </c>
      <c r="X77" s="188">
        <v>0</v>
      </c>
      <c r="Y77" s="91" t="str">
        <f t="shared" si="77"/>
        <v>50-54</v>
      </c>
      <c r="Z77" s="189">
        <v>113.3960574955765</v>
      </c>
      <c r="AA77" s="189">
        <v>121.59249637417638</v>
      </c>
      <c r="AB77" s="189">
        <v>133.48105449911949</v>
      </c>
      <c r="AC77" s="189">
        <v>141.58741797337134</v>
      </c>
      <c r="AD77" s="188">
        <v>145.63112009368126</v>
      </c>
      <c r="AE77" s="189"/>
      <c r="AF77" s="189">
        <v>108.44421929852143</v>
      </c>
      <c r="AG77" s="189">
        <v>116.28270261170104</v>
      </c>
      <c r="AH77" s="189">
        <v>127.65209448250005</v>
      </c>
      <c r="AI77" s="189">
        <v>135.40448983032255</v>
      </c>
      <c r="AJ77" s="188">
        <v>139.27159339268175</v>
      </c>
      <c r="AK77" s="189"/>
      <c r="AL77" s="189">
        <v>4.9518381970550793</v>
      </c>
      <c r="AM77" s="189">
        <v>5.3097937624753415</v>
      </c>
      <c r="AN77" s="189">
        <v>5.828960016619444</v>
      </c>
      <c r="AO77" s="189">
        <v>6.1829281430488319</v>
      </c>
      <c r="AP77" s="188">
        <v>6.3595267009995187</v>
      </c>
      <c r="AQ77" s="91" t="str">
        <f t="shared" si="78"/>
        <v>50-54</v>
      </c>
      <c r="AR77" s="189">
        <v>95.512739748368674</v>
      </c>
      <c r="AS77" s="189">
        <v>104.88647970943516</v>
      </c>
      <c r="AT77" s="189">
        <v>127.31949941670452</v>
      </c>
      <c r="AU77" s="189">
        <v>134.10597703520958</v>
      </c>
      <c r="AV77" s="188">
        <v>137.3260012523302</v>
      </c>
      <c r="AW77" s="189"/>
      <c r="AX77" s="189">
        <v>92.592908798161787</v>
      </c>
      <c r="AY77" s="189">
        <v>101.68009864647333</v>
      </c>
      <c r="AZ77" s="189">
        <v>123.42737975287275</v>
      </c>
      <c r="BA77" s="189">
        <v>130.00642315954263</v>
      </c>
      <c r="BB77" s="188">
        <v>133.12800670973192</v>
      </c>
      <c r="BC77" s="189"/>
      <c r="BD77" s="189">
        <v>2.9198309502068871</v>
      </c>
      <c r="BE77" s="189">
        <v>3.2063810629618299</v>
      </c>
      <c r="BF77" s="189">
        <v>3.892119663831775</v>
      </c>
      <c r="BG77" s="189">
        <v>4.0995538756669365</v>
      </c>
      <c r="BH77" s="188">
        <v>4.1979945425982796</v>
      </c>
    </row>
    <row r="78" spans="1:60" x14ac:dyDescent="0.2">
      <c r="A78" s="91" t="str">
        <f t="shared" si="76"/>
        <v>55-59</v>
      </c>
      <c r="B78" s="189">
        <v>68.012091171952278</v>
      </c>
      <c r="C78" s="189">
        <v>76.192899119068656</v>
      </c>
      <c r="D78" s="189">
        <v>80.959107437946358</v>
      </c>
      <c r="E78" s="189">
        <v>80.741803905128123</v>
      </c>
      <c r="F78" s="188">
        <v>67.11887912992232</v>
      </c>
      <c r="G78" s="189"/>
      <c r="H78" s="189">
        <v>26.951872424022827</v>
      </c>
      <c r="I78" s="189">
        <v>30.193746005149503</v>
      </c>
      <c r="J78" s="189">
        <v>32.082502271621657</v>
      </c>
      <c r="K78" s="189">
        <v>31.996398811217055</v>
      </c>
      <c r="L78" s="188">
        <v>26.597935178999514</v>
      </c>
      <c r="M78" s="189"/>
      <c r="N78" s="189">
        <v>41.060218747929468</v>
      </c>
      <c r="O78" s="189">
        <v>45.999153113919157</v>
      </c>
      <c r="P78" s="189">
        <v>48.876605166324701</v>
      </c>
      <c r="Q78" s="189">
        <v>48.74540509391106</v>
      </c>
      <c r="R78" s="188">
        <v>40.520943950922806</v>
      </c>
      <c r="S78" s="189"/>
      <c r="T78" s="189">
        <v>0</v>
      </c>
      <c r="U78" s="189">
        <v>0</v>
      </c>
      <c r="V78" s="189">
        <v>0</v>
      </c>
      <c r="W78" s="189">
        <v>0</v>
      </c>
      <c r="X78" s="188">
        <v>0</v>
      </c>
      <c r="Y78" s="91" t="str">
        <f t="shared" si="77"/>
        <v>55-59</v>
      </c>
      <c r="Z78" s="189">
        <v>72.790478327088792</v>
      </c>
      <c r="AA78" s="189">
        <v>72.824377516205331</v>
      </c>
      <c r="AB78" s="189">
        <v>88.796407596616632</v>
      </c>
      <c r="AC78" s="189">
        <v>107.12135329397736</v>
      </c>
      <c r="AD78" s="188">
        <v>114.12115272286486</v>
      </c>
      <c r="AE78" s="189"/>
      <c r="AF78" s="189">
        <v>68.801294834834081</v>
      </c>
      <c r="AG78" s="189">
        <v>68.83331603311845</v>
      </c>
      <c r="AH78" s="189">
        <v>83.930009776338608</v>
      </c>
      <c r="AI78" s="189">
        <v>101.25067814642075</v>
      </c>
      <c r="AJ78" s="188">
        <v>107.86683113473264</v>
      </c>
      <c r="AK78" s="189"/>
      <c r="AL78" s="189">
        <v>3.9891834922546994</v>
      </c>
      <c r="AM78" s="189">
        <v>3.9910614830868849</v>
      </c>
      <c r="AN78" s="189">
        <v>4.8663978202780056</v>
      </c>
      <c r="AO78" s="189">
        <v>5.8706751475565877</v>
      </c>
      <c r="AP78" s="188">
        <v>6.2543215881322256</v>
      </c>
      <c r="AQ78" s="91" t="str">
        <f t="shared" si="78"/>
        <v>55-59</v>
      </c>
      <c r="AR78" s="189">
        <v>71.997430500958913</v>
      </c>
      <c r="AS78" s="189">
        <v>80.286723364726001</v>
      </c>
      <c r="AT78" s="189">
        <v>97.623484965437029</v>
      </c>
      <c r="AU78" s="189">
        <v>111.25484280089452</v>
      </c>
      <c r="AV78" s="188">
        <v>119.13196814721282</v>
      </c>
      <c r="AW78" s="189"/>
      <c r="AX78" s="189">
        <v>69.435486947844097</v>
      </c>
      <c r="AY78" s="189">
        <v>77.429759529039274</v>
      </c>
      <c r="AZ78" s="189">
        <v>94.149691730122299</v>
      </c>
      <c r="BA78" s="189">
        <v>107.29594200979159</v>
      </c>
      <c r="BB78" s="188">
        <v>114.89276509261856</v>
      </c>
      <c r="BC78" s="189"/>
      <c r="BD78" s="189">
        <v>2.5619435531148169</v>
      </c>
      <c r="BE78" s="189">
        <v>2.8569638356867268</v>
      </c>
      <c r="BF78" s="189">
        <v>3.4737932353147438</v>
      </c>
      <c r="BG78" s="189">
        <v>3.9589007911029319</v>
      </c>
      <c r="BH78" s="188">
        <v>4.2392030545942614</v>
      </c>
    </row>
    <row r="79" spans="1:60" x14ac:dyDescent="0.2">
      <c r="A79" s="91" t="str">
        <f t="shared" si="76"/>
        <v>60-64</v>
      </c>
      <c r="B79" s="189">
        <v>22.058986538549966</v>
      </c>
      <c r="C79" s="189">
        <v>25.725899636040516</v>
      </c>
      <c r="D79" s="189">
        <v>23.105090180247199</v>
      </c>
      <c r="E79" s="189">
        <v>23.482130526076944</v>
      </c>
      <c r="F79" s="188">
        <v>20.863456754363423</v>
      </c>
      <c r="G79" s="189"/>
      <c r="H79" s="189">
        <v>10.261625462059436</v>
      </c>
      <c r="I79" s="189">
        <v>11.967431555445883</v>
      </c>
      <c r="J79" s="189">
        <v>10.748274288790256</v>
      </c>
      <c r="K79" s="189">
        <v>10.923637169620605</v>
      </c>
      <c r="L79" s="188">
        <v>9.7054628731438477</v>
      </c>
      <c r="M79" s="189"/>
      <c r="N79" s="189">
        <v>11.797361076490528</v>
      </c>
      <c r="O79" s="189">
        <v>13.758468080594636</v>
      </c>
      <c r="P79" s="189">
        <v>12.356815891456941</v>
      </c>
      <c r="Q79" s="189">
        <v>12.558493356456339</v>
      </c>
      <c r="R79" s="188">
        <v>11.157993881219575</v>
      </c>
      <c r="S79" s="189"/>
      <c r="T79" s="189">
        <v>0</v>
      </c>
      <c r="U79" s="189">
        <v>0</v>
      </c>
      <c r="V79" s="189">
        <v>0</v>
      </c>
      <c r="W79" s="189">
        <v>0</v>
      </c>
      <c r="X79" s="188">
        <v>0</v>
      </c>
      <c r="Y79" s="91" t="str">
        <f t="shared" si="77"/>
        <v>60-64</v>
      </c>
      <c r="Z79" s="189">
        <v>19.033134372987352</v>
      </c>
      <c r="AA79" s="189">
        <v>23.139563185511207</v>
      </c>
      <c r="AB79" s="189">
        <v>29.062611970564706</v>
      </c>
      <c r="AC79" s="189">
        <v>37.775985439184019</v>
      </c>
      <c r="AD79" s="188">
        <v>45.699503561805081</v>
      </c>
      <c r="AE79" s="189"/>
      <c r="AF79" s="189">
        <v>18.159098770843201</v>
      </c>
      <c r="AG79" s="189">
        <v>22.076986233291766</v>
      </c>
      <c r="AH79" s="189">
        <v>27.728037414140051</v>
      </c>
      <c r="AI79" s="189">
        <v>36.041367319946715</v>
      </c>
      <c r="AJ79" s="188">
        <v>43.600996459396789</v>
      </c>
      <c r="AK79" s="189"/>
      <c r="AL79" s="189">
        <v>0.87403560214415288</v>
      </c>
      <c r="AM79" s="189">
        <v>1.0625769522194444</v>
      </c>
      <c r="AN79" s="189">
        <v>1.3345745564246547</v>
      </c>
      <c r="AO79" s="189">
        <v>1.7346181192372983</v>
      </c>
      <c r="AP79" s="188">
        <v>2.0985071024082935</v>
      </c>
      <c r="AQ79" s="91" t="str">
        <f t="shared" si="78"/>
        <v>60-64</v>
      </c>
      <c r="AR79" s="189">
        <v>28.502879088462684</v>
      </c>
      <c r="AS79" s="189">
        <v>37.330537178448267</v>
      </c>
      <c r="AT79" s="189">
        <v>46.611297849188091</v>
      </c>
      <c r="AU79" s="189">
        <v>59.348884034739037</v>
      </c>
      <c r="AV79" s="188">
        <v>72.006039683831503</v>
      </c>
      <c r="AW79" s="189"/>
      <c r="AX79" s="189">
        <v>26.621847428232694</v>
      </c>
      <c r="AY79" s="189">
        <v>34.866929781336395</v>
      </c>
      <c r="AZ79" s="189">
        <v>43.535121181596431</v>
      </c>
      <c r="BA79" s="189">
        <v>55.432075117845166</v>
      </c>
      <c r="BB79" s="188">
        <v>67.253939495670267</v>
      </c>
      <c r="BC79" s="189"/>
      <c r="BD79" s="189">
        <v>1.881031660229987</v>
      </c>
      <c r="BE79" s="189">
        <v>2.463607397111879</v>
      </c>
      <c r="BF79" s="189">
        <v>3.0761766675916631</v>
      </c>
      <c r="BG79" s="189">
        <v>3.9168089168938671</v>
      </c>
      <c r="BH79" s="188">
        <v>4.7521001881612417</v>
      </c>
    </row>
    <row r="80" spans="1:60" x14ac:dyDescent="0.2">
      <c r="A80" s="91" t="str">
        <f t="shared" si="76"/>
        <v>65+</v>
      </c>
      <c r="B80" s="189">
        <v>6.9211439895691509</v>
      </c>
      <c r="C80" s="189">
        <v>11.403315499909841</v>
      </c>
      <c r="D80" s="189">
        <v>10.028756519263442</v>
      </c>
      <c r="E80" s="189">
        <v>7.9572606059831097</v>
      </c>
      <c r="F80" s="188">
        <v>6.1556020468771537</v>
      </c>
      <c r="G80" s="189"/>
      <c r="H80" s="189">
        <v>3.3880153703013169</v>
      </c>
      <c r="I80" s="189">
        <v>5.5821599276043257</v>
      </c>
      <c r="J80" s="189">
        <v>4.9092330155000692</v>
      </c>
      <c r="K80" s="189">
        <v>3.8952339057066752</v>
      </c>
      <c r="L80" s="188">
        <v>3.0132549845592425</v>
      </c>
      <c r="M80" s="189"/>
      <c r="N80" s="189">
        <v>3.5331286192678335</v>
      </c>
      <c r="O80" s="189">
        <v>5.8211555723055133</v>
      </c>
      <c r="P80" s="189">
        <v>5.1195235037633742</v>
      </c>
      <c r="Q80" s="189">
        <v>4.0620267002764345</v>
      </c>
      <c r="R80" s="188">
        <v>3.1423470623179108</v>
      </c>
      <c r="S80" s="189"/>
      <c r="T80" s="189">
        <v>0</v>
      </c>
      <c r="U80" s="189">
        <v>0</v>
      </c>
      <c r="V80" s="189">
        <v>0</v>
      </c>
      <c r="W80" s="189">
        <v>0</v>
      </c>
      <c r="X80" s="188">
        <v>0</v>
      </c>
      <c r="Y80" s="91" t="str">
        <f t="shared" si="77"/>
        <v>65+</v>
      </c>
      <c r="Z80" s="189">
        <v>5.0779151858860399</v>
      </c>
      <c r="AA80" s="189">
        <v>5.8560125079035359</v>
      </c>
      <c r="AB80" s="189">
        <v>7.4475071119826133</v>
      </c>
      <c r="AC80" s="189">
        <v>8.0611678258540653</v>
      </c>
      <c r="AD80" s="188">
        <v>8.6521443263082798</v>
      </c>
      <c r="AE80" s="189"/>
      <c r="AF80" s="189">
        <v>4.4280912105889678</v>
      </c>
      <c r="AG80" s="189">
        <v>5.1066439452522596</v>
      </c>
      <c r="AH80" s="189">
        <v>6.4944416235841498</v>
      </c>
      <c r="AI80" s="189">
        <v>7.0296284480755258</v>
      </c>
      <c r="AJ80" s="188">
        <v>7.5449282666861546</v>
      </c>
      <c r="AK80" s="189"/>
      <c r="AL80" s="189">
        <v>0.64982397529707225</v>
      </c>
      <c r="AM80" s="189">
        <v>0.74936856265127538</v>
      </c>
      <c r="AN80" s="189">
        <v>0.95306548839846261</v>
      </c>
      <c r="AO80" s="189">
        <v>1.03153937777854</v>
      </c>
      <c r="AP80" s="188">
        <v>1.1072160596221259</v>
      </c>
      <c r="AQ80" s="91" t="str">
        <f t="shared" si="78"/>
        <v>65+</v>
      </c>
      <c r="AR80" s="189">
        <v>10.295940824544813</v>
      </c>
      <c r="AS80" s="189">
        <v>8.0706719921866217</v>
      </c>
      <c r="AT80" s="189">
        <v>14.988736368753946</v>
      </c>
      <c r="AU80" s="189">
        <v>18.053571568162823</v>
      </c>
      <c r="AV80" s="188">
        <v>21.595253626814571</v>
      </c>
      <c r="AW80" s="189"/>
      <c r="AX80" s="189">
        <v>9.5711093689595526</v>
      </c>
      <c r="AY80" s="189">
        <v>7.5024694874410747</v>
      </c>
      <c r="AZ80" s="189">
        <v>13.933474089451744</v>
      </c>
      <c r="BA80" s="189">
        <v>16.782613628155822</v>
      </c>
      <c r="BB80" s="188">
        <v>20.07497877515241</v>
      </c>
      <c r="BC80" s="189"/>
      <c r="BD80" s="189">
        <v>0.72483145558525974</v>
      </c>
      <c r="BE80" s="189">
        <v>0.5682025047455489</v>
      </c>
      <c r="BF80" s="189">
        <v>1.0552622793022017</v>
      </c>
      <c r="BG80" s="189">
        <v>1.2709579400070001</v>
      </c>
      <c r="BH80" s="188">
        <v>1.5202748516621645</v>
      </c>
    </row>
    <row r="81" spans="1:60" x14ac:dyDescent="0.2">
      <c r="B81" s="188"/>
      <c r="C81" s="188"/>
      <c r="D81" s="188"/>
      <c r="E81" s="188"/>
      <c r="F81" s="188"/>
      <c r="G81" s="188"/>
      <c r="H81" s="188"/>
      <c r="I81" s="188"/>
      <c r="J81" s="188"/>
      <c r="K81" s="188"/>
      <c r="L81" s="188"/>
      <c r="M81" s="188"/>
      <c r="N81" s="188"/>
      <c r="O81" s="188"/>
      <c r="P81" s="188"/>
      <c r="Q81" s="188"/>
      <c r="R81" s="188"/>
      <c r="S81" s="188"/>
      <c r="T81" s="94"/>
      <c r="U81" s="94"/>
      <c r="V81" s="94"/>
      <c r="W81" s="94"/>
      <c r="X81" s="94"/>
      <c r="Z81" s="188"/>
      <c r="AA81" s="188"/>
      <c r="AB81" s="188"/>
      <c r="AC81" s="188"/>
      <c r="AD81" s="188"/>
      <c r="AE81" s="188"/>
      <c r="AF81" s="188"/>
      <c r="AG81" s="188"/>
      <c r="AH81" s="188"/>
      <c r="AI81" s="188"/>
      <c r="AJ81" s="188"/>
      <c r="AK81" s="188"/>
      <c r="AL81" s="188"/>
      <c r="AM81" s="188"/>
      <c r="AN81" s="188"/>
      <c r="AO81" s="188"/>
      <c r="AP81" s="188"/>
      <c r="AR81" s="189"/>
      <c r="AS81" s="189"/>
      <c r="AT81" s="189"/>
      <c r="AU81" s="189"/>
      <c r="AV81" s="188"/>
      <c r="AW81" s="188"/>
      <c r="AX81" s="188"/>
      <c r="AY81" s="188"/>
      <c r="AZ81" s="188"/>
      <c r="BA81" s="188"/>
      <c r="BB81" s="188"/>
      <c r="BC81" s="188"/>
      <c r="BD81" s="188"/>
      <c r="BE81" s="188"/>
      <c r="BF81" s="188"/>
      <c r="BG81" s="188"/>
      <c r="BH81" s="188"/>
    </row>
    <row r="82" spans="1:60" x14ac:dyDescent="0.2">
      <c r="A82" s="114" t="str">
        <f>A34</f>
        <v>Females</v>
      </c>
      <c r="B82" s="188"/>
      <c r="C82" s="188"/>
      <c r="D82" s="188"/>
      <c r="E82" s="188"/>
      <c r="F82" s="188"/>
      <c r="G82" s="188"/>
      <c r="H82" s="188"/>
      <c r="I82" s="188"/>
      <c r="J82" s="188"/>
      <c r="K82" s="188"/>
      <c r="L82" s="188"/>
      <c r="M82" s="188"/>
      <c r="N82" s="188"/>
      <c r="O82" s="188"/>
      <c r="P82" s="188"/>
      <c r="Q82" s="188"/>
      <c r="R82" s="188"/>
      <c r="S82" s="188"/>
      <c r="T82" s="94"/>
      <c r="U82" s="94"/>
      <c r="V82" s="94"/>
      <c r="W82" s="94"/>
      <c r="X82" s="94"/>
      <c r="Y82" s="114" t="str">
        <f>Y34</f>
        <v>Females</v>
      </c>
      <c r="Z82" s="188"/>
      <c r="AA82" s="188"/>
      <c r="AB82" s="188"/>
      <c r="AC82" s="188"/>
      <c r="AD82" s="188"/>
      <c r="AE82" s="188"/>
      <c r="AF82" s="188"/>
      <c r="AG82" s="188"/>
      <c r="AH82" s="188"/>
      <c r="AI82" s="188"/>
      <c r="AJ82" s="188"/>
      <c r="AK82" s="188"/>
      <c r="AL82" s="188"/>
      <c r="AM82" s="188"/>
      <c r="AN82" s="188"/>
      <c r="AO82" s="188"/>
      <c r="AP82" s="188"/>
      <c r="AQ82" s="114" t="str">
        <f>AQ34</f>
        <v>Females</v>
      </c>
      <c r="AR82" s="94"/>
      <c r="AS82" s="94"/>
      <c r="AT82" s="94"/>
      <c r="AU82" s="94"/>
      <c r="AV82" s="188"/>
      <c r="AW82" s="188"/>
      <c r="AX82" s="188"/>
      <c r="AY82" s="188"/>
      <c r="AZ82" s="188"/>
      <c r="BA82" s="188"/>
      <c r="BB82" s="188"/>
      <c r="BC82" s="188"/>
      <c r="BD82" s="188"/>
      <c r="BE82" s="188"/>
      <c r="BF82" s="188"/>
      <c r="BG82" s="188"/>
      <c r="BH82" s="188"/>
    </row>
    <row r="83" spans="1:60" x14ac:dyDescent="0.2">
      <c r="A83" s="91" t="str">
        <f>A35</f>
        <v>15+</v>
      </c>
      <c r="B83" s="189">
        <f>SUM(B84:B94)</f>
        <v>423.06360139942507</v>
      </c>
      <c r="C83" s="189">
        <f t="shared" ref="C83:F83" si="79">SUM(C84:C94)</f>
        <v>420.02944292320001</v>
      </c>
      <c r="D83" s="189">
        <f t="shared" si="79"/>
        <v>340.32430055838188</v>
      </c>
      <c r="E83" s="189">
        <f t="shared" si="79"/>
        <v>280.86469102706656</v>
      </c>
      <c r="F83" s="189">
        <f t="shared" si="79"/>
        <v>223.76680386266278</v>
      </c>
      <c r="G83" s="189"/>
      <c r="H83" s="189">
        <f>SUM(H84:H94)</f>
        <v>145.89694047973552</v>
      </c>
      <c r="I83" s="189">
        <f t="shared" ref="I83:L83" si="80">SUM(I84:I94)</f>
        <v>145.07481013301967</v>
      </c>
      <c r="J83" s="189">
        <f t="shared" si="80"/>
        <v>119.0698940829858</v>
      </c>
      <c r="K83" s="189">
        <f t="shared" si="80"/>
        <v>97.685423606672089</v>
      </c>
      <c r="L83" s="189">
        <f t="shared" si="80"/>
        <v>77.126697351246889</v>
      </c>
      <c r="M83" s="189"/>
      <c r="N83" s="189">
        <f>SUM(N84:N94)</f>
        <v>277.16666091968955</v>
      </c>
      <c r="O83" s="189">
        <f t="shared" ref="O83:R83" si="81">SUM(O84:O94)</f>
        <v>274.95463279018031</v>
      </c>
      <c r="P83" s="189">
        <f t="shared" si="81"/>
        <v>221.25440647539608</v>
      </c>
      <c r="Q83" s="189">
        <f t="shared" si="81"/>
        <v>183.17926742039447</v>
      </c>
      <c r="R83" s="189">
        <f t="shared" si="81"/>
        <v>146.64010651141589</v>
      </c>
      <c r="S83" s="189"/>
      <c r="T83" s="189">
        <f>SUM(T84:T94)</f>
        <v>0</v>
      </c>
      <c r="U83" s="189">
        <f t="shared" ref="U83:X83" si="82">SUM(U84:U94)</f>
        <v>0</v>
      </c>
      <c r="V83" s="189">
        <f t="shared" si="82"/>
        <v>0</v>
      </c>
      <c r="W83" s="189">
        <f t="shared" si="82"/>
        <v>0</v>
      </c>
      <c r="X83" s="189">
        <f t="shared" si="82"/>
        <v>0</v>
      </c>
      <c r="Y83" s="91" t="str">
        <f>Y35</f>
        <v>15+</v>
      </c>
      <c r="Z83" s="189">
        <f>SUM(Z84:Z94)</f>
        <v>835.78959562739158</v>
      </c>
      <c r="AA83" s="189">
        <f t="shared" ref="AA83:AD83" si="83">SUM(AA84:AA94)</f>
        <v>817.71951299037789</v>
      </c>
      <c r="AB83" s="189">
        <f t="shared" si="83"/>
        <v>833.46122225056911</v>
      </c>
      <c r="AC83" s="189">
        <f t="shared" si="83"/>
        <v>872.7568149707464</v>
      </c>
      <c r="AD83" s="189">
        <f t="shared" si="83"/>
        <v>906.76405425389191</v>
      </c>
      <c r="AE83" s="189"/>
      <c r="AF83" s="189">
        <f>SUM(AF84:AF94)</f>
        <v>775.49874803920272</v>
      </c>
      <c r="AG83" s="189">
        <f t="shared" ref="AG83:AJ83" si="84">SUM(AG84:AG94)</f>
        <v>758.80872601036992</v>
      </c>
      <c r="AH83" s="189">
        <f t="shared" si="84"/>
        <v>773.5162619397023</v>
      </c>
      <c r="AI83" s="189">
        <f t="shared" si="84"/>
        <v>810.06846896436525</v>
      </c>
      <c r="AJ83" s="189">
        <f t="shared" si="84"/>
        <v>841.89337685638475</v>
      </c>
      <c r="AK83" s="189"/>
      <c r="AL83" s="189">
        <f>SUM(AL84:AL94)</f>
        <v>60.29084758818869</v>
      </c>
      <c r="AM83" s="189">
        <f t="shared" ref="AM83:AP83" si="85">SUM(AM84:AM94)</f>
        <v>58.910786980008034</v>
      </c>
      <c r="AN83" s="189">
        <f t="shared" si="85"/>
        <v>59.944960310866939</v>
      </c>
      <c r="AO83" s="189">
        <f t="shared" si="85"/>
        <v>62.688346006381188</v>
      </c>
      <c r="AP83" s="189">
        <f t="shared" si="85"/>
        <v>64.870677397506995</v>
      </c>
      <c r="AQ83" s="91" t="str">
        <f>AQ35</f>
        <v>15+</v>
      </c>
      <c r="AR83" s="189">
        <f>SUM(AR84:AR94)</f>
        <v>889.40880297318358</v>
      </c>
      <c r="AS83" s="189">
        <f t="shared" ref="AS83:AV83" si="86">SUM(AS84:AS94)</f>
        <v>982.33504408642204</v>
      </c>
      <c r="AT83" s="189">
        <f t="shared" si="86"/>
        <v>1108.5044771910491</v>
      </c>
      <c r="AU83" s="189">
        <f t="shared" si="86"/>
        <v>1230.8314940021869</v>
      </c>
      <c r="AV83" s="189">
        <f t="shared" si="86"/>
        <v>1348.9681418834455</v>
      </c>
      <c r="AW83" s="189"/>
      <c r="AX83" s="189">
        <f>SUM(AX84:AX94)</f>
        <v>879.74824720033962</v>
      </c>
      <c r="AY83" s="189">
        <f t="shared" ref="AY83:BB83" si="87">SUM(AY84:AY94)</f>
        <v>971.10421223711137</v>
      </c>
      <c r="AZ83" s="189">
        <f t="shared" si="87"/>
        <v>1095.1677547026629</v>
      </c>
      <c r="BA83" s="189">
        <f t="shared" si="87"/>
        <v>1216.0188704547381</v>
      </c>
      <c r="BB83" s="189">
        <f t="shared" si="87"/>
        <v>1332.3320678155631</v>
      </c>
      <c r="BC83" s="189"/>
      <c r="BD83" s="189">
        <f>SUM(BD84:BD94)</f>
        <v>9.6605557728437574</v>
      </c>
      <c r="BE83" s="189">
        <f t="shared" ref="BE83:BH83" si="88">SUM(BE84:BE94)</f>
        <v>11.105764362713181</v>
      </c>
      <c r="BF83" s="189">
        <f t="shared" si="88"/>
        <v>13.018684577213577</v>
      </c>
      <c r="BG83" s="189">
        <f t="shared" si="88"/>
        <v>14.812623547448824</v>
      </c>
      <c r="BH83" s="189">
        <f t="shared" si="88"/>
        <v>16.636074067882518</v>
      </c>
    </row>
    <row r="84" spans="1:60" x14ac:dyDescent="0.2">
      <c r="A84" s="91" t="str">
        <f t="shared" ref="A84:A94" si="89">A36</f>
        <v>15-19</v>
      </c>
      <c r="B84" s="189">
        <v>11.952178011992856</v>
      </c>
      <c r="C84" s="189">
        <v>13.402887260222242</v>
      </c>
      <c r="D84" s="189">
        <v>10.497400074288828</v>
      </c>
      <c r="E84" s="189">
        <v>10.487079759394881</v>
      </c>
      <c r="F84" s="188">
        <v>11.380731286753464</v>
      </c>
      <c r="G84" s="188"/>
      <c r="H84" s="189">
        <v>1.9311383476471966</v>
      </c>
      <c r="I84" s="189">
        <v>2.1654425866600273</v>
      </c>
      <c r="J84" s="189">
        <v>1.6960330233653167</v>
      </c>
      <c r="K84" s="189">
        <v>1.6944183086206663</v>
      </c>
      <c r="L84" s="188">
        <v>1.8387489146198699</v>
      </c>
      <c r="M84" s="188"/>
      <c r="N84" s="189">
        <v>10.021039664345659</v>
      </c>
      <c r="O84" s="189">
        <v>11.237444673562216</v>
      </c>
      <c r="P84" s="189">
        <v>8.8013670509235116</v>
      </c>
      <c r="Q84" s="189">
        <v>8.7926614507742151</v>
      </c>
      <c r="R84" s="188">
        <v>9.5419823721335941</v>
      </c>
      <c r="S84" s="188"/>
      <c r="T84" s="189">
        <v>0</v>
      </c>
      <c r="U84" s="189">
        <v>0</v>
      </c>
      <c r="V84" s="189">
        <v>0</v>
      </c>
      <c r="W84" s="189">
        <v>0</v>
      </c>
      <c r="X84" s="188">
        <v>0</v>
      </c>
      <c r="Y84" s="91" t="str">
        <f t="shared" ref="Y84:Y94" si="90">Y36</f>
        <v>15-19</v>
      </c>
      <c r="Z84" s="189">
        <v>10.828592838586953</v>
      </c>
      <c r="AA84" s="189">
        <v>10.260045253180333</v>
      </c>
      <c r="AB84" s="189">
        <v>8.3705620145386224</v>
      </c>
      <c r="AC84" s="189">
        <v>8.9334389435199988</v>
      </c>
      <c r="AD84" s="188">
        <v>10.306241587925554</v>
      </c>
      <c r="AE84" s="188"/>
      <c r="AF84" s="189">
        <v>10.269940466538486</v>
      </c>
      <c r="AG84" s="189">
        <v>9.7306883630573378</v>
      </c>
      <c r="AH84" s="189">
        <v>7.9386523921141237</v>
      </c>
      <c r="AI84" s="189">
        <v>8.4725263317021824</v>
      </c>
      <c r="AJ84" s="188">
        <v>9.7745223494256592</v>
      </c>
      <c r="AK84" s="188"/>
      <c r="AL84" s="189">
        <v>0.55865237204846663</v>
      </c>
      <c r="AM84" s="189">
        <v>0.52935689012299614</v>
      </c>
      <c r="AN84" s="189">
        <v>0.43190962242449843</v>
      </c>
      <c r="AO84" s="189">
        <v>0.46091261181781773</v>
      </c>
      <c r="AP84" s="188">
        <v>0.53171923849989433</v>
      </c>
      <c r="AQ84" s="91" t="str">
        <f t="shared" ref="AQ84:AQ94" si="91">AQ36</f>
        <v>15-19</v>
      </c>
      <c r="AR84" s="189">
        <v>0.12322914942019014</v>
      </c>
      <c r="AS84" s="189">
        <v>0.12506748659742103</v>
      </c>
      <c r="AT84" s="189">
        <v>0.31803791117255348</v>
      </c>
      <c r="AU84" s="189">
        <v>0.32248129708511647</v>
      </c>
      <c r="AV84" s="188">
        <v>0.3530271253209819</v>
      </c>
      <c r="AW84" s="188"/>
      <c r="AX84" s="189">
        <v>0.12322914942019014</v>
      </c>
      <c r="AY84" s="189">
        <v>0</v>
      </c>
      <c r="AZ84" s="189">
        <v>0</v>
      </c>
      <c r="BA84" s="189">
        <v>0.32248129708511647</v>
      </c>
      <c r="BB84" s="188">
        <v>0.3530271253209819</v>
      </c>
      <c r="BC84" s="188"/>
      <c r="BD84" s="189">
        <v>0</v>
      </c>
      <c r="BE84" s="189">
        <v>0</v>
      </c>
      <c r="BF84" s="189">
        <v>0</v>
      </c>
      <c r="BG84" s="189">
        <v>0</v>
      </c>
      <c r="BH84" s="188">
        <v>0</v>
      </c>
    </row>
    <row r="85" spans="1:60" x14ac:dyDescent="0.2">
      <c r="A85" s="91" t="str">
        <f t="shared" si="89"/>
        <v>20-24</v>
      </c>
      <c r="B85" s="189">
        <v>27.162073940488085</v>
      </c>
      <c r="C85" s="189">
        <v>25.818959473458939</v>
      </c>
      <c r="D85" s="189">
        <v>19.430418992506574</v>
      </c>
      <c r="E85" s="189">
        <v>17.065770140454763</v>
      </c>
      <c r="F85" s="188">
        <v>15.339491201948526</v>
      </c>
      <c r="G85" s="188"/>
      <c r="H85" s="189">
        <v>7.738175779416105</v>
      </c>
      <c r="I85" s="189">
        <v>7.3555159173417479</v>
      </c>
      <c r="J85" s="189">
        <v>5.5355294417133862</v>
      </c>
      <c r="K85" s="189">
        <v>4.8618655592881783</v>
      </c>
      <c r="L85" s="188">
        <v>4.370057954996903</v>
      </c>
      <c r="M85" s="188"/>
      <c r="N85" s="189">
        <v>19.423898161071982</v>
      </c>
      <c r="O85" s="189">
        <v>18.463443556117188</v>
      </c>
      <c r="P85" s="189">
        <v>13.894889550793188</v>
      </c>
      <c r="Q85" s="189">
        <v>12.203904581166585</v>
      </c>
      <c r="R85" s="188">
        <v>10.96943324695162</v>
      </c>
      <c r="S85" s="188"/>
      <c r="T85" s="189">
        <v>0</v>
      </c>
      <c r="U85" s="189">
        <v>0</v>
      </c>
      <c r="V85" s="189">
        <v>0</v>
      </c>
      <c r="W85" s="189">
        <v>0</v>
      </c>
      <c r="X85" s="188">
        <v>0</v>
      </c>
      <c r="Y85" s="91" t="str">
        <f t="shared" si="90"/>
        <v>20-24</v>
      </c>
      <c r="Z85" s="189">
        <v>83.029902962100564</v>
      </c>
      <c r="AA85" s="189">
        <v>84.099064086151856</v>
      </c>
      <c r="AB85" s="189">
        <v>75.456016390238844</v>
      </c>
      <c r="AC85" s="189">
        <v>72.409581167242635</v>
      </c>
      <c r="AD85" s="188">
        <v>70.925077672432323</v>
      </c>
      <c r="AE85" s="188"/>
      <c r="AF85" s="189">
        <v>74.996139409236491</v>
      </c>
      <c r="AG85" s="189">
        <v>75.961913287114783</v>
      </c>
      <c r="AH85" s="189">
        <v>68.155149094152151</v>
      </c>
      <c r="AI85" s="189">
        <v>65.403445863093296</v>
      </c>
      <c r="AJ85" s="188">
        <v>64.062544551136526</v>
      </c>
      <c r="AK85" s="188"/>
      <c r="AL85" s="189">
        <v>8.0337635528640625</v>
      </c>
      <c r="AM85" s="189">
        <v>8.1371507990370748</v>
      </c>
      <c r="AN85" s="189">
        <v>7.3008672960866994</v>
      </c>
      <c r="AO85" s="189">
        <v>7.0061353041493399</v>
      </c>
      <c r="AP85" s="188">
        <v>6.8625331212957974</v>
      </c>
      <c r="AQ85" s="91" t="str">
        <f t="shared" si="91"/>
        <v>20-24</v>
      </c>
      <c r="AR85" s="189">
        <v>64.096023097411347</v>
      </c>
      <c r="AS85" s="189">
        <v>59.5749764403892</v>
      </c>
      <c r="AT85" s="189">
        <v>64.928564617254594</v>
      </c>
      <c r="AU85" s="189">
        <v>69.876648692302624</v>
      </c>
      <c r="AV85" s="188">
        <v>76.967431125619157</v>
      </c>
      <c r="AW85" s="188"/>
      <c r="AX85" s="189">
        <v>63.936315058758787</v>
      </c>
      <c r="AY85" s="189">
        <v>59.426553735923072</v>
      </c>
      <c r="AZ85" s="189">
        <v>64.766758302259873</v>
      </c>
      <c r="BA85" s="189">
        <v>69.702519316956455</v>
      </c>
      <c r="BB85" s="188">
        <v>76.775653915926199</v>
      </c>
      <c r="BC85" s="188"/>
      <c r="BD85" s="189">
        <v>0.1597080386525653</v>
      </c>
      <c r="BE85" s="189">
        <v>0.14842270446612335</v>
      </c>
      <c r="BF85" s="189">
        <v>0.16180631499472672</v>
      </c>
      <c r="BG85" s="189">
        <v>0.17412937534616696</v>
      </c>
      <c r="BH85" s="188">
        <v>0.19177720969295214</v>
      </c>
    </row>
    <row r="86" spans="1:60" x14ac:dyDescent="0.2">
      <c r="A86" s="91" t="str">
        <f t="shared" si="89"/>
        <v>25-29</v>
      </c>
      <c r="B86" s="189">
        <v>28.972672566594831</v>
      </c>
      <c r="C86" s="189">
        <v>33.619340539542968</v>
      </c>
      <c r="D86" s="189">
        <v>28.636722146171739</v>
      </c>
      <c r="E86" s="189">
        <v>27.654766165607402</v>
      </c>
      <c r="F86" s="188">
        <v>24.701036177168444</v>
      </c>
      <c r="G86" s="188"/>
      <c r="H86" s="189">
        <v>7.950704122039733</v>
      </c>
      <c r="I86" s="189">
        <v>9.2258401283768823</v>
      </c>
      <c r="J86" s="189">
        <v>7.8585514263485647</v>
      </c>
      <c r="K86" s="189">
        <v>7.589044948115105</v>
      </c>
      <c r="L86" s="188">
        <v>6.778482350960795</v>
      </c>
      <c r="M86" s="188"/>
      <c r="N86" s="189">
        <v>21.021968444555103</v>
      </c>
      <c r="O86" s="189">
        <v>24.393500411166084</v>
      </c>
      <c r="P86" s="189">
        <v>20.778170719823173</v>
      </c>
      <c r="Q86" s="189">
        <v>20.065721217492296</v>
      </c>
      <c r="R86" s="188">
        <v>17.922553826207647</v>
      </c>
      <c r="S86" s="188"/>
      <c r="T86" s="189">
        <v>0</v>
      </c>
      <c r="U86" s="189">
        <v>0</v>
      </c>
      <c r="V86" s="189">
        <v>0</v>
      </c>
      <c r="W86" s="189">
        <v>0</v>
      </c>
      <c r="X86" s="188">
        <v>0</v>
      </c>
      <c r="Y86" s="91" t="str">
        <f t="shared" si="90"/>
        <v>25-29</v>
      </c>
      <c r="Z86" s="189">
        <v>104.35741449365315</v>
      </c>
      <c r="AA86" s="189">
        <v>97.185337610544352</v>
      </c>
      <c r="AB86" s="189">
        <v>95.599811894115447</v>
      </c>
      <c r="AC86" s="189">
        <v>97.118545376405621</v>
      </c>
      <c r="AD86" s="188">
        <v>91.712418531394292</v>
      </c>
      <c r="AE86" s="188"/>
      <c r="AF86" s="189">
        <v>94.421539979508964</v>
      </c>
      <c r="AG86" s="189">
        <v>87.932329636056579</v>
      </c>
      <c r="AH86" s="189">
        <v>86.497719374499709</v>
      </c>
      <c r="AI86" s="189">
        <v>87.87184276496231</v>
      </c>
      <c r="AJ86" s="188">
        <v>82.980425552523215</v>
      </c>
      <c r="AK86" s="188"/>
      <c r="AL86" s="189">
        <v>9.9358745141441993</v>
      </c>
      <c r="AM86" s="189">
        <v>9.2530079744877742</v>
      </c>
      <c r="AN86" s="189">
        <v>9.1020925196157414</v>
      </c>
      <c r="AO86" s="189">
        <v>9.2467026114433057</v>
      </c>
      <c r="AP86" s="188">
        <v>8.7319929788710677</v>
      </c>
      <c r="AQ86" s="91" t="str">
        <f t="shared" si="91"/>
        <v>25-29</v>
      </c>
      <c r="AR86" s="189">
        <v>154.57691293975205</v>
      </c>
      <c r="AS86" s="189">
        <v>158.68732184991271</v>
      </c>
      <c r="AT86" s="189">
        <v>170.7534659597128</v>
      </c>
      <c r="AU86" s="189">
        <v>191.50468845798702</v>
      </c>
      <c r="AV86" s="188">
        <v>199.18454529143727</v>
      </c>
      <c r="AW86" s="188"/>
      <c r="AX86" s="189">
        <v>153.36078875627214</v>
      </c>
      <c r="AY86" s="189">
        <v>157.4389010397588</v>
      </c>
      <c r="AZ86" s="189">
        <v>169.41011412348425</v>
      </c>
      <c r="BA86" s="189">
        <v>189.99801160263456</v>
      </c>
      <c r="BB86" s="188">
        <v>197.61746925057139</v>
      </c>
      <c r="BC86" s="188"/>
      <c r="BD86" s="189">
        <v>1.216124183479921</v>
      </c>
      <c r="BE86" s="189">
        <v>1.2484208101538898</v>
      </c>
      <c r="BF86" s="189">
        <v>1.3433518362285748</v>
      </c>
      <c r="BG86" s="189">
        <v>1.5066768553524434</v>
      </c>
      <c r="BH86" s="188">
        <v>1.5670760408658764</v>
      </c>
    </row>
    <row r="87" spans="1:60" x14ac:dyDescent="0.2">
      <c r="A87" s="91" t="str">
        <f t="shared" si="89"/>
        <v>30-34</v>
      </c>
      <c r="B87" s="189">
        <v>28.548429106302432</v>
      </c>
      <c r="C87" s="189">
        <v>33.358134400600257</v>
      </c>
      <c r="D87" s="189">
        <v>26.133347885177166</v>
      </c>
      <c r="E87" s="189">
        <v>24.365255828037625</v>
      </c>
      <c r="F87" s="188">
        <v>20.217650831183683</v>
      </c>
      <c r="G87" s="188"/>
      <c r="H87" s="189">
        <v>8.8494100941278067</v>
      </c>
      <c r="I87" s="189">
        <v>10.340333649356303</v>
      </c>
      <c r="J87" s="189">
        <v>8.1007469331818331</v>
      </c>
      <c r="K87" s="189">
        <v>7.5527322076666525</v>
      </c>
      <c r="L87" s="188">
        <v>6.2670936294528277</v>
      </c>
      <c r="M87" s="188"/>
      <c r="N87" s="189">
        <v>19.699019012174627</v>
      </c>
      <c r="O87" s="189">
        <v>23.017800751243954</v>
      </c>
      <c r="P87" s="189">
        <v>18.032600951995331</v>
      </c>
      <c r="Q87" s="189">
        <v>16.812523620370971</v>
      </c>
      <c r="R87" s="188">
        <v>13.950557201730856</v>
      </c>
      <c r="S87" s="188"/>
      <c r="T87" s="189">
        <v>0</v>
      </c>
      <c r="U87" s="189">
        <v>0</v>
      </c>
      <c r="V87" s="189">
        <v>0</v>
      </c>
      <c r="W87" s="189">
        <v>0</v>
      </c>
      <c r="X87" s="188">
        <v>0</v>
      </c>
      <c r="Y87" s="91" t="str">
        <f t="shared" si="90"/>
        <v>30-34</v>
      </c>
      <c r="Z87" s="189">
        <v>108.05302506717383</v>
      </c>
      <c r="AA87" s="189">
        <v>98.910651662683122</v>
      </c>
      <c r="AB87" s="189">
        <v>99.823038706554627</v>
      </c>
      <c r="AC87" s="189">
        <v>99.91027324420439</v>
      </c>
      <c r="AD87" s="188">
        <v>100.65577680822747</v>
      </c>
      <c r="AE87" s="188"/>
      <c r="AF87" s="189">
        <v>98.864662354008289</v>
      </c>
      <c r="AG87" s="189">
        <v>90.499770716250708</v>
      </c>
      <c r="AH87" s="189">
        <v>91.334572918369915</v>
      </c>
      <c r="AI87" s="189">
        <v>91.414386042419594</v>
      </c>
      <c r="AJ87" s="188">
        <v>92.096473466363605</v>
      </c>
      <c r="AK87" s="188"/>
      <c r="AL87" s="189">
        <v>9.1883627131655423</v>
      </c>
      <c r="AM87" s="189">
        <v>8.4108809464324228</v>
      </c>
      <c r="AN87" s="189">
        <v>8.4884657881847136</v>
      </c>
      <c r="AO87" s="189">
        <v>8.4958872017847948</v>
      </c>
      <c r="AP87" s="188">
        <v>8.5593033418638793</v>
      </c>
      <c r="AQ87" s="91" t="str">
        <f t="shared" si="91"/>
        <v>30-34</v>
      </c>
      <c r="AR87" s="189">
        <v>154.40154582652374</v>
      </c>
      <c r="AS87" s="189">
        <v>164.11921393671662</v>
      </c>
      <c r="AT87" s="189">
        <v>176.72761340826818</v>
      </c>
      <c r="AU87" s="189">
        <v>194.300470927758</v>
      </c>
      <c r="AV87" s="188">
        <v>216.50257236058886</v>
      </c>
      <c r="AW87" s="188"/>
      <c r="AX87" s="189">
        <v>152.67917871565837</v>
      </c>
      <c r="AY87" s="189">
        <v>162.28847354227025</v>
      </c>
      <c r="AZ87" s="189">
        <v>174.75627406499731</v>
      </c>
      <c r="BA87" s="189">
        <v>192.1331101550017</v>
      </c>
      <c r="BB87" s="188">
        <v>214.08754627952416</v>
      </c>
      <c r="BC87" s="188"/>
      <c r="BD87" s="189">
        <v>1.7223671108653775</v>
      </c>
      <c r="BE87" s="189">
        <v>1.8307403944463407</v>
      </c>
      <c r="BF87" s="189">
        <v>1.9713393432708828</v>
      </c>
      <c r="BG87" s="189">
        <v>2.1673607727562971</v>
      </c>
      <c r="BH87" s="188">
        <v>2.415026081064688</v>
      </c>
    </row>
    <row r="88" spans="1:60" x14ac:dyDescent="0.2">
      <c r="A88" s="91" t="str">
        <f t="shared" si="89"/>
        <v>35-39</v>
      </c>
      <c r="B88" s="189">
        <v>44.016457260235349</v>
      </c>
      <c r="C88" s="189">
        <v>39.976771904202742</v>
      </c>
      <c r="D88" s="189">
        <v>30.464108582682162</v>
      </c>
      <c r="E88" s="189">
        <v>25.442342869618368</v>
      </c>
      <c r="F88" s="188">
        <v>19.313398032930589</v>
      </c>
      <c r="G88" s="188"/>
      <c r="H88" s="189">
        <v>13.170766467977897</v>
      </c>
      <c r="I88" s="189">
        <v>11.962019761666104</v>
      </c>
      <c r="J88" s="189">
        <v>9.1155623116308764</v>
      </c>
      <c r="K88" s="189">
        <v>7.6129848602255867</v>
      </c>
      <c r="L88" s="188">
        <v>5.7790036533667513</v>
      </c>
      <c r="M88" s="188"/>
      <c r="N88" s="189">
        <v>30.845690792257454</v>
      </c>
      <c r="O88" s="189">
        <v>28.014752142536643</v>
      </c>
      <c r="P88" s="189">
        <v>21.348546271051283</v>
      </c>
      <c r="Q88" s="189">
        <v>17.829358009392781</v>
      </c>
      <c r="R88" s="188">
        <v>13.534394379563837</v>
      </c>
      <c r="S88" s="188"/>
      <c r="T88" s="189">
        <v>0</v>
      </c>
      <c r="U88" s="189">
        <v>0</v>
      </c>
      <c r="V88" s="189">
        <v>0</v>
      </c>
      <c r="W88" s="189">
        <v>0</v>
      </c>
      <c r="X88" s="188">
        <v>0</v>
      </c>
      <c r="Y88" s="91" t="str">
        <f t="shared" si="90"/>
        <v>35-39</v>
      </c>
      <c r="Z88" s="189">
        <v>124.3317548459237</v>
      </c>
      <c r="AA88" s="189">
        <v>115.20319439668521</v>
      </c>
      <c r="AB88" s="189">
        <v>103.99848531956397</v>
      </c>
      <c r="AC88" s="189">
        <v>107.78515736503378</v>
      </c>
      <c r="AD88" s="188">
        <v>110.93136167790429</v>
      </c>
      <c r="AE88" s="188"/>
      <c r="AF88" s="189">
        <v>116.17651410584847</v>
      </c>
      <c r="AG88" s="189">
        <v>107.64676072030048</v>
      </c>
      <c r="AH88" s="189">
        <v>97.176962171565435</v>
      </c>
      <c r="AI88" s="189">
        <v>100.71524913353808</v>
      </c>
      <c r="AJ88" s="188">
        <v>103.65514843528025</v>
      </c>
      <c r="AK88" s="188"/>
      <c r="AL88" s="189">
        <v>8.1552407400752234</v>
      </c>
      <c r="AM88" s="189">
        <v>7.5564336763847377</v>
      </c>
      <c r="AN88" s="189">
        <v>6.821523147998537</v>
      </c>
      <c r="AO88" s="189">
        <v>7.06990823149569</v>
      </c>
      <c r="AP88" s="188">
        <v>7.2762132426240571</v>
      </c>
      <c r="AQ88" s="91" t="str">
        <f t="shared" si="91"/>
        <v>35-39</v>
      </c>
      <c r="AR88" s="189">
        <v>141.16078789384099</v>
      </c>
      <c r="AS88" s="189">
        <v>157.71103369911205</v>
      </c>
      <c r="AT88" s="189">
        <v>168.57540609775387</v>
      </c>
      <c r="AU88" s="189">
        <v>191.25249976534786</v>
      </c>
      <c r="AV88" s="188">
        <v>212.66724028916508</v>
      </c>
      <c r="AW88" s="188"/>
      <c r="AX88" s="189">
        <v>139.58664839223439</v>
      </c>
      <c r="AY88" s="189">
        <v>155.9523133601179</v>
      </c>
      <c r="AZ88" s="189">
        <v>166.69556733261371</v>
      </c>
      <c r="BA88" s="189">
        <v>189.11981088672707</v>
      </c>
      <c r="BB88" s="188">
        <v>210.29565301075678</v>
      </c>
      <c r="BC88" s="188"/>
      <c r="BD88" s="189">
        <v>1.5741395016066007</v>
      </c>
      <c r="BE88" s="189">
        <v>1.758720338994133</v>
      </c>
      <c r="BF88" s="189">
        <v>1.8798387651401465</v>
      </c>
      <c r="BG88" s="189">
        <v>2.1326888786208036</v>
      </c>
      <c r="BH88" s="188">
        <v>2.3715872784083478</v>
      </c>
    </row>
    <row r="89" spans="1:60" x14ac:dyDescent="0.2">
      <c r="A89" s="91" t="str">
        <f t="shared" si="89"/>
        <v>40-44</v>
      </c>
      <c r="B89" s="189">
        <v>62.562497845796578</v>
      </c>
      <c r="C89" s="189">
        <v>52.041253862300799</v>
      </c>
      <c r="D89" s="189">
        <v>37.292808343338905</v>
      </c>
      <c r="E89" s="189">
        <v>25.730317953372698</v>
      </c>
      <c r="F89" s="188">
        <v>17.848161884307732</v>
      </c>
      <c r="G89" s="188"/>
      <c r="H89" s="189">
        <v>21.068964130305993</v>
      </c>
      <c r="I89" s="189">
        <v>17.525770127794758</v>
      </c>
      <c r="J89" s="189">
        <v>12.558954308409454</v>
      </c>
      <c r="K89" s="189">
        <v>8.6650962158735219</v>
      </c>
      <c r="L89" s="188">
        <v>6.0106773270790361</v>
      </c>
      <c r="M89" s="188"/>
      <c r="N89" s="189">
        <v>41.493533715490578</v>
      </c>
      <c r="O89" s="189">
        <v>34.515483734506034</v>
      </c>
      <c r="P89" s="189">
        <v>24.73385403492945</v>
      </c>
      <c r="Q89" s="189">
        <v>17.065221737499176</v>
      </c>
      <c r="R89" s="188">
        <v>11.837484557228693</v>
      </c>
      <c r="S89" s="188"/>
      <c r="T89" s="189">
        <v>0</v>
      </c>
      <c r="U89" s="189">
        <v>0</v>
      </c>
      <c r="V89" s="189">
        <v>0</v>
      </c>
      <c r="W89" s="189">
        <v>0</v>
      </c>
      <c r="X89" s="188">
        <v>0</v>
      </c>
      <c r="Y89" s="91" t="str">
        <f t="shared" si="90"/>
        <v>40-44</v>
      </c>
      <c r="Z89" s="189">
        <v>133.43211125882925</v>
      </c>
      <c r="AA89" s="189">
        <v>124.30920077827601</v>
      </c>
      <c r="AB89" s="189">
        <v>114.42328927804037</v>
      </c>
      <c r="AC89" s="189">
        <v>113.59093257500689</v>
      </c>
      <c r="AD89" s="188">
        <v>119.96086291422256</v>
      </c>
      <c r="AE89" s="188"/>
      <c r="AF89" s="189">
        <v>125.56555151187415</v>
      </c>
      <c r="AG89" s="189">
        <v>116.9805269711083</v>
      </c>
      <c r="AH89" s="189">
        <v>107.6774160354275</v>
      </c>
      <c r="AI89" s="189">
        <v>106.89413288813921</v>
      </c>
      <c r="AJ89" s="188">
        <v>112.88853405200165</v>
      </c>
      <c r="AK89" s="188"/>
      <c r="AL89" s="189">
        <v>7.8665597469551063</v>
      </c>
      <c r="AM89" s="189">
        <v>7.3286738071676902</v>
      </c>
      <c r="AN89" s="189">
        <v>6.7458732426128867</v>
      </c>
      <c r="AO89" s="189">
        <v>6.6967996868676751</v>
      </c>
      <c r="AP89" s="188">
        <v>7.0723288622208971</v>
      </c>
      <c r="AQ89" s="91" t="str">
        <f t="shared" si="91"/>
        <v>40-44</v>
      </c>
      <c r="AR89" s="189">
        <v>128.51739089537415</v>
      </c>
      <c r="AS89" s="189">
        <v>144.36154535942319</v>
      </c>
      <c r="AT89" s="189">
        <v>158.66390237862072</v>
      </c>
      <c r="AU89" s="189">
        <v>166.99874947162044</v>
      </c>
      <c r="AV89" s="188">
        <v>185.07097520146974</v>
      </c>
      <c r="AW89" s="188"/>
      <c r="AX89" s="189">
        <v>126.94819387148412</v>
      </c>
      <c r="AY89" s="189">
        <v>142.59892905662338</v>
      </c>
      <c r="AZ89" s="189">
        <v>156.72664379404665</v>
      </c>
      <c r="BA89" s="189">
        <v>164.95975684612029</v>
      </c>
      <c r="BB89" s="188">
        <v>182.81128024141026</v>
      </c>
      <c r="BC89" s="188"/>
      <c r="BD89" s="189">
        <v>1.5691970238900339</v>
      </c>
      <c r="BE89" s="189">
        <v>1.7626163027998376</v>
      </c>
      <c r="BF89" s="189">
        <v>1.937258584574042</v>
      </c>
      <c r="BG89" s="189">
        <v>2.0389926255001587</v>
      </c>
      <c r="BH89" s="188">
        <v>2.2596949600594747</v>
      </c>
    </row>
    <row r="90" spans="1:60" x14ac:dyDescent="0.2">
      <c r="A90" s="91" t="str">
        <f t="shared" si="89"/>
        <v>45-49</v>
      </c>
      <c r="B90" s="189">
        <v>76.803506450596231</v>
      </c>
      <c r="C90" s="189">
        <v>72.369670614720619</v>
      </c>
      <c r="D90" s="189">
        <v>46.757578011014346</v>
      </c>
      <c r="E90" s="189">
        <v>32.914709981477799</v>
      </c>
      <c r="F90" s="188">
        <v>22.643570627464889</v>
      </c>
      <c r="G90" s="188"/>
      <c r="H90" s="189">
        <v>27.94396864638491</v>
      </c>
      <c r="I90" s="189">
        <v>26.330826958934129</v>
      </c>
      <c r="J90" s="189">
        <v>17.012164489510464</v>
      </c>
      <c r="K90" s="189">
        <v>11.975614453855373</v>
      </c>
      <c r="L90" s="188">
        <v>8.2386021908984706</v>
      </c>
      <c r="M90" s="188"/>
      <c r="N90" s="189">
        <v>48.859537804211321</v>
      </c>
      <c r="O90" s="189">
        <v>46.038843655786486</v>
      </c>
      <c r="P90" s="189">
        <v>29.745413521503881</v>
      </c>
      <c r="Q90" s="189">
        <v>20.939095527622428</v>
      </c>
      <c r="R90" s="188">
        <v>14.404968436566421</v>
      </c>
      <c r="S90" s="188"/>
      <c r="T90" s="189">
        <v>0</v>
      </c>
      <c r="U90" s="189">
        <v>0</v>
      </c>
      <c r="V90" s="189">
        <v>0</v>
      </c>
      <c r="W90" s="189">
        <v>0</v>
      </c>
      <c r="X90" s="188">
        <v>0</v>
      </c>
      <c r="Y90" s="91" t="str">
        <f t="shared" si="90"/>
        <v>45-49</v>
      </c>
      <c r="Z90" s="189">
        <v>119.91671183726781</v>
      </c>
      <c r="AA90" s="189">
        <v>117.54013515583459</v>
      </c>
      <c r="AB90" s="189">
        <v>126.00211978783305</v>
      </c>
      <c r="AC90" s="189">
        <v>129.89925725652535</v>
      </c>
      <c r="AD90" s="188">
        <v>132.56976051535059</v>
      </c>
      <c r="AE90" s="188"/>
      <c r="AF90" s="189">
        <v>113.53631898468487</v>
      </c>
      <c r="AG90" s="189">
        <v>111.28619702022586</v>
      </c>
      <c r="AH90" s="189">
        <v>119.29796634507618</v>
      </c>
      <c r="AI90" s="189">
        <v>122.98778022947444</v>
      </c>
      <c r="AJ90" s="188">
        <v>125.51614028502338</v>
      </c>
      <c r="AK90" s="188"/>
      <c r="AL90" s="189">
        <v>6.3803928525829319</v>
      </c>
      <c r="AM90" s="189">
        <v>6.2539381356087462</v>
      </c>
      <c r="AN90" s="189">
        <v>6.7041534427568807</v>
      </c>
      <c r="AO90" s="189">
        <v>6.9114770270509069</v>
      </c>
      <c r="AP90" s="188">
        <v>7.0536202303272111</v>
      </c>
      <c r="AQ90" s="91" t="str">
        <f t="shared" si="91"/>
        <v>45-49</v>
      </c>
      <c r="AR90" s="189">
        <v>113.07878171213598</v>
      </c>
      <c r="AS90" s="189">
        <v>125.98319422944476</v>
      </c>
      <c r="AT90" s="189">
        <v>142.77630220115262</v>
      </c>
      <c r="AU90" s="189">
        <v>151.84003276199684</v>
      </c>
      <c r="AV90" s="188">
        <v>159.15166885718455</v>
      </c>
      <c r="AW90" s="188"/>
      <c r="AX90" s="189">
        <v>111.76159647140302</v>
      </c>
      <c r="AY90" s="189">
        <v>124.51577593370071</v>
      </c>
      <c r="AZ90" s="189">
        <v>141.11320504624786</v>
      </c>
      <c r="BA90" s="189">
        <v>150.07143093938149</v>
      </c>
      <c r="BB90" s="188">
        <v>157.29788066457172</v>
      </c>
      <c r="BC90" s="188"/>
      <c r="BD90" s="189">
        <v>1.3171852407329641</v>
      </c>
      <c r="BE90" s="189">
        <v>1.4674182957440471</v>
      </c>
      <c r="BF90" s="189">
        <v>1.663097154904764</v>
      </c>
      <c r="BG90" s="189">
        <v>1.7686018226153735</v>
      </c>
      <c r="BH90" s="188">
        <v>1.8537881926128472</v>
      </c>
    </row>
    <row r="91" spans="1:60" x14ac:dyDescent="0.2">
      <c r="A91" s="91" t="str">
        <f t="shared" si="89"/>
        <v>50-54</v>
      </c>
      <c r="B91" s="189">
        <v>74.130845817172315</v>
      </c>
      <c r="C91" s="189">
        <v>76.292901659215687</v>
      </c>
      <c r="D91" s="189">
        <v>62.868745854171486</v>
      </c>
      <c r="E91" s="189">
        <v>48.927498060783627</v>
      </c>
      <c r="F91" s="188">
        <v>37.108932956215206</v>
      </c>
      <c r="G91" s="188"/>
      <c r="H91" s="189">
        <v>27.517951911427684</v>
      </c>
      <c r="I91" s="189">
        <v>28.320507284713951</v>
      </c>
      <c r="J91" s="189">
        <v>23.337364458948031</v>
      </c>
      <c r="K91" s="189">
        <v>18.162254416964728</v>
      </c>
      <c r="L91" s="188">
        <v>13.775148267079187</v>
      </c>
      <c r="M91" s="188"/>
      <c r="N91" s="189">
        <v>46.612893905744635</v>
      </c>
      <c r="O91" s="189">
        <v>47.972394374501732</v>
      </c>
      <c r="P91" s="189">
        <v>39.531381395223455</v>
      </c>
      <c r="Q91" s="189">
        <v>30.765243643818895</v>
      </c>
      <c r="R91" s="188">
        <v>23.333784689136024</v>
      </c>
      <c r="S91" s="188"/>
      <c r="T91" s="189">
        <v>0</v>
      </c>
      <c r="U91" s="189">
        <v>0</v>
      </c>
      <c r="V91" s="189">
        <v>0</v>
      </c>
      <c r="W91" s="189">
        <v>0</v>
      </c>
      <c r="X91" s="188">
        <v>0</v>
      </c>
      <c r="Y91" s="91" t="str">
        <f t="shared" si="90"/>
        <v>50-54</v>
      </c>
      <c r="Z91" s="189">
        <v>86.760993384439232</v>
      </c>
      <c r="AA91" s="189">
        <v>96.953240370929649</v>
      </c>
      <c r="AB91" s="189">
        <v>105.73855197584399</v>
      </c>
      <c r="AC91" s="189">
        <v>116.22864044167615</v>
      </c>
      <c r="AD91" s="188">
        <v>126.02469049917889</v>
      </c>
      <c r="AE91" s="188"/>
      <c r="AF91" s="189">
        <v>81.596570349738855</v>
      </c>
      <c r="AG91" s="189">
        <v>91.182181714094824</v>
      </c>
      <c r="AH91" s="189">
        <v>99.444551689154906</v>
      </c>
      <c r="AI91" s="189">
        <v>109.31026683421746</v>
      </c>
      <c r="AJ91" s="188">
        <v>118.52317446256983</v>
      </c>
      <c r="AK91" s="188"/>
      <c r="AL91" s="189">
        <v>5.1644230347003779</v>
      </c>
      <c r="AM91" s="189">
        <v>5.7710586568348159</v>
      </c>
      <c r="AN91" s="189">
        <v>6.2940002866890863</v>
      </c>
      <c r="AO91" s="189">
        <v>6.9183736074586868</v>
      </c>
      <c r="AP91" s="188">
        <v>7.5015160366090656</v>
      </c>
      <c r="AQ91" s="91" t="str">
        <f t="shared" si="91"/>
        <v>50-54</v>
      </c>
      <c r="AR91" s="189">
        <v>76.999160798388473</v>
      </c>
      <c r="AS91" s="189">
        <v>96.560857969854624</v>
      </c>
      <c r="AT91" s="189">
        <v>116.57270216998455</v>
      </c>
      <c r="AU91" s="189">
        <v>128.98986149754023</v>
      </c>
      <c r="AV91" s="188">
        <v>140.9583765446059</v>
      </c>
      <c r="AW91" s="188"/>
      <c r="AX91" s="189">
        <v>76.294968712849709</v>
      </c>
      <c r="AY91" s="189">
        <v>95.677849729956222</v>
      </c>
      <c r="AZ91" s="189">
        <v>115.50670905420014</v>
      </c>
      <c r="BA91" s="189">
        <v>127.81028960948962</v>
      </c>
      <c r="BB91" s="188">
        <v>139.6692906114707</v>
      </c>
      <c r="BC91" s="188"/>
      <c r="BD91" s="189">
        <v>0.70419208553877055</v>
      </c>
      <c r="BE91" s="189">
        <v>0.88300823989842003</v>
      </c>
      <c r="BF91" s="189">
        <v>1.0659931157844085</v>
      </c>
      <c r="BG91" s="189">
        <v>1.1795718880506243</v>
      </c>
      <c r="BH91" s="188">
        <v>1.2890859331351963</v>
      </c>
    </row>
    <row r="92" spans="1:60" x14ac:dyDescent="0.2">
      <c r="A92" s="91" t="str">
        <f t="shared" si="89"/>
        <v>55-59</v>
      </c>
      <c r="B92" s="189">
        <v>50.123111298551322</v>
      </c>
      <c r="C92" s="189">
        <v>49.323988494669976</v>
      </c>
      <c r="D92" s="189">
        <v>54.734368903773372</v>
      </c>
      <c r="E92" s="189">
        <v>46.878192366194043</v>
      </c>
      <c r="F92" s="188">
        <v>36.717928947865651</v>
      </c>
      <c r="G92" s="188"/>
      <c r="H92" s="189">
        <v>20.068212623946785</v>
      </c>
      <c r="I92" s="189">
        <v>19.748271942588062</v>
      </c>
      <c r="J92" s="189">
        <v>21.914478270879478</v>
      </c>
      <c r="K92" s="189">
        <v>18.76897099596793</v>
      </c>
      <c r="L92" s="188">
        <v>14.701046063760439</v>
      </c>
      <c r="M92" s="188"/>
      <c r="N92" s="189">
        <v>30.054898674604537</v>
      </c>
      <c r="O92" s="189">
        <v>29.575716552081918</v>
      </c>
      <c r="P92" s="189">
        <v>32.819890632893888</v>
      </c>
      <c r="Q92" s="189">
        <v>28.109221370226116</v>
      </c>
      <c r="R92" s="188">
        <v>22.016882884105211</v>
      </c>
      <c r="S92" s="188"/>
      <c r="T92" s="189">
        <v>0</v>
      </c>
      <c r="U92" s="189">
        <v>0</v>
      </c>
      <c r="V92" s="189">
        <v>0</v>
      </c>
      <c r="W92" s="189">
        <v>0</v>
      </c>
      <c r="X92" s="188">
        <v>0</v>
      </c>
      <c r="Y92" s="91" t="str">
        <f t="shared" si="90"/>
        <v>55-59</v>
      </c>
      <c r="Z92" s="189">
        <v>50.022718415568512</v>
      </c>
      <c r="AA92" s="189">
        <v>54.941387327680005</v>
      </c>
      <c r="AB92" s="189">
        <v>78.772938863638728</v>
      </c>
      <c r="AC92" s="189">
        <v>94.437586570976393</v>
      </c>
      <c r="AD92" s="188">
        <v>103.91445213238326</v>
      </c>
      <c r="AE92" s="188"/>
      <c r="AF92" s="189">
        <v>46.530169779779939</v>
      </c>
      <c r="AG92" s="189">
        <v>51.105378605023787</v>
      </c>
      <c r="AH92" s="189">
        <v>73.273049746677671</v>
      </c>
      <c r="AI92" s="189">
        <v>87.843993736619538</v>
      </c>
      <c r="AJ92" s="188">
        <v>96.659206845843883</v>
      </c>
      <c r="AK92" s="188"/>
      <c r="AL92" s="189">
        <v>3.4925486357885691</v>
      </c>
      <c r="AM92" s="189">
        <v>3.8360087226562167</v>
      </c>
      <c r="AN92" s="189">
        <v>5.4998891169610493</v>
      </c>
      <c r="AO92" s="189">
        <v>6.5935928343568344</v>
      </c>
      <c r="AP92" s="188">
        <v>7.2552452865393828</v>
      </c>
      <c r="AQ92" s="91" t="str">
        <f t="shared" si="91"/>
        <v>55-59</v>
      </c>
      <c r="AR92" s="189">
        <v>43.944170285880162</v>
      </c>
      <c r="AS92" s="189">
        <v>55.229624177650017</v>
      </c>
      <c r="AT92" s="189">
        <v>80.0286922325879</v>
      </c>
      <c r="AU92" s="189">
        <v>97.06122106282956</v>
      </c>
      <c r="AV92" s="188">
        <v>107.73061891975107</v>
      </c>
      <c r="AW92" s="188"/>
      <c r="AX92" s="189">
        <v>43.298834557519996</v>
      </c>
      <c r="AY92" s="189">
        <v>54.418522326695687</v>
      </c>
      <c r="AZ92" s="189">
        <v>78.853443932668</v>
      </c>
      <c r="BA92" s="189">
        <v>95.635738085376531</v>
      </c>
      <c r="BB92" s="188">
        <v>106.14856157242835</v>
      </c>
      <c r="BC92" s="188"/>
      <c r="BD92" s="189">
        <v>0.64533572836017361</v>
      </c>
      <c r="BE92" s="189">
        <v>0.81110185095432563</v>
      </c>
      <c r="BF92" s="189">
        <v>1.1752482999198919</v>
      </c>
      <c r="BG92" s="189">
        <v>1.4254829774530267</v>
      </c>
      <c r="BH92" s="188">
        <v>1.5820573473227093</v>
      </c>
    </row>
    <row r="93" spans="1:60" x14ac:dyDescent="0.2">
      <c r="A93" s="91" t="str">
        <f t="shared" si="89"/>
        <v>60-64</v>
      </c>
      <c r="B93" s="189">
        <v>13.764231925065078</v>
      </c>
      <c r="C93" s="189">
        <v>18.76836361753071</v>
      </c>
      <c r="D93" s="189">
        <v>18.508542780694757</v>
      </c>
      <c r="E93" s="189">
        <v>17.452835144978611</v>
      </c>
      <c r="F93" s="188">
        <v>14.804084816049919</v>
      </c>
      <c r="G93" s="188"/>
      <c r="H93" s="189">
        <v>6.6702307458031802</v>
      </c>
      <c r="I93" s="189">
        <v>9.0952856087735459</v>
      </c>
      <c r="J93" s="189">
        <v>8.9693500547268563</v>
      </c>
      <c r="K93" s="189">
        <v>8.4577572298816346</v>
      </c>
      <c r="L93" s="188">
        <v>7.1741516654067379</v>
      </c>
      <c r="M93" s="188"/>
      <c r="N93" s="189">
        <v>7.0940011792618973</v>
      </c>
      <c r="O93" s="189">
        <v>9.6730780087571677</v>
      </c>
      <c r="P93" s="189">
        <v>9.5391927259679008</v>
      </c>
      <c r="Q93" s="189">
        <v>8.9950779150969762</v>
      </c>
      <c r="R93" s="188">
        <v>7.62993315064318</v>
      </c>
      <c r="S93" s="188"/>
      <c r="T93" s="189">
        <v>0</v>
      </c>
      <c r="U93" s="189">
        <v>0</v>
      </c>
      <c r="V93" s="189">
        <v>0</v>
      </c>
      <c r="W93" s="189">
        <v>0</v>
      </c>
      <c r="X93" s="188">
        <v>0</v>
      </c>
      <c r="Y93" s="91" t="str">
        <f t="shared" si="90"/>
        <v>60-64</v>
      </c>
      <c r="Z93" s="189">
        <v>12.31020529409596</v>
      </c>
      <c r="AA93" s="189">
        <v>14.261344557443534</v>
      </c>
      <c r="AB93" s="189">
        <v>21.71515850756559</v>
      </c>
      <c r="AC93" s="189">
        <v>28.490108641285989</v>
      </c>
      <c r="AD93" s="188">
        <v>34.561262922202097</v>
      </c>
      <c r="AE93" s="188"/>
      <c r="AF93" s="189">
        <v>11.043928783107889</v>
      </c>
      <c r="AG93" s="189">
        <v>12.794409216272046</v>
      </c>
      <c r="AH93" s="189">
        <v>19.481518497742734</v>
      </c>
      <c r="AI93" s="189">
        <v>25.559606891725771</v>
      </c>
      <c r="AJ93" s="188">
        <v>31.006230901067084</v>
      </c>
      <c r="AK93" s="188"/>
      <c r="AL93" s="189">
        <v>1.2662765109880707</v>
      </c>
      <c r="AM93" s="189">
        <v>1.4669353411714883</v>
      </c>
      <c r="AN93" s="189">
        <v>2.233640009822857</v>
      </c>
      <c r="AO93" s="189">
        <v>2.9305017495602126</v>
      </c>
      <c r="AP93" s="188">
        <v>3.5550320211350139</v>
      </c>
      <c r="AQ93" s="91" t="str">
        <f t="shared" si="91"/>
        <v>60-64</v>
      </c>
      <c r="AR93" s="189">
        <v>10.014562780838963</v>
      </c>
      <c r="AS93" s="189">
        <v>15.861291825025759</v>
      </c>
      <c r="AT93" s="189">
        <v>24.782298711739656</v>
      </c>
      <c r="AU93" s="189">
        <v>32.955056213735411</v>
      </c>
      <c r="AV93" s="188">
        <v>41.965652261747991</v>
      </c>
      <c r="AW93" s="188"/>
      <c r="AX93" s="189">
        <v>9.3191096537115143</v>
      </c>
      <c r="AY93" s="189">
        <v>14.759802271763046</v>
      </c>
      <c r="AZ93" s="189">
        <v>23.061241083126763</v>
      </c>
      <c r="BA93" s="189">
        <v>30.666373272484456</v>
      </c>
      <c r="BB93" s="188">
        <v>39.05130130334193</v>
      </c>
      <c r="BC93" s="188"/>
      <c r="BD93" s="189">
        <v>0.69545312712745089</v>
      </c>
      <c r="BE93" s="189">
        <v>1.1014895532627123</v>
      </c>
      <c r="BF93" s="189">
        <v>1.721057628612892</v>
      </c>
      <c r="BG93" s="189">
        <v>2.2886829412509542</v>
      </c>
      <c r="BH93" s="188">
        <v>2.9143509584060596</v>
      </c>
    </row>
    <row r="94" spans="1:60" x14ac:dyDescent="0.2">
      <c r="A94" s="92" t="str">
        <f t="shared" si="89"/>
        <v>65+</v>
      </c>
      <c r="B94" s="189">
        <v>5.0275971766300218</v>
      </c>
      <c r="C94" s="189">
        <v>5.0571710967350976</v>
      </c>
      <c r="D94" s="189">
        <v>5.0002589845625298</v>
      </c>
      <c r="E94" s="189">
        <v>3.9459227571467377</v>
      </c>
      <c r="F94" s="188">
        <v>3.6918171007746805</v>
      </c>
      <c r="G94" s="190"/>
      <c r="H94" s="189">
        <v>2.987417610658246</v>
      </c>
      <c r="I94" s="189">
        <v>3.0049961668141885</v>
      </c>
      <c r="J94" s="189">
        <v>2.9711593642715379</v>
      </c>
      <c r="K94" s="189">
        <v>2.3446844102127109</v>
      </c>
      <c r="L94" s="188">
        <v>2.1936853336258615</v>
      </c>
      <c r="M94" s="190"/>
      <c r="N94" s="189">
        <v>2.0401795659717767</v>
      </c>
      <c r="O94" s="189">
        <v>2.0521749299209091</v>
      </c>
      <c r="P94" s="189">
        <v>2.0290996202909919</v>
      </c>
      <c r="Q94" s="189">
        <v>1.6012383469340266</v>
      </c>
      <c r="R94" s="188">
        <v>1.4981317671488188</v>
      </c>
      <c r="S94" s="190"/>
      <c r="T94" s="190">
        <v>0</v>
      </c>
      <c r="U94" s="190">
        <v>0</v>
      </c>
      <c r="V94" s="190">
        <v>0</v>
      </c>
      <c r="W94" s="190">
        <v>0</v>
      </c>
      <c r="X94" s="190">
        <v>0</v>
      </c>
      <c r="Y94" s="92" t="str">
        <f t="shared" si="90"/>
        <v>65+</v>
      </c>
      <c r="Z94" s="189">
        <v>2.7461652297525743</v>
      </c>
      <c r="AA94" s="189">
        <v>4.055911790969331</v>
      </c>
      <c r="AB94" s="189">
        <v>3.5612495126359529</v>
      </c>
      <c r="AC94" s="189">
        <v>3.9532933888693056</v>
      </c>
      <c r="AD94" s="188">
        <v>5.2021489926704287</v>
      </c>
      <c r="AE94" s="190"/>
      <c r="AF94" s="189">
        <v>2.4974123148764233</v>
      </c>
      <c r="AG94" s="189">
        <v>3.6885697608652581</v>
      </c>
      <c r="AH94" s="189">
        <v>3.2387036749219651</v>
      </c>
      <c r="AI94" s="189">
        <v>3.5952382484733798</v>
      </c>
      <c r="AJ94" s="188">
        <v>4.7309759551497086</v>
      </c>
      <c r="AK94" s="190"/>
      <c r="AL94" s="189">
        <v>0.24875291487615106</v>
      </c>
      <c r="AM94" s="189">
        <v>0.3673420301040734</v>
      </c>
      <c r="AN94" s="189">
        <v>0.32254583771398837</v>
      </c>
      <c r="AO94" s="189">
        <v>0.35805514039592606</v>
      </c>
      <c r="AP94" s="188">
        <v>0.47117303752072126</v>
      </c>
      <c r="AQ94" s="92" t="str">
        <f t="shared" si="91"/>
        <v>65+</v>
      </c>
      <c r="AR94" s="189">
        <v>2.4962375936174048</v>
      </c>
      <c r="AS94" s="189">
        <v>4.1209171122955697</v>
      </c>
      <c r="AT94" s="189">
        <v>4.3774915028015169</v>
      </c>
      <c r="AU94" s="189">
        <v>5.7297838539839567</v>
      </c>
      <c r="AV94" s="188">
        <v>8.4160339065548904</v>
      </c>
      <c r="AW94" s="190"/>
      <c r="AX94" s="189">
        <v>2.4393838610275034</v>
      </c>
      <c r="AY94" s="189">
        <v>4.0270912403022177</v>
      </c>
      <c r="AZ94" s="189">
        <v>4.2777979690182679</v>
      </c>
      <c r="BA94" s="189">
        <v>5.5993484434809799</v>
      </c>
      <c r="BB94" s="188">
        <v>8.2244038402405248</v>
      </c>
      <c r="BC94" s="190"/>
      <c r="BD94" s="189">
        <v>5.6853732589901257E-2</v>
      </c>
      <c r="BE94" s="189">
        <v>9.3825871993351684E-2</v>
      </c>
      <c r="BF94" s="189">
        <v>9.9693533783248439E-2</v>
      </c>
      <c r="BG94" s="189">
        <v>0.13043541050297702</v>
      </c>
      <c r="BH94" s="188">
        <v>0.19163006631436572</v>
      </c>
    </row>
    <row r="95" spans="1:60" x14ac:dyDescent="0.2">
      <c r="A95" s="96"/>
      <c r="B95" s="191"/>
      <c r="C95" s="191"/>
      <c r="D95" s="191"/>
      <c r="E95" s="191"/>
      <c r="F95" s="191"/>
      <c r="G95" s="191"/>
      <c r="H95" s="191"/>
      <c r="I95" s="191"/>
      <c r="J95" s="191"/>
      <c r="K95" s="191"/>
      <c r="L95" s="191"/>
      <c r="M95" s="191"/>
      <c r="N95" s="191"/>
      <c r="O95" s="191"/>
      <c r="P95" s="191"/>
      <c r="Q95" s="191"/>
      <c r="R95" s="191"/>
      <c r="S95" s="191"/>
      <c r="Y95" s="96"/>
      <c r="Z95" s="191"/>
      <c r="AA95" s="191"/>
      <c r="AB95" s="191"/>
      <c r="AC95" s="191"/>
      <c r="AD95" s="191"/>
      <c r="AE95" s="191"/>
      <c r="AF95" s="191"/>
      <c r="AG95" s="191"/>
      <c r="AH95" s="191"/>
      <c r="AI95" s="191"/>
      <c r="AJ95" s="191"/>
      <c r="AK95" s="191"/>
      <c r="AL95" s="191"/>
      <c r="AM95" s="191"/>
      <c r="AN95" s="191"/>
      <c r="AO95" s="191"/>
      <c r="AP95" s="191"/>
      <c r="AQ95" s="96"/>
      <c r="AR95" s="191"/>
      <c r="AS95" s="191"/>
      <c r="AT95" s="191"/>
      <c r="AU95" s="191"/>
      <c r="AV95" s="191"/>
      <c r="AW95" s="191"/>
      <c r="AX95" s="191"/>
      <c r="AY95" s="191"/>
      <c r="AZ95" s="191"/>
      <c r="BA95" s="191"/>
      <c r="BB95" s="191"/>
      <c r="BC95" s="191"/>
      <c r="BD95" s="191"/>
      <c r="BE95" s="191"/>
      <c r="BF95" s="191"/>
      <c r="BG95" s="191"/>
      <c r="BH95" s="191"/>
    </row>
    <row r="97" spans="1:1" x14ac:dyDescent="0.2">
      <c r="A97" s="91" t="s">
        <v>112</v>
      </c>
    </row>
  </sheetData>
  <mergeCells count="8">
    <mergeCell ref="BD3:BH3"/>
    <mergeCell ref="W50:X50"/>
    <mergeCell ref="T51:X51"/>
    <mergeCell ref="W2:X2"/>
    <mergeCell ref="T3:X3"/>
    <mergeCell ref="Z3:AD3"/>
    <mergeCell ref="AL3:AP3"/>
    <mergeCell ref="AR3:AV3"/>
  </mergeCells>
  <pageMargins left="0.35433070866141736" right="0.35433070866141736" top="0.74803149606299213" bottom="0.74803149606299213" header="0.31496062992125984" footer="0.31496062992125984"/>
  <pageSetup paperSize="9" scale="75" pageOrder="overThenDown" orientation="landscape" r:id="rId1"/>
  <rowBreaks count="1" manualBreakCount="1">
    <brk id="48" max="16383" man="1"/>
  </rowBreaks>
  <colBreaks count="2" manualBreakCount="2">
    <brk id="24" max="1048575" man="1"/>
    <brk id="42" max="1048575" man="1"/>
  </colBreak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2"/>
  <dimension ref="A1:L143"/>
  <sheetViews>
    <sheetView zoomScale="85" zoomScaleNormal="85" workbookViewId="0">
      <pane ySplit="2" topLeftCell="A3" activePane="bottomLeft" state="frozen"/>
      <selection pane="bottomLeft"/>
    </sheetView>
  </sheetViews>
  <sheetFormatPr defaultRowHeight="12.75" x14ac:dyDescent="0.2"/>
  <cols>
    <col min="1" max="3" width="26.7109375" customWidth="1"/>
    <col min="4" max="4" width="46.5703125" customWidth="1"/>
    <col min="5" max="5" width="36.28515625" customWidth="1"/>
    <col min="6" max="7" width="34.7109375" customWidth="1"/>
    <col min="8" max="8" width="6.140625" customWidth="1"/>
    <col min="9" max="9" width="20.28515625" customWidth="1"/>
    <col min="10" max="10" width="4.85546875" customWidth="1"/>
    <col min="11" max="11" width="24.7109375" customWidth="1"/>
    <col min="12" max="12" width="9.140625" customWidth="1"/>
  </cols>
  <sheetData>
    <row r="1" spans="1:12" x14ac:dyDescent="0.2">
      <c r="A1" s="228" t="s">
        <v>252</v>
      </c>
      <c r="B1" s="228" t="s">
        <v>312</v>
      </c>
      <c r="C1" s="228" t="s">
        <v>4</v>
      </c>
      <c r="D1" s="228" t="s">
        <v>497</v>
      </c>
      <c r="E1" s="228" t="s">
        <v>326</v>
      </c>
      <c r="F1" s="230" t="s">
        <v>332</v>
      </c>
      <c r="G1" s="230" t="s">
        <v>351</v>
      </c>
      <c r="H1" s="230" t="s">
        <v>334</v>
      </c>
      <c r="I1" s="230"/>
      <c r="J1" s="230" t="s">
        <v>335</v>
      </c>
      <c r="K1" s="126"/>
      <c r="L1" s="1"/>
    </row>
    <row r="2" spans="1:12" s="13" customFormat="1" x14ac:dyDescent="0.2">
      <c r="A2" s="229" t="s">
        <v>353</v>
      </c>
      <c r="B2" s="229" t="s">
        <v>349</v>
      </c>
      <c r="C2" s="229" t="s">
        <v>350</v>
      </c>
      <c r="D2" s="126" t="s">
        <v>325</v>
      </c>
      <c r="E2" s="126" t="s">
        <v>327</v>
      </c>
      <c r="F2" s="229" t="s">
        <v>41</v>
      </c>
      <c r="G2" s="229" t="s">
        <v>352</v>
      </c>
      <c r="H2" s="126" t="s">
        <v>336</v>
      </c>
      <c r="I2" s="126" t="s">
        <v>106</v>
      </c>
      <c r="J2" s="126" t="s">
        <v>337</v>
      </c>
      <c r="K2" s="126" t="s">
        <v>338</v>
      </c>
      <c r="L2" s="83"/>
    </row>
    <row r="3" spans="1:12" x14ac:dyDescent="0.2">
      <c r="A3" s="10" t="s">
        <v>0</v>
      </c>
      <c r="B3" s="126" t="s">
        <v>0</v>
      </c>
      <c r="C3" s="10" t="s">
        <v>0</v>
      </c>
      <c r="D3" s="126" t="s">
        <v>10</v>
      </c>
      <c r="E3" s="126" t="s">
        <v>10</v>
      </c>
      <c r="F3" s="126" t="s">
        <v>40</v>
      </c>
      <c r="G3" s="126" t="s">
        <v>40</v>
      </c>
      <c r="H3" s="126" t="s">
        <v>339</v>
      </c>
      <c r="I3" s="126" t="s">
        <v>104</v>
      </c>
      <c r="J3" s="126" t="s">
        <v>340</v>
      </c>
      <c r="K3" s="126" t="s">
        <v>341</v>
      </c>
    </row>
    <row r="4" spans="1:12" x14ac:dyDescent="0.2">
      <c r="A4" s="10" t="s">
        <v>86</v>
      </c>
      <c r="B4" s="126" t="s">
        <v>313</v>
      </c>
      <c r="C4" s="10" t="s">
        <v>249</v>
      </c>
      <c r="D4" s="126" t="s">
        <v>471</v>
      </c>
      <c r="E4" s="126" t="s">
        <v>328</v>
      </c>
      <c r="F4" s="126" t="s">
        <v>443</v>
      </c>
      <c r="G4" s="126" t="s">
        <v>444</v>
      </c>
      <c r="H4" s="126" t="s">
        <v>342</v>
      </c>
      <c r="I4" s="126" t="s">
        <v>105</v>
      </c>
      <c r="J4" s="126" t="s">
        <v>343</v>
      </c>
      <c r="K4" s="126" t="s">
        <v>344</v>
      </c>
    </row>
    <row r="5" spans="1:12" x14ac:dyDescent="0.2">
      <c r="A5" s="10" t="s">
        <v>253</v>
      </c>
      <c r="B5" s="126" t="s">
        <v>87</v>
      </c>
      <c r="C5" s="10" t="s">
        <v>8</v>
      </c>
      <c r="D5" s="126" t="s">
        <v>472</v>
      </c>
      <c r="E5" s="126" t="s">
        <v>329</v>
      </c>
      <c r="F5" s="126" t="s">
        <v>445</v>
      </c>
      <c r="G5" s="126" t="s">
        <v>446</v>
      </c>
      <c r="H5" s="126"/>
      <c r="I5" s="126"/>
      <c r="J5" s="126" t="s">
        <v>345</v>
      </c>
      <c r="K5" s="126" t="s">
        <v>346</v>
      </c>
    </row>
    <row r="6" spans="1:12" x14ac:dyDescent="0.2">
      <c r="A6" s="10" t="s">
        <v>254</v>
      </c>
      <c r="B6" s="126" t="s">
        <v>314</v>
      </c>
      <c r="C6" s="10" t="s">
        <v>2</v>
      </c>
      <c r="D6" s="126" t="s">
        <v>473</v>
      </c>
      <c r="E6" s="126" t="s">
        <v>498</v>
      </c>
      <c r="F6" s="126" t="s">
        <v>447</v>
      </c>
      <c r="G6" s="126" t="s">
        <v>448</v>
      </c>
      <c r="H6" s="126"/>
      <c r="I6" s="126"/>
      <c r="J6" s="126" t="s">
        <v>347</v>
      </c>
      <c r="K6" s="126" t="s">
        <v>348</v>
      </c>
    </row>
    <row r="7" spans="1:12" x14ac:dyDescent="0.2">
      <c r="A7" s="10" t="s">
        <v>255</v>
      </c>
      <c r="B7" s="126" t="s">
        <v>5</v>
      </c>
      <c r="C7" s="10" t="s">
        <v>250</v>
      </c>
      <c r="D7" s="126" t="s">
        <v>474</v>
      </c>
      <c r="E7" s="126" t="s">
        <v>499</v>
      </c>
      <c r="F7" s="126" t="s">
        <v>449</v>
      </c>
      <c r="G7" s="126" t="s">
        <v>450</v>
      </c>
    </row>
    <row r="8" spans="1:12" x14ac:dyDescent="0.2">
      <c r="A8" s="10" t="s">
        <v>256</v>
      </c>
      <c r="B8" s="126" t="s">
        <v>6</v>
      </c>
      <c r="C8" s="10" t="s">
        <v>251</v>
      </c>
      <c r="D8" s="126" t="s">
        <v>475</v>
      </c>
      <c r="E8" s="126" t="s">
        <v>330</v>
      </c>
      <c r="F8" s="126" t="s">
        <v>451</v>
      </c>
      <c r="G8" s="126" t="s">
        <v>452</v>
      </c>
    </row>
    <row r="9" spans="1:12" x14ac:dyDescent="0.2">
      <c r="A9" s="10" t="s">
        <v>257</v>
      </c>
      <c r="B9" s="126" t="s">
        <v>315</v>
      </c>
      <c r="C9" s="10" t="s">
        <v>453</v>
      </c>
      <c r="D9" s="126" t="s">
        <v>476</v>
      </c>
      <c r="E9" s="126" t="s">
        <v>500</v>
      </c>
      <c r="F9" s="126" t="s">
        <v>448</v>
      </c>
      <c r="G9" s="126" t="s">
        <v>333</v>
      </c>
    </row>
    <row r="10" spans="1:12" x14ac:dyDescent="0.2">
      <c r="A10" s="10" t="s">
        <v>258</v>
      </c>
      <c r="B10" s="126" t="s">
        <v>316</v>
      </c>
      <c r="C10" t="s">
        <v>11</v>
      </c>
      <c r="D10" s="126" t="s">
        <v>477</v>
      </c>
      <c r="E10" s="126" t="s">
        <v>501</v>
      </c>
      <c r="F10" s="126" t="s">
        <v>450</v>
      </c>
      <c r="G10" s="126"/>
    </row>
    <row r="11" spans="1:12" x14ac:dyDescent="0.2">
      <c r="A11" s="10" t="s">
        <v>259</v>
      </c>
      <c r="B11" s="126" t="s">
        <v>2</v>
      </c>
      <c r="C11" t="s">
        <v>11</v>
      </c>
      <c r="D11" s="126" t="s">
        <v>478</v>
      </c>
      <c r="E11" s="126" t="s">
        <v>331</v>
      </c>
      <c r="F11" s="126" t="s">
        <v>452</v>
      </c>
      <c r="G11" s="126"/>
      <c r="I11" s="83"/>
    </row>
    <row r="12" spans="1:12" x14ac:dyDescent="0.2">
      <c r="A12" s="10" t="s">
        <v>260</v>
      </c>
      <c r="B12" s="126" t="s">
        <v>89</v>
      </c>
      <c r="C12" t="s">
        <v>11</v>
      </c>
      <c r="D12" s="126" t="s">
        <v>479</v>
      </c>
      <c r="E12" s="126" t="s">
        <v>9</v>
      </c>
      <c r="F12" s="126" t="s">
        <v>333</v>
      </c>
      <c r="G12" s="126"/>
    </row>
    <row r="13" spans="1:12" x14ac:dyDescent="0.2">
      <c r="A13" s="10" t="s">
        <v>261</v>
      </c>
      <c r="B13" s="126" t="s">
        <v>317</v>
      </c>
      <c r="C13" t="s">
        <v>11</v>
      </c>
      <c r="D13" s="126" t="s">
        <v>480</v>
      </c>
    </row>
    <row r="14" spans="1:12" x14ac:dyDescent="0.2">
      <c r="A14" s="10" t="s">
        <v>1</v>
      </c>
      <c r="B14" s="126" t="s">
        <v>318</v>
      </c>
      <c r="C14" t="s">
        <v>11</v>
      </c>
      <c r="D14" s="126" t="s">
        <v>481</v>
      </c>
      <c r="E14" t="s">
        <v>11</v>
      </c>
    </row>
    <row r="15" spans="1:12" x14ac:dyDescent="0.2">
      <c r="A15" s="10" t="s">
        <v>262</v>
      </c>
      <c r="B15" s="126" t="s">
        <v>90</v>
      </c>
      <c r="C15" t="s">
        <v>11</v>
      </c>
      <c r="D15" s="126" t="s">
        <v>482</v>
      </c>
      <c r="E15" t="s">
        <v>11</v>
      </c>
      <c r="I15" s="83"/>
    </row>
    <row r="16" spans="1:12" x14ac:dyDescent="0.2">
      <c r="A16" s="10" t="s">
        <v>263</v>
      </c>
      <c r="B16" s="126" t="s">
        <v>319</v>
      </c>
      <c r="C16" t="s">
        <v>11</v>
      </c>
      <c r="D16" s="126" t="s">
        <v>483</v>
      </c>
      <c r="E16" t="s">
        <v>11</v>
      </c>
    </row>
    <row r="17" spans="1:9" x14ac:dyDescent="0.2">
      <c r="A17" s="10" t="s">
        <v>264</v>
      </c>
      <c r="B17" s="126" t="s">
        <v>320</v>
      </c>
      <c r="C17" t="s">
        <v>11</v>
      </c>
      <c r="D17" s="126" t="s">
        <v>484</v>
      </c>
      <c r="E17" t="s">
        <v>11</v>
      </c>
      <c r="I17" s="83"/>
    </row>
    <row r="18" spans="1:9" x14ac:dyDescent="0.2">
      <c r="A18" s="10" t="s">
        <v>265</v>
      </c>
      <c r="B18" s="126" t="s">
        <v>290</v>
      </c>
      <c r="C18" t="s">
        <v>11</v>
      </c>
      <c r="D18" s="126" t="s">
        <v>485</v>
      </c>
      <c r="E18" t="s">
        <v>11</v>
      </c>
    </row>
    <row r="19" spans="1:9" x14ac:dyDescent="0.2">
      <c r="A19" s="10" t="s">
        <v>266</v>
      </c>
      <c r="B19" s="126" t="s">
        <v>321</v>
      </c>
      <c r="C19" t="s">
        <v>11</v>
      </c>
      <c r="D19" s="126" t="s">
        <v>486</v>
      </c>
      <c r="E19" t="s">
        <v>11</v>
      </c>
    </row>
    <row r="20" spans="1:9" x14ac:dyDescent="0.2">
      <c r="A20" s="10" t="s">
        <v>88</v>
      </c>
      <c r="B20" s="126" t="s">
        <v>322</v>
      </c>
      <c r="C20" t="s">
        <v>11</v>
      </c>
      <c r="D20" s="126" t="s">
        <v>487</v>
      </c>
      <c r="E20" t="s">
        <v>11</v>
      </c>
    </row>
    <row r="21" spans="1:9" x14ac:dyDescent="0.2">
      <c r="A21" s="10" t="s">
        <v>267</v>
      </c>
      <c r="B21" s="126" t="s">
        <v>323</v>
      </c>
      <c r="C21" t="s">
        <v>11</v>
      </c>
      <c r="D21" s="126" t="s">
        <v>488</v>
      </c>
    </row>
    <row r="22" spans="1:9" x14ac:dyDescent="0.2">
      <c r="A22" s="10" t="s">
        <v>268</v>
      </c>
      <c r="B22" s="126" t="s">
        <v>3</v>
      </c>
      <c r="C22" t="s">
        <v>11</v>
      </c>
      <c r="D22" s="126" t="s">
        <v>489</v>
      </c>
      <c r="E22" t="s">
        <v>11</v>
      </c>
      <c r="I22" s="83"/>
    </row>
    <row r="23" spans="1:9" x14ac:dyDescent="0.2">
      <c r="A23" s="10" t="s">
        <v>269</v>
      </c>
      <c r="B23" s="126" t="s">
        <v>7</v>
      </c>
      <c r="C23" t="s">
        <v>11</v>
      </c>
      <c r="D23" s="126" t="s">
        <v>490</v>
      </c>
      <c r="E23" t="s">
        <v>11</v>
      </c>
    </row>
    <row r="24" spans="1:9" x14ac:dyDescent="0.2">
      <c r="A24" s="10" t="s">
        <v>270</v>
      </c>
      <c r="B24" s="126" t="s">
        <v>93</v>
      </c>
      <c r="C24" t="s">
        <v>11</v>
      </c>
      <c r="D24" s="126" t="s">
        <v>491</v>
      </c>
      <c r="E24" t="s">
        <v>11</v>
      </c>
    </row>
    <row r="25" spans="1:9" x14ac:dyDescent="0.2">
      <c r="A25" s="10" t="s">
        <v>134</v>
      </c>
      <c r="B25" s="126" t="s">
        <v>324</v>
      </c>
      <c r="C25" t="s">
        <v>11</v>
      </c>
      <c r="D25" s="126" t="s">
        <v>492</v>
      </c>
      <c r="E25" t="s">
        <v>11</v>
      </c>
    </row>
    <row r="26" spans="1:9" x14ac:dyDescent="0.2">
      <c r="A26" s="10" t="s">
        <v>271</v>
      </c>
      <c r="C26" t="s">
        <v>11</v>
      </c>
      <c r="D26" s="126" t="s">
        <v>493</v>
      </c>
      <c r="E26" t="s">
        <v>11</v>
      </c>
      <c r="I26" s="83"/>
    </row>
    <row r="27" spans="1:9" x14ac:dyDescent="0.2">
      <c r="A27" s="10" t="s">
        <v>272</v>
      </c>
      <c r="C27" t="s">
        <v>11</v>
      </c>
      <c r="D27" s="126" t="s">
        <v>494</v>
      </c>
      <c r="E27" t="s">
        <v>11</v>
      </c>
    </row>
    <row r="28" spans="1:9" x14ac:dyDescent="0.2">
      <c r="A28" s="10" t="s">
        <v>273</v>
      </c>
      <c r="C28" t="s">
        <v>11</v>
      </c>
      <c r="D28" s="126" t="s">
        <v>495</v>
      </c>
      <c r="E28" t="s">
        <v>11</v>
      </c>
    </row>
    <row r="29" spans="1:9" x14ac:dyDescent="0.2">
      <c r="A29" s="10" t="s">
        <v>135</v>
      </c>
      <c r="C29" t="s">
        <v>11</v>
      </c>
      <c r="D29" t="s">
        <v>496</v>
      </c>
      <c r="E29" t="s">
        <v>11</v>
      </c>
    </row>
    <row r="30" spans="1:9" x14ac:dyDescent="0.2">
      <c r="A30" s="10" t="s">
        <v>274</v>
      </c>
      <c r="C30" t="s">
        <v>11</v>
      </c>
      <c r="E30" t="s">
        <v>11</v>
      </c>
    </row>
    <row r="31" spans="1:9" x14ac:dyDescent="0.2">
      <c r="A31" s="10" t="s">
        <v>2</v>
      </c>
      <c r="C31" t="s">
        <v>11</v>
      </c>
      <c r="D31" t="s">
        <v>11</v>
      </c>
      <c r="E31" t="s">
        <v>11</v>
      </c>
    </row>
    <row r="32" spans="1:9" x14ac:dyDescent="0.2">
      <c r="A32" s="10" t="s">
        <v>136</v>
      </c>
      <c r="C32" t="s">
        <v>11</v>
      </c>
      <c r="D32" t="s">
        <v>11</v>
      </c>
      <c r="E32" t="s">
        <v>11</v>
      </c>
      <c r="I32" s="83"/>
    </row>
    <row r="33" spans="1:9" x14ac:dyDescent="0.2">
      <c r="A33" s="10" t="s">
        <v>275</v>
      </c>
      <c r="C33" t="s">
        <v>11</v>
      </c>
      <c r="D33" t="s">
        <v>11</v>
      </c>
      <c r="E33" t="s">
        <v>11</v>
      </c>
    </row>
    <row r="34" spans="1:9" x14ac:dyDescent="0.2">
      <c r="A34" s="10" t="s">
        <v>276</v>
      </c>
      <c r="C34" t="s">
        <v>11</v>
      </c>
      <c r="D34" t="s">
        <v>11</v>
      </c>
      <c r="E34" t="s">
        <v>11</v>
      </c>
    </row>
    <row r="35" spans="1:9" x14ac:dyDescent="0.2">
      <c r="A35" s="10" t="s">
        <v>277</v>
      </c>
      <c r="C35" t="s">
        <v>11</v>
      </c>
      <c r="D35" t="s">
        <v>11</v>
      </c>
      <c r="E35" t="s">
        <v>11</v>
      </c>
    </row>
    <row r="36" spans="1:9" x14ac:dyDescent="0.2">
      <c r="A36" s="10" t="s">
        <v>278</v>
      </c>
      <c r="C36" t="s">
        <v>11</v>
      </c>
      <c r="D36" t="s">
        <v>11</v>
      </c>
      <c r="E36" t="s">
        <v>11</v>
      </c>
    </row>
    <row r="37" spans="1:9" x14ac:dyDescent="0.2">
      <c r="A37" s="10" t="s">
        <v>279</v>
      </c>
      <c r="C37" t="s">
        <v>11</v>
      </c>
      <c r="D37" t="s">
        <v>11</v>
      </c>
      <c r="E37" t="s">
        <v>11</v>
      </c>
    </row>
    <row r="38" spans="1:9" x14ac:dyDescent="0.2">
      <c r="A38" s="10" t="s">
        <v>137</v>
      </c>
      <c r="C38" t="s">
        <v>11</v>
      </c>
      <c r="D38" t="s">
        <v>11</v>
      </c>
      <c r="E38" t="s">
        <v>11</v>
      </c>
    </row>
    <row r="39" spans="1:9" x14ac:dyDescent="0.2">
      <c r="A39" s="10" t="s">
        <v>138</v>
      </c>
      <c r="C39" t="s">
        <v>11</v>
      </c>
      <c r="D39" t="s">
        <v>11</v>
      </c>
      <c r="E39" t="s">
        <v>11</v>
      </c>
      <c r="I39" s="124"/>
    </row>
    <row r="40" spans="1:9" x14ac:dyDescent="0.2">
      <c r="A40" s="10" t="s">
        <v>280</v>
      </c>
      <c r="C40" t="s">
        <v>11</v>
      </c>
      <c r="D40" t="s">
        <v>11</v>
      </c>
      <c r="E40" t="s">
        <v>11</v>
      </c>
      <c r="I40" s="83"/>
    </row>
    <row r="41" spans="1:9" x14ac:dyDescent="0.2">
      <c r="A41" s="10" t="s">
        <v>281</v>
      </c>
      <c r="C41" t="s">
        <v>11</v>
      </c>
      <c r="D41" t="s">
        <v>11</v>
      </c>
      <c r="E41" t="s">
        <v>11</v>
      </c>
    </row>
    <row r="42" spans="1:9" x14ac:dyDescent="0.2">
      <c r="A42" s="10" t="s">
        <v>139</v>
      </c>
      <c r="C42" t="s">
        <v>11</v>
      </c>
      <c r="D42" t="s">
        <v>11</v>
      </c>
      <c r="E42" t="s">
        <v>11</v>
      </c>
    </row>
    <row r="43" spans="1:9" x14ac:dyDescent="0.2">
      <c r="A43" s="10" t="s">
        <v>282</v>
      </c>
      <c r="C43" t="s">
        <v>11</v>
      </c>
      <c r="D43" t="s">
        <v>11</v>
      </c>
      <c r="E43" t="s">
        <v>11</v>
      </c>
    </row>
    <row r="44" spans="1:9" x14ac:dyDescent="0.2">
      <c r="A44" s="10" t="s">
        <v>140</v>
      </c>
      <c r="D44" t="s">
        <v>11</v>
      </c>
      <c r="E44" t="s">
        <v>11</v>
      </c>
    </row>
    <row r="45" spans="1:9" x14ac:dyDescent="0.2">
      <c r="A45" s="10" t="s">
        <v>283</v>
      </c>
    </row>
    <row r="46" spans="1:9" x14ac:dyDescent="0.2">
      <c r="A46" s="10" t="s">
        <v>284</v>
      </c>
      <c r="I46" s="83"/>
    </row>
    <row r="47" spans="1:9" x14ac:dyDescent="0.2">
      <c r="A47" s="10" t="s">
        <v>91</v>
      </c>
    </row>
    <row r="48" spans="1:9" x14ac:dyDescent="0.2">
      <c r="A48" s="10" t="s">
        <v>285</v>
      </c>
    </row>
    <row r="49" spans="1:9" x14ac:dyDescent="0.2">
      <c r="A49" s="10" t="s">
        <v>286</v>
      </c>
    </row>
    <row r="50" spans="1:9" x14ac:dyDescent="0.2">
      <c r="A50" s="10" t="s">
        <v>287</v>
      </c>
    </row>
    <row r="51" spans="1:9" x14ac:dyDescent="0.2">
      <c r="A51" s="10" t="s">
        <v>288</v>
      </c>
      <c r="I51" s="83"/>
    </row>
    <row r="52" spans="1:9" x14ac:dyDescent="0.2">
      <c r="A52" s="10" t="s">
        <v>289</v>
      </c>
    </row>
    <row r="53" spans="1:9" x14ac:dyDescent="0.2">
      <c r="A53" s="10" t="s">
        <v>290</v>
      </c>
    </row>
    <row r="54" spans="1:9" x14ac:dyDescent="0.2">
      <c r="A54" s="10" t="s">
        <v>291</v>
      </c>
    </row>
    <row r="55" spans="1:9" x14ac:dyDescent="0.2">
      <c r="A55" s="10" t="s">
        <v>292</v>
      </c>
    </row>
    <row r="56" spans="1:9" x14ac:dyDescent="0.2">
      <c r="A56" s="10" t="s">
        <v>293</v>
      </c>
      <c r="I56" s="83"/>
    </row>
    <row r="57" spans="1:9" x14ac:dyDescent="0.2">
      <c r="A57" s="10" t="s">
        <v>141</v>
      </c>
    </row>
    <row r="58" spans="1:9" x14ac:dyDescent="0.2">
      <c r="A58" s="10" t="s">
        <v>294</v>
      </c>
    </row>
    <row r="59" spans="1:9" x14ac:dyDescent="0.2">
      <c r="A59" s="10" t="s">
        <v>295</v>
      </c>
    </row>
    <row r="60" spans="1:9" x14ac:dyDescent="0.2">
      <c r="A60" s="10" t="s">
        <v>296</v>
      </c>
    </row>
    <row r="61" spans="1:9" x14ac:dyDescent="0.2">
      <c r="A61" s="10" t="s">
        <v>297</v>
      </c>
    </row>
    <row r="62" spans="1:9" x14ac:dyDescent="0.2">
      <c r="A62" s="10" t="s">
        <v>142</v>
      </c>
    </row>
    <row r="63" spans="1:9" x14ac:dyDescent="0.2">
      <c r="A63" s="10" t="s">
        <v>298</v>
      </c>
    </row>
    <row r="64" spans="1:9" x14ac:dyDescent="0.2">
      <c r="A64" s="10" t="s">
        <v>299</v>
      </c>
    </row>
    <row r="65" spans="1:9" x14ac:dyDescent="0.2">
      <c r="A65" s="10" t="s">
        <v>300</v>
      </c>
      <c r="I65" s="83"/>
    </row>
    <row r="66" spans="1:9" x14ac:dyDescent="0.2">
      <c r="A66" s="10" t="s">
        <v>301</v>
      </c>
    </row>
    <row r="67" spans="1:9" x14ac:dyDescent="0.2">
      <c r="A67" s="10" t="s">
        <v>302</v>
      </c>
    </row>
    <row r="68" spans="1:9" x14ac:dyDescent="0.2">
      <c r="A68" s="10" t="s">
        <v>303</v>
      </c>
    </row>
    <row r="69" spans="1:9" x14ac:dyDescent="0.2">
      <c r="A69" s="10" t="s">
        <v>92</v>
      </c>
    </row>
    <row r="70" spans="1:9" x14ac:dyDescent="0.2">
      <c r="A70" s="10" t="s">
        <v>304</v>
      </c>
    </row>
    <row r="71" spans="1:9" x14ac:dyDescent="0.2">
      <c r="A71" s="10" t="s">
        <v>305</v>
      </c>
      <c r="I71" s="83"/>
    </row>
    <row r="72" spans="1:9" x14ac:dyDescent="0.2">
      <c r="A72" s="10" t="s">
        <v>93</v>
      </c>
    </row>
    <row r="73" spans="1:9" x14ac:dyDescent="0.2">
      <c r="A73" s="10" t="s">
        <v>306</v>
      </c>
    </row>
    <row r="74" spans="1:9" x14ac:dyDescent="0.2">
      <c r="A74" s="10" t="s">
        <v>307</v>
      </c>
      <c r="I74" s="83"/>
    </row>
    <row r="75" spans="1:9" x14ac:dyDescent="0.2">
      <c r="A75" s="10" t="s">
        <v>308</v>
      </c>
    </row>
    <row r="76" spans="1:9" x14ac:dyDescent="0.2">
      <c r="A76" s="10" t="s">
        <v>309</v>
      </c>
    </row>
    <row r="77" spans="1:9" x14ac:dyDescent="0.2">
      <c r="A77" s="10" t="s">
        <v>310</v>
      </c>
    </row>
    <row r="78" spans="1:9" x14ac:dyDescent="0.2">
      <c r="A78" s="10" t="s">
        <v>311</v>
      </c>
    </row>
    <row r="81" spans="9:9" x14ac:dyDescent="0.2">
      <c r="I81" s="83"/>
    </row>
    <row r="85" spans="9:9" x14ac:dyDescent="0.2">
      <c r="I85" s="83"/>
    </row>
    <row r="91" spans="9:9" x14ac:dyDescent="0.2">
      <c r="I91" s="83"/>
    </row>
    <row r="96" spans="9:9" x14ac:dyDescent="0.2">
      <c r="I96" s="83"/>
    </row>
    <row r="101" spans="9:9" x14ac:dyDescent="0.2">
      <c r="I101" s="83"/>
    </row>
    <row r="106" spans="9:9" x14ac:dyDescent="0.2">
      <c r="I106" s="83"/>
    </row>
    <row r="111" spans="9:9" x14ac:dyDescent="0.2">
      <c r="I111" s="83"/>
    </row>
    <row r="119" spans="9:9" x14ac:dyDescent="0.2">
      <c r="I119" s="83"/>
    </row>
    <row r="129" spans="9:9" x14ac:dyDescent="0.2">
      <c r="I129" s="83"/>
    </row>
    <row r="134" spans="9:9" x14ac:dyDescent="0.2">
      <c r="I134" s="83"/>
    </row>
    <row r="141" spans="9:9" x14ac:dyDescent="0.2">
      <c r="I141" s="83"/>
    </row>
    <row r="143" spans="9:9" x14ac:dyDescent="0.2">
      <c r="I143" s="83"/>
    </row>
  </sheetData>
  <phoneticPr fontId="4" type="noConversion"/>
  <pageMargins left="0.55118110236220474" right="0.55118110236220474" top="0.98425196850393704" bottom="0.98425196850393704" header="0.51181102362204722" footer="0.51181102362204722"/>
  <pageSetup paperSize="9" scale="72" orientation="portrait" r:id="rId1"/>
  <headerFooter alignWithMargins="0"/>
  <colBreaks count="2" manualBreakCount="2">
    <brk id="3" max="1048575" man="1"/>
    <brk id="5" max="1048575" man="1"/>
  </colBreak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3"/>
  <dimension ref="A1:CD34"/>
  <sheetViews>
    <sheetView topLeftCell="A9" zoomScale="85" zoomScaleNormal="85" workbookViewId="0"/>
  </sheetViews>
  <sheetFormatPr defaultRowHeight="12.75" x14ac:dyDescent="0.2"/>
  <cols>
    <col min="1" max="1" width="27.5703125" customWidth="1"/>
    <col min="2" max="145" width="3" customWidth="1"/>
  </cols>
  <sheetData>
    <row r="1" spans="1:82" x14ac:dyDescent="0.2">
      <c r="A1" s="1" t="str">
        <f>CONCATENATE("Aggregation 22 industry groups to 6 ",name!$C$2)</f>
        <v>Aggregation 22 industry groups to 6 Industry sectors</v>
      </c>
    </row>
    <row r="2" spans="1:82" ht="164.25" customHeight="1" thickBot="1" x14ac:dyDescent="0.25">
      <c r="B2" s="125" t="str">
        <f t="array" ref="B2:W2">TRANSPOSE(name!B4:B25)</f>
        <v>Agriculture</v>
      </c>
      <c r="C2" s="125" t="str">
        <v>Mining and quarrying</v>
      </c>
      <c r="D2" s="125" t="str">
        <v>Food drink and tobacco</v>
      </c>
      <c r="E2" s="125" t="str">
        <v>Engineering</v>
      </c>
      <c r="F2" s="125" t="str">
        <v>Rest of manufacturing</v>
      </c>
      <c r="G2" s="125" t="str">
        <v>Electricity and gas</v>
      </c>
      <c r="H2" s="125" t="str">
        <v>Water and sewerage</v>
      </c>
      <c r="I2" s="125" t="str">
        <v>Construction</v>
      </c>
      <c r="J2" s="125" t="str">
        <v>Wholesale and retail trade</v>
      </c>
      <c r="K2" s="125" t="str">
        <v>Transport and storage</v>
      </c>
      <c r="L2" s="125" t="str">
        <v>Accommodation and food</v>
      </c>
      <c r="M2" s="125" t="str">
        <v>Media</v>
      </c>
      <c r="N2" s="125" t="str">
        <v>Information technology</v>
      </c>
      <c r="O2" s="125" t="str">
        <v>Finance and insurance</v>
      </c>
      <c r="P2" s="125" t="str">
        <v>Real estate</v>
      </c>
      <c r="Q2" s="125" t="str">
        <v>Professional services</v>
      </c>
      <c r="R2" s="125" t="str">
        <v>Support services</v>
      </c>
      <c r="S2" s="125" t="str">
        <v>Public admin. and defence</v>
      </c>
      <c r="T2" s="125" t="str">
        <v>Education</v>
      </c>
      <c r="U2" s="125" t="str">
        <v>Health and social work</v>
      </c>
      <c r="V2" s="125" t="str">
        <v>Arts and entertainment</v>
      </c>
      <c r="W2" s="125" t="str">
        <v>Other services</v>
      </c>
      <c r="X2" s="125"/>
      <c r="Y2" s="125"/>
      <c r="Z2" s="125"/>
      <c r="AA2" s="125"/>
      <c r="AB2" s="125"/>
      <c r="AC2" s="125"/>
      <c r="AD2" s="125"/>
      <c r="AE2" s="125"/>
      <c r="AF2" s="125"/>
      <c r="AG2" s="125"/>
      <c r="AH2" s="125"/>
      <c r="AI2" s="125"/>
      <c r="AJ2" s="125"/>
      <c r="AK2" s="125"/>
      <c r="AL2" s="125"/>
      <c r="AM2" s="125"/>
      <c r="AN2" s="125"/>
      <c r="AO2" s="125"/>
      <c r="AP2" s="125"/>
      <c r="AQ2" s="125"/>
      <c r="AR2" s="125"/>
      <c r="AS2" s="125"/>
      <c r="AT2" s="125"/>
      <c r="AU2" s="125"/>
      <c r="AV2" s="125"/>
      <c r="AW2" s="125"/>
      <c r="AX2" s="125"/>
      <c r="AY2" s="125"/>
      <c r="AZ2" s="125"/>
      <c r="BA2" s="125"/>
      <c r="BB2" s="125"/>
      <c r="BC2" s="125"/>
      <c r="BD2" s="125"/>
      <c r="BE2" s="125"/>
      <c r="BF2" s="125"/>
      <c r="BG2" s="125"/>
      <c r="BH2" s="125"/>
      <c r="BI2" s="125"/>
      <c r="BJ2" s="125"/>
      <c r="BK2" s="125"/>
      <c r="BL2" s="125"/>
      <c r="BM2" s="125"/>
      <c r="BN2" s="125"/>
      <c r="BO2" s="125"/>
      <c r="BP2" s="125"/>
      <c r="BQ2" s="125"/>
      <c r="BR2" s="125"/>
      <c r="BS2" s="125"/>
      <c r="BT2" s="125"/>
      <c r="BU2" s="125"/>
      <c r="BV2" s="125"/>
      <c r="BW2" s="125"/>
      <c r="BX2" s="125"/>
      <c r="BY2" s="125"/>
      <c r="BZ2" s="125"/>
      <c r="CA2" s="125"/>
      <c r="CB2" s="125"/>
      <c r="CC2" s="125"/>
      <c r="CD2" s="125"/>
    </row>
    <row r="3" spans="1:82" x14ac:dyDescent="0.2">
      <c r="A3" s="10" t="str">
        <f>name!C4</f>
        <v>Primary sector and utilities</v>
      </c>
      <c r="B3" s="2">
        <v>1</v>
      </c>
      <c r="C3" s="3">
        <v>1</v>
      </c>
      <c r="D3" s="3">
        <v>0</v>
      </c>
      <c r="E3" s="3">
        <v>0</v>
      </c>
      <c r="F3" s="3">
        <v>0</v>
      </c>
      <c r="G3" s="3">
        <v>1</v>
      </c>
      <c r="H3" s="3">
        <v>1</v>
      </c>
      <c r="I3" s="3">
        <v>0</v>
      </c>
      <c r="J3" s="3">
        <v>0</v>
      </c>
      <c r="K3" s="3">
        <v>0</v>
      </c>
      <c r="L3" s="3">
        <v>0</v>
      </c>
      <c r="M3" s="3">
        <v>0</v>
      </c>
      <c r="N3" s="3">
        <v>0</v>
      </c>
      <c r="O3" s="3">
        <v>0</v>
      </c>
      <c r="P3" s="3">
        <v>0</v>
      </c>
      <c r="Q3" s="3">
        <v>0</v>
      </c>
      <c r="R3" s="3">
        <v>0</v>
      </c>
      <c r="S3" s="3">
        <v>0</v>
      </c>
      <c r="T3" s="3">
        <v>0</v>
      </c>
      <c r="U3" s="3">
        <v>0</v>
      </c>
      <c r="V3" s="3">
        <v>0</v>
      </c>
      <c r="W3" s="4">
        <v>0</v>
      </c>
      <c r="X3">
        <v>1</v>
      </c>
    </row>
    <row r="4" spans="1:82" x14ac:dyDescent="0.2">
      <c r="A4" s="10" t="str">
        <f>name!C5</f>
        <v>Manufacturing</v>
      </c>
      <c r="B4" s="5">
        <v>0</v>
      </c>
      <c r="C4">
        <v>0</v>
      </c>
      <c r="D4">
        <v>1</v>
      </c>
      <c r="E4">
        <v>1</v>
      </c>
      <c r="F4">
        <v>1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 s="6">
        <v>0</v>
      </c>
      <c r="X4">
        <v>2</v>
      </c>
    </row>
    <row r="5" spans="1:82" x14ac:dyDescent="0.2">
      <c r="A5" s="10" t="str">
        <f>name!C6</f>
        <v>Construction</v>
      </c>
      <c r="B5" s="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1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 s="6">
        <v>0</v>
      </c>
      <c r="X5">
        <v>3</v>
      </c>
    </row>
    <row r="6" spans="1:82" x14ac:dyDescent="0.2">
      <c r="A6" s="10" t="str">
        <f>name!C7</f>
        <v>Trade, accomod. and transport</v>
      </c>
      <c r="B6" s="5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1</v>
      </c>
      <c r="K6">
        <v>1</v>
      </c>
      <c r="L6">
        <v>1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 s="6">
        <v>0</v>
      </c>
      <c r="X6">
        <v>4</v>
      </c>
    </row>
    <row r="7" spans="1:82" x14ac:dyDescent="0.2">
      <c r="A7" s="10" t="str">
        <f>name!C8</f>
        <v>Business and other services</v>
      </c>
      <c r="B7" s="5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1</v>
      </c>
      <c r="N7">
        <v>1</v>
      </c>
      <c r="O7">
        <v>1</v>
      </c>
      <c r="P7">
        <v>1</v>
      </c>
      <c r="Q7">
        <v>1</v>
      </c>
      <c r="R7">
        <v>1</v>
      </c>
      <c r="S7">
        <v>0</v>
      </c>
      <c r="T7">
        <v>0</v>
      </c>
      <c r="U7">
        <v>0</v>
      </c>
      <c r="V7">
        <v>1</v>
      </c>
      <c r="W7" s="6">
        <v>1</v>
      </c>
      <c r="X7">
        <v>5</v>
      </c>
    </row>
    <row r="8" spans="1:82" ht="13.5" thickBot="1" x14ac:dyDescent="0.25">
      <c r="A8" s="10" t="str">
        <f>name!C9</f>
        <v>Non-marketed services</v>
      </c>
      <c r="B8" s="7">
        <v>0</v>
      </c>
      <c r="C8" s="8">
        <v>0</v>
      </c>
      <c r="D8" s="8">
        <v>0</v>
      </c>
      <c r="E8" s="8">
        <v>0</v>
      </c>
      <c r="F8" s="8">
        <v>0</v>
      </c>
      <c r="G8" s="8">
        <v>0</v>
      </c>
      <c r="H8" s="8">
        <v>0</v>
      </c>
      <c r="I8" s="8">
        <v>0</v>
      </c>
      <c r="J8" s="8">
        <v>0</v>
      </c>
      <c r="K8" s="8">
        <v>0</v>
      </c>
      <c r="L8" s="8">
        <v>0</v>
      </c>
      <c r="M8" s="8">
        <v>0</v>
      </c>
      <c r="N8" s="8">
        <v>0</v>
      </c>
      <c r="O8" s="8">
        <v>0</v>
      </c>
      <c r="P8" s="8">
        <v>0</v>
      </c>
      <c r="Q8" s="8">
        <v>0</v>
      </c>
      <c r="R8" s="8">
        <v>0</v>
      </c>
      <c r="S8" s="8">
        <v>1</v>
      </c>
      <c r="T8" s="8">
        <v>1</v>
      </c>
      <c r="U8" s="8">
        <v>1</v>
      </c>
      <c r="V8" s="8">
        <v>0</v>
      </c>
      <c r="W8" s="9">
        <v>0</v>
      </c>
      <c r="X8">
        <v>6</v>
      </c>
    </row>
    <row r="9" spans="1:82" x14ac:dyDescent="0.2"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  <c r="L9">
        <v>11</v>
      </c>
      <c r="M9">
        <v>12</v>
      </c>
      <c r="N9">
        <v>13</v>
      </c>
      <c r="O9">
        <v>14</v>
      </c>
      <c r="P9">
        <v>15</v>
      </c>
      <c r="Q9">
        <v>16</v>
      </c>
      <c r="R9">
        <v>17</v>
      </c>
      <c r="S9">
        <v>18</v>
      </c>
      <c r="T9">
        <v>19</v>
      </c>
      <c r="U9">
        <v>20</v>
      </c>
      <c r="V9">
        <v>21</v>
      </c>
      <c r="W9">
        <v>22</v>
      </c>
    </row>
    <row r="11" spans="1:82" x14ac:dyDescent="0.2">
      <c r="A11" s="1" t="str">
        <f>CONCATENATE("Aggregation 26 occupations to 9 ",name!$E$2)</f>
        <v>Aggregation 26 occupations to 9 Major group names:</v>
      </c>
    </row>
    <row r="12" spans="1:82" ht="120" customHeight="1" thickBot="1" x14ac:dyDescent="0.25">
      <c r="B12" s="358" t="s">
        <v>471</v>
      </c>
      <c r="C12" s="358" t="s">
        <v>472</v>
      </c>
      <c r="D12" s="358" t="s">
        <v>473</v>
      </c>
      <c r="E12" s="358" t="s">
        <v>474</v>
      </c>
      <c r="F12" s="358" t="s">
        <v>475</v>
      </c>
      <c r="G12" s="358" t="s">
        <v>476</v>
      </c>
      <c r="H12" s="358" t="s">
        <v>477</v>
      </c>
      <c r="I12" s="358" t="s">
        <v>478</v>
      </c>
      <c r="J12" s="358" t="s">
        <v>479</v>
      </c>
      <c r="K12" s="358" t="s">
        <v>480</v>
      </c>
      <c r="L12" s="358" t="s">
        <v>481</v>
      </c>
      <c r="M12" s="358" t="s">
        <v>482</v>
      </c>
      <c r="N12" s="358" t="s">
        <v>483</v>
      </c>
      <c r="O12" s="358" t="s">
        <v>484</v>
      </c>
      <c r="P12" s="358" t="s">
        <v>485</v>
      </c>
      <c r="Q12" s="358" t="s">
        <v>486</v>
      </c>
      <c r="R12" s="358" t="s">
        <v>487</v>
      </c>
      <c r="S12" s="358" t="s">
        <v>488</v>
      </c>
      <c r="T12" s="358" t="s">
        <v>489</v>
      </c>
      <c r="U12" s="358" t="s">
        <v>490</v>
      </c>
      <c r="V12" s="358" t="s">
        <v>491</v>
      </c>
      <c r="W12" s="358" t="s">
        <v>492</v>
      </c>
      <c r="X12" s="358" t="s">
        <v>493</v>
      </c>
      <c r="Y12" s="358" t="s">
        <v>494</v>
      </c>
      <c r="Z12" s="358" t="s">
        <v>495</v>
      </c>
      <c r="AA12" s="125" t="s">
        <v>496</v>
      </c>
      <c r="AB12" s="12"/>
    </row>
    <row r="13" spans="1:82" x14ac:dyDescent="0.2">
      <c r="A13" t="s">
        <v>328</v>
      </c>
      <c r="B13" s="2">
        <v>1</v>
      </c>
      <c r="C13" s="3">
        <v>1</v>
      </c>
      <c r="D13" s="3">
        <v>0</v>
      </c>
      <c r="E13" s="3">
        <v>0</v>
      </c>
      <c r="F13" s="3">
        <v>0</v>
      </c>
      <c r="G13" s="3">
        <v>0</v>
      </c>
      <c r="H13" s="3">
        <v>0</v>
      </c>
      <c r="I13" s="3">
        <v>0</v>
      </c>
      <c r="J13" s="3">
        <v>0</v>
      </c>
      <c r="K13" s="3">
        <v>0</v>
      </c>
      <c r="L13" s="3">
        <v>0</v>
      </c>
      <c r="M13" s="3">
        <v>0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3">
        <v>0</v>
      </c>
      <c r="T13" s="3">
        <v>0</v>
      </c>
      <c r="U13" s="3">
        <v>0</v>
      </c>
      <c r="V13" s="3">
        <v>0</v>
      </c>
      <c r="W13" s="3">
        <v>0</v>
      </c>
      <c r="X13" s="3">
        <v>0</v>
      </c>
      <c r="Y13" s="3">
        <v>0</v>
      </c>
      <c r="Z13" s="3">
        <v>0</v>
      </c>
      <c r="AA13" s="4">
        <v>0</v>
      </c>
      <c r="AB13">
        <v>1</v>
      </c>
    </row>
    <row r="14" spans="1:82" x14ac:dyDescent="0.2">
      <c r="A14" t="s">
        <v>329</v>
      </c>
      <c r="B14" s="5">
        <v>0</v>
      </c>
      <c r="C14">
        <v>0</v>
      </c>
      <c r="D14">
        <v>1</v>
      </c>
      <c r="E14">
        <v>1</v>
      </c>
      <c r="F14">
        <v>1</v>
      </c>
      <c r="G14">
        <v>1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 s="6">
        <v>0</v>
      </c>
      <c r="AB14">
        <v>2</v>
      </c>
    </row>
    <row r="15" spans="1:82" x14ac:dyDescent="0.2">
      <c r="A15" t="s">
        <v>498</v>
      </c>
      <c r="B15" s="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1</v>
      </c>
      <c r="I15">
        <v>1</v>
      </c>
      <c r="J15">
        <v>1</v>
      </c>
      <c r="K15">
        <v>1</v>
      </c>
      <c r="L15">
        <v>1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 s="6">
        <v>0</v>
      </c>
      <c r="AB15">
        <v>3</v>
      </c>
    </row>
    <row r="16" spans="1:82" x14ac:dyDescent="0.2">
      <c r="A16" t="s">
        <v>499</v>
      </c>
      <c r="B16" s="5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1</v>
      </c>
      <c r="N16">
        <v>1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 s="6">
        <v>0</v>
      </c>
      <c r="AB16">
        <v>4</v>
      </c>
    </row>
    <row r="17" spans="1:28" x14ac:dyDescent="0.2">
      <c r="A17" t="s">
        <v>330</v>
      </c>
      <c r="B17" s="5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1</v>
      </c>
      <c r="P17">
        <v>1</v>
      </c>
      <c r="Q17">
        <v>1</v>
      </c>
      <c r="R17">
        <v>1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 s="6">
        <v>0</v>
      </c>
      <c r="AB17">
        <v>5</v>
      </c>
    </row>
    <row r="18" spans="1:28" x14ac:dyDescent="0.2">
      <c r="A18" t="s">
        <v>500</v>
      </c>
      <c r="B18" s="5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1</v>
      </c>
      <c r="T18">
        <v>1</v>
      </c>
      <c r="U18">
        <v>1</v>
      </c>
      <c r="V18">
        <v>0</v>
      </c>
      <c r="W18">
        <v>0</v>
      </c>
      <c r="X18">
        <v>0</v>
      </c>
      <c r="Y18">
        <v>0</v>
      </c>
      <c r="Z18">
        <v>0</v>
      </c>
      <c r="AA18" s="6">
        <v>0</v>
      </c>
      <c r="AB18">
        <v>6</v>
      </c>
    </row>
    <row r="19" spans="1:28" x14ac:dyDescent="0.2">
      <c r="A19" t="s">
        <v>501</v>
      </c>
      <c r="B19" s="5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1</v>
      </c>
      <c r="W19">
        <v>1</v>
      </c>
      <c r="X19">
        <v>0</v>
      </c>
      <c r="Y19">
        <v>0</v>
      </c>
      <c r="Z19">
        <v>0</v>
      </c>
      <c r="AA19" s="6">
        <v>0</v>
      </c>
      <c r="AB19">
        <v>7</v>
      </c>
    </row>
    <row r="20" spans="1:28" x14ac:dyDescent="0.2">
      <c r="A20" t="s">
        <v>331</v>
      </c>
      <c r="B20" s="5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1</v>
      </c>
      <c r="Y20">
        <v>1</v>
      </c>
      <c r="Z20">
        <v>0</v>
      </c>
      <c r="AA20" s="6">
        <v>0</v>
      </c>
      <c r="AB20">
        <v>8</v>
      </c>
    </row>
    <row r="21" spans="1:28" ht="13.5" thickBot="1" x14ac:dyDescent="0.25">
      <c r="A21" t="s">
        <v>9</v>
      </c>
      <c r="B21" s="7">
        <v>0</v>
      </c>
      <c r="C21" s="8">
        <v>0</v>
      </c>
      <c r="D21" s="8">
        <v>0</v>
      </c>
      <c r="E21" s="8">
        <v>0</v>
      </c>
      <c r="F21" s="8">
        <v>0</v>
      </c>
      <c r="G21" s="8">
        <v>0</v>
      </c>
      <c r="H21" s="8">
        <v>0</v>
      </c>
      <c r="I21" s="8">
        <v>0</v>
      </c>
      <c r="J21" s="8">
        <v>0</v>
      </c>
      <c r="K21" s="8">
        <v>0</v>
      </c>
      <c r="L21" s="8">
        <v>0</v>
      </c>
      <c r="M21" s="8">
        <v>0</v>
      </c>
      <c r="N21" s="8">
        <v>0</v>
      </c>
      <c r="O21" s="8">
        <v>0</v>
      </c>
      <c r="P21" s="8">
        <v>0</v>
      </c>
      <c r="Q21" s="8">
        <v>0</v>
      </c>
      <c r="R21" s="8">
        <v>0</v>
      </c>
      <c r="S21" s="8">
        <v>0</v>
      </c>
      <c r="T21" s="8">
        <v>0</v>
      </c>
      <c r="U21" s="8">
        <v>0</v>
      </c>
      <c r="V21" s="8">
        <v>0</v>
      </c>
      <c r="W21" s="8">
        <v>0</v>
      </c>
      <c r="X21" s="8">
        <v>0</v>
      </c>
      <c r="Y21" s="8">
        <v>0</v>
      </c>
      <c r="Z21" s="8">
        <v>1</v>
      </c>
      <c r="AA21" s="9">
        <v>1</v>
      </c>
      <c r="AB21">
        <v>9</v>
      </c>
    </row>
    <row r="22" spans="1:28" x14ac:dyDescent="0.2">
      <c r="B22">
        <v>1</v>
      </c>
      <c r="C22">
        <v>2</v>
      </c>
      <c r="D22">
        <v>3</v>
      </c>
      <c r="E22">
        <v>4</v>
      </c>
      <c r="F22">
        <v>5</v>
      </c>
      <c r="G22">
        <v>6</v>
      </c>
      <c r="H22">
        <v>7</v>
      </c>
      <c r="I22">
        <v>8</v>
      </c>
      <c r="J22">
        <v>9</v>
      </c>
      <c r="K22">
        <v>10</v>
      </c>
      <c r="L22">
        <v>11</v>
      </c>
      <c r="M22">
        <v>12</v>
      </c>
      <c r="N22">
        <v>13</v>
      </c>
      <c r="O22">
        <v>14</v>
      </c>
      <c r="P22">
        <v>15</v>
      </c>
      <c r="Q22">
        <v>16</v>
      </c>
      <c r="R22">
        <v>17</v>
      </c>
      <c r="S22">
        <v>18</v>
      </c>
      <c r="T22">
        <v>19</v>
      </c>
      <c r="U22">
        <v>20</v>
      </c>
      <c r="V22">
        <v>21</v>
      </c>
      <c r="W22">
        <v>22</v>
      </c>
      <c r="X22">
        <v>23</v>
      </c>
      <c r="Y22">
        <v>24</v>
      </c>
      <c r="Z22">
        <v>25</v>
      </c>
      <c r="AA22">
        <v>26</v>
      </c>
    </row>
    <row r="24" spans="1:28" x14ac:dyDescent="0.2">
      <c r="A24" s="1" t="str">
        <f>CONCATENATE("Aggregation 9 qualifications to 6 ",name!$G$2)</f>
        <v>Aggregation 9 qualifications to 6 Qualification groups</v>
      </c>
    </row>
    <row r="25" spans="1:28" ht="197.25" customHeight="1" thickBot="1" x14ac:dyDescent="0.25">
      <c r="B25" s="125" t="str">
        <f t="array" ref="B25:J25">TRANSPOSE(name!F4:F13)</f>
        <v>RQF8 Doctorate</v>
      </c>
      <c r="C25" s="125" t="str">
        <v>RQF7 Other higher degree</v>
      </c>
      <c r="D25" s="125" t="str">
        <v>RQF6 First degree</v>
      </c>
      <c r="E25" s="125" t="str">
        <v>RQF5 Foundation degree;Nursing;Teaching</v>
      </c>
      <c r="F25" s="125" t="str">
        <v>RQF4 HE below degree level</v>
      </c>
      <c r="G25" s="125" t="str">
        <v>RQF3 A level &amp; equivalent</v>
      </c>
      <c r="H25" s="125" t="str">
        <v>RQF2 GCSE(A-C) &amp; equivalent</v>
      </c>
      <c r="I25" s="125" t="str">
        <v>RQF1 GCSE(below grade C) &amp; equivalent</v>
      </c>
      <c r="J25" s="125" t="str">
        <v>No Qualification</v>
      </c>
    </row>
    <row r="26" spans="1:28" x14ac:dyDescent="0.2">
      <c r="A26" s="10" t="str">
        <f>name!G4</f>
        <v>RQF 7-8</v>
      </c>
      <c r="B26" s="2">
        <v>1</v>
      </c>
      <c r="C26" s="3">
        <v>1</v>
      </c>
      <c r="D26" s="3">
        <v>0</v>
      </c>
      <c r="E26" s="3">
        <v>0</v>
      </c>
      <c r="F26" s="3">
        <v>0</v>
      </c>
      <c r="G26" s="3">
        <v>0</v>
      </c>
      <c r="H26" s="3">
        <v>0</v>
      </c>
      <c r="I26" s="3">
        <v>0</v>
      </c>
      <c r="J26" s="4">
        <v>0</v>
      </c>
      <c r="K26">
        <v>1</v>
      </c>
    </row>
    <row r="27" spans="1:28" x14ac:dyDescent="0.2">
      <c r="A27" s="10" t="str">
        <f>name!G5</f>
        <v>RQF 4-6</v>
      </c>
      <c r="B27" s="5">
        <v>0</v>
      </c>
      <c r="C27">
        <v>0</v>
      </c>
      <c r="D27">
        <v>1</v>
      </c>
      <c r="E27">
        <v>1</v>
      </c>
      <c r="F27">
        <v>1</v>
      </c>
      <c r="G27">
        <v>0</v>
      </c>
      <c r="H27">
        <v>0</v>
      </c>
      <c r="I27">
        <v>0</v>
      </c>
      <c r="J27" s="6">
        <v>0</v>
      </c>
      <c r="K27">
        <v>2</v>
      </c>
    </row>
    <row r="28" spans="1:28" x14ac:dyDescent="0.2">
      <c r="A28" s="10" t="str">
        <f>name!G6</f>
        <v>RQF3 A level &amp; equivalent</v>
      </c>
      <c r="B28" s="5">
        <v>0</v>
      </c>
      <c r="C28">
        <v>0</v>
      </c>
      <c r="D28">
        <v>0</v>
      </c>
      <c r="E28">
        <v>0</v>
      </c>
      <c r="F28">
        <v>0</v>
      </c>
      <c r="G28">
        <v>1</v>
      </c>
      <c r="H28">
        <v>0</v>
      </c>
      <c r="I28">
        <v>0</v>
      </c>
      <c r="J28" s="6">
        <v>0</v>
      </c>
      <c r="K28">
        <v>3</v>
      </c>
    </row>
    <row r="29" spans="1:28" x14ac:dyDescent="0.2">
      <c r="A29" s="10" t="str">
        <f>name!G7</f>
        <v>RQF2 GCSE(A-C) &amp; equivalent</v>
      </c>
      <c r="B29" s="5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1</v>
      </c>
      <c r="I29">
        <v>0</v>
      </c>
      <c r="J29" s="6">
        <v>0</v>
      </c>
      <c r="K29">
        <v>4</v>
      </c>
    </row>
    <row r="30" spans="1:28" x14ac:dyDescent="0.2">
      <c r="A30" s="10" t="str">
        <f>name!G8</f>
        <v>RQF1 GCSE(below grade C) &amp; equivalent</v>
      </c>
      <c r="B30" s="5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1</v>
      </c>
      <c r="J30" s="6">
        <v>0</v>
      </c>
      <c r="K30">
        <v>5</v>
      </c>
    </row>
    <row r="31" spans="1:28" ht="13.5" thickBot="1" x14ac:dyDescent="0.25">
      <c r="A31" s="10" t="str">
        <f>name!G9</f>
        <v>No Qualification</v>
      </c>
      <c r="B31" s="7">
        <v>0</v>
      </c>
      <c r="C31" s="8">
        <v>0</v>
      </c>
      <c r="D31" s="8">
        <v>0</v>
      </c>
      <c r="E31" s="8">
        <v>0</v>
      </c>
      <c r="F31" s="8">
        <v>0</v>
      </c>
      <c r="G31" s="8">
        <v>0</v>
      </c>
      <c r="H31" s="8">
        <v>0</v>
      </c>
      <c r="I31" s="8">
        <v>0</v>
      </c>
      <c r="J31" s="9">
        <v>1</v>
      </c>
      <c r="K31">
        <v>6</v>
      </c>
    </row>
    <row r="32" spans="1:28" x14ac:dyDescent="0.2">
      <c r="A32" s="10"/>
      <c r="B32">
        <v>1</v>
      </c>
      <c r="C32">
        <v>2</v>
      </c>
      <c r="D32">
        <v>3</v>
      </c>
      <c r="E32">
        <v>4</v>
      </c>
      <c r="F32">
        <v>5</v>
      </c>
      <c r="G32">
        <v>6</v>
      </c>
      <c r="H32">
        <v>7</v>
      </c>
      <c r="I32">
        <v>8</v>
      </c>
      <c r="J32">
        <v>9</v>
      </c>
    </row>
    <row r="33" spans="1:1" x14ac:dyDescent="0.2">
      <c r="A33" s="10"/>
    </row>
    <row r="34" spans="1:1" x14ac:dyDescent="0.2">
      <c r="A34" s="10"/>
    </row>
  </sheetData>
  <phoneticPr fontId="4" type="noConversion"/>
  <conditionalFormatting sqref="J27:J30">
    <cfRule type="cellIs" dxfId="5" priority="5" operator="equal">
      <formula>0</formula>
    </cfRule>
    <cfRule type="cellIs" dxfId="4" priority="6" stopIfTrue="1" operator="equal">
      <formula>1</formula>
    </cfRule>
  </conditionalFormatting>
  <conditionalFormatting sqref="B3:W8 B26:J31">
    <cfRule type="cellIs" dxfId="3" priority="17" operator="equal">
      <formula>0</formula>
    </cfRule>
    <cfRule type="cellIs" dxfId="2" priority="19" stopIfTrue="1" operator="equal">
      <formula>1</formula>
    </cfRule>
  </conditionalFormatting>
  <conditionalFormatting sqref="B13:AA21">
    <cfRule type="cellIs" dxfId="1" priority="1" operator="equal">
      <formula>0</formula>
    </cfRule>
    <cfRule type="cellIs" dxfId="0" priority="2" stopIfTrue="1" operator="equal">
      <formula>1</formula>
    </cfRule>
  </conditionalFormatting>
  <pageMargins left="0.55118110236220474" right="0.55118110236220474" top="0.98425196850393704" bottom="0.98425196850393704" header="0.51181102362204722" footer="0.51181102362204722"/>
  <pageSetup paperSize="9" scale="60" orientation="landscape" r:id="rId1"/>
  <headerFooter alignWithMargins="0"/>
  <rowBreaks count="1" manualBreakCount="1">
    <brk id="23" max="16383" man="1"/>
  </rowBreaks>
  <colBreaks count="1" manualBreakCount="1">
    <brk id="69" max="1048575" man="1"/>
  </colBreak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19">
    <pageSetUpPr fitToPage="1"/>
  </sheetPr>
  <dimension ref="A1:F277"/>
  <sheetViews>
    <sheetView zoomScale="85" zoomScaleNormal="85" workbookViewId="0"/>
  </sheetViews>
  <sheetFormatPr defaultColWidth="10.28515625" defaultRowHeight="12.75" x14ac:dyDescent="0.2"/>
  <cols>
    <col min="1" max="1" width="4.140625" style="14" customWidth="1"/>
    <col min="2" max="2" width="55.7109375" style="14" customWidth="1"/>
    <col min="3" max="3" width="5.85546875" style="14" customWidth="1"/>
    <col min="4" max="4" width="65.7109375" style="14" customWidth="1"/>
    <col min="5" max="16384" width="10.28515625" style="14"/>
  </cols>
  <sheetData>
    <row r="1" spans="1:4" x14ac:dyDescent="0.2">
      <c r="A1" s="15" t="s">
        <v>166</v>
      </c>
    </row>
    <row r="3" spans="1:4" x14ac:dyDescent="0.2">
      <c r="A3" s="126"/>
      <c r="B3" s="126" t="s">
        <v>354</v>
      </c>
      <c r="C3" s="126"/>
      <c r="D3" s="126" t="s">
        <v>355</v>
      </c>
    </row>
    <row r="4" spans="1:4" x14ac:dyDescent="0.2">
      <c r="A4" s="126"/>
      <c r="B4" s="126"/>
      <c r="C4" s="126"/>
      <c r="D4" s="126"/>
    </row>
    <row r="5" spans="1:4" x14ac:dyDescent="0.2">
      <c r="A5" s="126">
        <v>1</v>
      </c>
      <c r="B5" s="126" t="s">
        <v>167</v>
      </c>
      <c r="C5" s="126">
        <v>1</v>
      </c>
      <c r="D5" s="126" t="s">
        <v>168</v>
      </c>
    </row>
    <row r="6" spans="1:4" x14ac:dyDescent="0.2">
      <c r="A6" s="126"/>
      <c r="B6" s="126"/>
      <c r="C6" s="126"/>
      <c r="D6" s="126"/>
    </row>
    <row r="7" spans="1:4" x14ac:dyDescent="0.2">
      <c r="A7" s="126">
        <v>2</v>
      </c>
      <c r="B7" s="126" t="s">
        <v>94</v>
      </c>
      <c r="C7" s="126">
        <v>2</v>
      </c>
      <c r="D7" s="126" t="s">
        <v>169</v>
      </c>
    </row>
    <row r="8" spans="1:4" x14ac:dyDescent="0.2">
      <c r="A8" s="126"/>
      <c r="B8" s="126"/>
      <c r="C8" s="126"/>
      <c r="D8" s="126"/>
    </row>
    <row r="9" spans="1:4" x14ac:dyDescent="0.2">
      <c r="A9" s="126">
        <v>3</v>
      </c>
      <c r="B9" s="126" t="s">
        <v>170</v>
      </c>
      <c r="C9" s="126">
        <v>3</v>
      </c>
      <c r="D9" s="126" t="s">
        <v>171</v>
      </c>
    </row>
    <row r="10" spans="1:4" x14ac:dyDescent="0.2">
      <c r="A10" s="126"/>
      <c r="B10" s="126"/>
      <c r="C10" s="126">
        <v>4</v>
      </c>
      <c r="D10" s="126" t="s">
        <v>172</v>
      </c>
    </row>
    <row r="11" spans="1:4" x14ac:dyDescent="0.2">
      <c r="A11" s="126"/>
      <c r="B11" s="126"/>
      <c r="C11" s="126"/>
      <c r="D11" s="126"/>
    </row>
    <row r="12" spans="1:4" x14ac:dyDescent="0.2">
      <c r="A12" s="126">
        <v>4</v>
      </c>
      <c r="B12" s="126" t="s">
        <v>69</v>
      </c>
      <c r="C12" s="126">
        <v>16</v>
      </c>
      <c r="D12" s="126" t="s">
        <v>173</v>
      </c>
    </row>
    <row r="13" spans="1:4" x14ac:dyDescent="0.2">
      <c r="A13" s="126"/>
      <c r="B13" s="126"/>
      <c r="C13" s="126">
        <v>17</v>
      </c>
      <c r="D13" s="126" t="s">
        <v>95</v>
      </c>
    </row>
    <row r="14" spans="1:4" x14ac:dyDescent="0.2">
      <c r="A14" s="126"/>
      <c r="B14" s="126"/>
      <c r="C14" s="126">
        <v>18</v>
      </c>
      <c r="D14" s="126" t="s">
        <v>174</v>
      </c>
    </row>
    <row r="15" spans="1:4" x14ac:dyDescent="0.2">
      <c r="A15" s="126"/>
      <c r="B15" s="126"/>
      <c r="C15" s="126"/>
      <c r="D15" s="126"/>
    </row>
    <row r="16" spans="1:4" x14ac:dyDescent="0.2">
      <c r="A16" s="126">
        <v>5</v>
      </c>
      <c r="B16" s="126" t="s">
        <v>96</v>
      </c>
      <c r="C16" s="126">
        <v>5</v>
      </c>
      <c r="D16" s="126" t="s">
        <v>175</v>
      </c>
    </row>
    <row r="17" spans="1:4" x14ac:dyDescent="0.2">
      <c r="A17" s="126"/>
      <c r="B17" s="126"/>
      <c r="C17" s="126">
        <v>6</v>
      </c>
      <c r="D17" s="126" t="s">
        <v>176</v>
      </c>
    </row>
    <row r="18" spans="1:4" x14ac:dyDescent="0.2">
      <c r="A18" s="126"/>
      <c r="B18" s="126"/>
      <c r="C18" s="126">
        <v>7</v>
      </c>
      <c r="D18" s="126" t="s">
        <v>177</v>
      </c>
    </row>
    <row r="19" spans="1:4" x14ac:dyDescent="0.2">
      <c r="A19" s="126"/>
      <c r="B19" s="126"/>
      <c r="C19" s="126">
        <v>8</v>
      </c>
      <c r="D19" s="126" t="s">
        <v>178</v>
      </c>
    </row>
    <row r="20" spans="1:4" x14ac:dyDescent="0.2">
      <c r="A20" s="126"/>
      <c r="B20" s="126"/>
      <c r="C20" s="126">
        <v>9</v>
      </c>
      <c r="D20" s="126" t="s">
        <v>179</v>
      </c>
    </row>
    <row r="21" spans="1:4" x14ac:dyDescent="0.2">
      <c r="A21" s="126"/>
      <c r="B21" s="126"/>
      <c r="C21" s="126">
        <v>10</v>
      </c>
      <c r="D21" s="126" t="s">
        <v>180</v>
      </c>
    </row>
    <row r="22" spans="1:4" x14ac:dyDescent="0.2">
      <c r="A22" s="126"/>
      <c r="B22" s="126"/>
      <c r="C22" s="126">
        <v>11</v>
      </c>
      <c r="D22" s="126" t="s">
        <v>70</v>
      </c>
    </row>
    <row r="23" spans="1:4" x14ac:dyDescent="0.2">
      <c r="A23" s="126"/>
      <c r="B23" s="126"/>
      <c r="C23" s="126">
        <v>12</v>
      </c>
      <c r="D23" s="126" t="s">
        <v>181</v>
      </c>
    </row>
    <row r="24" spans="1:4" x14ac:dyDescent="0.2">
      <c r="A24" s="126"/>
      <c r="B24" s="126"/>
      <c r="C24" s="126">
        <v>13</v>
      </c>
      <c r="D24" s="126" t="s">
        <v>182</v>
      </c>
    </row>
    <row r="25" spans="1:4" x14ac:dyDescent="0.2">
      <c r="A25" s="126"/>
      <c r="B25" s="126"/>
      <c r="C25" s="126">
        <v>14</v>
      </c>
      <c r="D25" s="126" t="s">
        <v>128</v>
      </c>
    </row>
    <row r="26" spans="1:4" x14ac:dyDescent="0.2">
      <c r="A26" s="126"/>
      <c r="B26" s="126"/>
      <c r="C26" s="126">
        <v>15</v>
      </c>
      <c r="D26" s="126" t="s">
        <v>129</v>
      </c>
    </row>
    <row r="27" spans="1:4" x14ac:dyDescent="0.2">
      <c r="A27" s="126"/>
      <c r="B27" s="126"/>
      <c r="C27" s="126">
        <v>19</v>
      </c>
      <c r="D27" s="126" t="s">
        <v>183</v>
      </c>
    </row>
    <row r="28" spans="1:4" x14ac:dyDescent="0.2">
      <c r="A28" s="126"/>
      <c r="B28" s="126"/>
      <c r="C28" s="126">
        <v>20</v>
      </c>
      <c r="D28" s="126" t="s">
        <v>184</v>
      </c>
    </row>
    <row r="29" spans="1:4" x14ac:dyDescent="0.2">
      <c r="A29" s="126"/>
      <c r="B29" s="126"/>
      <c r="C29" s="126">
        <v>21</v>
      </c>
      <c r="D29" s="126" t="s">
        <v>185</v>
      </c>
    </row>
    <row r="30" spans="1:4" x14ac:dyDescent="0.2">
      <c r="A30" s="126"/>
      <c r="B30" s="126"/>
      <c r="C30" s="126">
        <v>22</v>
      </c>
      <c r="D30" s="126" t="s">
        <v>186</v>
      </c>
    </row>
    <row r="31" spans="1:4" x14ac:dyDescent="0.2">
      <c r="A31" s="126"/>
      <c r="B31" s="126"/>
      <c r="C31" s="126">
        <v>23</v>
      </c>
      <c r="D31" s="126" t="s">
        <v>187</v>
      </c>
    </row>
    <row r="32" spans="1:4" x14ac:dyDescent="0.2">
      <c r="A32" s="126"/>
      <c r="B32" s="126"/>
      <c r="C32" s="126"/>
      <c r="D32" s="126"/>
    </row>
    <row r="33" spans="1:4" x14ac:dyDescent="0.2">
      <c r="A33" s="126">
        <v>6</v>
      </c>
      <c r="B33" s="126" t="s">
        <v>188</v>
      </c>
      <c r="C33" s="126">
        <v>24</v>
      </c>
      <c r="D33" s="126" t="s">
        <v>189</v>
      </c>
    </row>
    <row r="34" spans="1:4" x14ac:dyDescent="0.2">
      <c r="A34" s="126"/>
      <c r="B34" s="126"/>
      <c r="C34" s="126"/>
      <c r="D34" s="126"/>
    </row>
    <row r="35" spans="1:4" x14ac:dyDescent="0.2">
      <c r="A35" s="126">
        <v>7</v>
      </c>
      <c r="B35" s="126" t="s">
        <v>190</v>
      </c>
      <c r="C35" s="126">
        <v>25</v>
      </c>
      <c r="D35" s="126" t="s">
        <v>191</v>
      </c>
    </row>
    <row r="36" spans="1:4" x14ac:dyDescent="0.2">
      <c r="A36" s="126"/>
      <c r="B36" s="126"/>
      <c r="C36" s="126">
        <v>26</v>
      </c>
      <c r="D36" s="126" t="s">
        <v>192</v>
      </c>
    </row>
    <row r="37" spans="1:4" x14ac:dyDescent="0.2">
      <c r="A37" s="126"/>
      <c r="B37" s="126"/>
      <c r="C37" s="126">
        <v>27</v>
      </c>
      <c r="D37" s="126" t="s">
        <v>193</v>
      </c>
    </row>
    <row r="38" spans="1:4" x14ac:dyDescent="0.2">
      <c r="A38" s="126"/>
      <c r="B38" s="126"/>
      <c r="C38" s="126"/>
      <c r="D38" s="126"/>
    </row>
    <row r="39" spans="1:4" x14ac:dyDescent="0.2">
      <c r="A39" s="126">
        <v>8</v>
      </c>
      <c r="B39" s="126" t="s">
        <v>71</v>
      </c>
      <c r="C39" s="126">
        <v>28</v>
      </c>
      <c r="D39" s="126" t="s">
        <v>194</v>
      </c>
    </row>
    <row r="40" spans="1:4" x14ac:dyDescent="0.2">
      <c r="A40" s="126"/>
      <c r="B40" s="126"/>
      <c r="C40" s="126">
        <v>29</v>
      </c>
      <c r="D40" s="126" t="s">
        <v>195</v>
      </c>
    </row>
    <row r="41" spans="1:4" x14ac:dyDescent="0.2">
      <c r="A41" s="126"/>
      <c r="B41" s="126"/>
      <c r="C41" s="126">
        <v>30</v>
      </c>
      <c r="D41" s="126" t="s">
        <v>196</v>
      </c>
    </row>
    <row r="42" spans="1:4" x14ac:dyDescent="0.2">
      <c r="A42" s="126"/>
      <c r="B42" s="126"/>
      <c r="C42" s="126"/>
      <c r="D42" s="126"/>
    </row>
    <row r="43" spans="1:4" x14ac:dyDescent="0.2">
      <c r="A43" s="126">
        <v>9</v>
      </c>
      <c r="B43" s="126" t="s">
        <v>97</v>
      </c>
      <c r="C43" s="126">
        <v>31</v>
      </c>
      <c r="D43" s="126" t="s">
        <v>197</v>
      </c>
    </row>
    <row r="44" spans="1:4" x14ac:dyDescent="0.2">
      <c r="A44" s="126"/>
      <c r="B44" s="126"/>
      <c r="C44" s="126">
        <v>32</v>
      </c>
      <c r="D44" s="126" t="s">
        <v>198</v>
      </c>
    </row>
    <row r="45" spans="1:4" x14ac:dyDescent="0.2">
      <c r="A45" s="126"/>
      <c r="B45" s="126"/>
      <c r="C45" s="126">
        <v>33</v>
      </c>
      <c r="D45" s="126" t="s">
        <v>199</v>
      </c>
    </row>
    <row r="46" spans="1:4" x14ac:dyDescent="0.2">
      <c r="A46" s="126"/>
      <c r="B46" s="126"/>
      <c r="C46" s="126"/>
      <c r="D46" s="126"/>
    </row>
    <row r="47" spans="1:4" x14ac:dyDescent="0.2">
      <c r="A47" s="126">
        <v>10</v>
      </c>
      <c r="B47" s="126" t="s">
        <v>200</v>
      </c>
      <c r="C47" s="126">
        <v>34</v>
      </c>
      <c r="D47" s="126" t="s">
        <v>201</v>
      </c>
    </row>
    <row r="48" spans="1:4" x14ac:dyDescent="0.2">
      <c r="A48" s="126"/>
      <c r="B48" s="126"/>
      <c r="C48" s="126">
        <v>35</v>
      </c>
      <c r="D48" s="126" t="s">
        <v>202</v>
      </c>
    </row>
    <row r="49" spans="1:4" x14ac:dyDescent="0.2">
      <c r="A49" s="126"/>
      <c r="B49" s="126"/>
      <c r="C49" s="126">
        <v>36</v>
      </c>
      <c r="D49" s="126" t="s">
        <v>203</v>
      </c>
    </row>
    <row r="50" spans="1:4" x14ac:dyDescent="0.2">
      <c r="A50" s="126"/>
      <c r="B50" s="126"/>
      <c r="C50" s="126">
        <v>37</v>
      </c>
      <c r="D50" s="126" t="s">
        <v>204</v>
      </c>
    </row>
    <row r="51" spans="1:4" x14ac:dyDescent="0.2">
      <c r="A51" s="126"/>
      <c r="B51" s="126"/>
      <c r="C51" s="126">
        <v>38</v>
      </c>
      <c r="D51" s="126" t="s">
        <v>205</v>
      </c>
    </row>
    <row r="52" spans="1:4" x14ac:dyDescent="0.2">
      <c r="A52" s="126"/>
      <c r="B52" s="126"/>
      <c r="C52" s="126"/>
      <c r="D52" s="126"/>
    </row>
    <row r="53" spans="1:4" x14ac:dyDescent="0.2">
      <c r="A53" s="126">
        <v>11</v>
      </c>
      <c r="B53" s="126" t="s">
        <v>206</v>
      </c>
      <c r="C53" s="126">
        <v>39</v>
      </c>
      <c r="D53" s="126" t="s">
        <v>207</v>
      </c>
    </row>
    <row r="54" spans="1:4" x14ac:dyDescent="0.2">
      <c r="A54" s="126"/>
      <c r="B54" s="126"/>
      <c r="C54" s="126">
        <v>40</v>
      </c>
      <c r="D54" s="126" t="s">
        <v>208</v>
      </c>
    </row>
    <row r="55" spans="1:4" x14ac:dyDescent="0.2">
      <c r="A55" s="126"/>
      <c r="B55" s="126"/>
      <c r="C55" s="126"/>
      <c r="D55" s="126"/>
    </row>
    <row r="56" spans="1:4" x14ac:dyDescent="0.2">
      <c r="A56" s="126">
        <v>12</v>
      </c>
      <c r="B56" s="126" t="s">
        <v>100</v>
      </c>
      <c r="C56" s="126">
        <v>41</v>
      </c>
      <c r="D56" s="126" t="s">
        <v>130</v>
      </c>
    </row>
    <row r="57" spans="1:4" x14ac:dyDescent="0.2">
      <c r="A57" s="126"/>
      <c r="B57" s="126"/>
      <c r="C57" s="126">
        <v>42</v>
      </c>
      <c r="D57" s="126" t="s">
        <v>209</v>
      </c>
    </row>
    <row r="58" spans="1:4" x14ac:dyDescent="0.2">
      <c r="A58" s="126"/>
      <c r="B58" s="126"/>
      <c r="C58" s="126">
        <v>43</v>
      </c>
      <c r="D58" s="126" t="s">
        <v>210</v>
      </c>
    </row>
    <row r="59" spans="1:4" x14ac:dyDescent="0.2">
      <c r="A59" s="126"/>
      <c r="B59" s="126"/>
      <c r="C59" s="126"/>
      <c r="D59" s="126"/>
    </row>
    <row r="60" spans="1:4" x14ac:dyDescent="0.2">
      <c r="A60" s="126">
        <v>13</v>
      </c>
      <c r="B60" s="126" t="s">
        <v>211</v>
      </c>
      <c r="C60" s="126">
        <v>44</v>
      </c>
      <c r="D60" s="126" t="s">
        <v>98</v>
      </c>
    </row>
    <row r="61" spans="1:4" x14ac:dyDescent="0.2">
      <c r="A61" s="126"/>
      <c r="B61" s="126"/>
      <c r="C61" s="126">
        <v>45</v>
      </c>
      <c r="D61" s="126" t="s">
        <v>212</v>
      </c>
    </row>
    <row r="62" spans="1:4" x14ac:dyDescent="0.2">
      <c r="A62" s="126"/>
      <c r="B62" s="126"/>
      <c r="C62" s="126">
        <v>46</v>
      </c>
      <c r="D62" s="126" t="s">
        <v>213</v>
      </c>
    </row>
    <row r="63" spans="1:4" x14ac:dyDescent="0.2">
      <c r="A63" s="126"/>
      <c r="B63" s="126"/>
      <c r="C63" s="126"/>
      <c r="D63" s="126"/>
    </row>
    <row r="64" spans="1:4" x14ac:dyDescent="0.2">
      <c r="A64" s="126">
        <v>14</v>
      </c>
      <c r="B64" s="126" t="s">
        <v>214</v>
      </c>
      <c r="C64" s="126">
        <v>47</v>
      </c>
      <c r="D64" s="126" t="s">
        <v>131</v>
      </c>
    </row>
    <row r="65" spans="1:4" x14ac:dyDescent="0.2">
      <c r="A65" s="126"/>
      <c r="B65" s="126"/>
      <c r="C65" s="126">
        <v>48</v>
      </c>
      <c r="D65" s="126" t="s">
        <v>215</v>
      </c>
    </row>
    <row r="66" spans="1:4" x14ac:dyDescent="0.2">
      <c r="A66" s="126"/>
      <c r="B66" s="126"/>
      <c r="C66" s="126">
        <v>49</v>
      </c>
      <c r="D66" s="126" t="s">
        <v>216</v>
      </c>
    </row>
    <row r="67" spans="1:4" x14ac:dyDescent="0.2">
      <c r="A67" s="126"/>
      <c r="B67" s="126"/>
      <c r="C67" s="126"/>
      <c r="D67" s="126"/>
    </row>
    <row r="68" spans="1:4" x14ac:dyDescent="0.2">
      <c r="A68" s="126">
        <v>15</v>
      </c>
      <c r="B68" s="126" t="s">
        <v>217</v>
      </c>
      <c r="C68" s="126">
        <v>50</v>
      </c>
      <c r="D68" s="126" t="s">
        <v>217</v>
      </c>
    </row>
    <row r="69" spans="1:4" x14ac:dyDescent="0.2">
      <c r="A69" s="126"/>
      <c r="B69" s="126"/>
      <c r="C69" s="126"/>
      <c r="D69" s="126"/>
    </row>
    <row r="70" spans="1:4" x14ac:dyDescent="0.2">
      <c r="A70" s="126">
        <v>16</v>
      </c>
      <c r="B70" s="126" t="s">
        <v>218</v>
      </c>
      <c r="C70" s="126">
        <v>51</v>
      </c>
      <c r="D70" s="126" t="s">
        <v>219</v>
      </c>
    </row>
    <row r="71" spans="1:4" x14ac:dyDescent="0.2">
      <c r="A71" s="126"/>
      <c r="B71" s="126"/>
      <c r="C71" s="126">
        <v>52</v>
      </c>
      <c r="D71" s="126" t="s">
        <v>220</v>
      </c>
    </row>
    <row r="72" spans="1:4" x14ac:dyDescent="0.2">
      <c r="A72" s="126"/>
      <c r="B72" s="126"/>
      <c r="C72" s="126">
        <v>53</v>
      </c>
      <c r="D72" s="126" t="s">
        <v>221</v>
      </c>
    </row>
    <row r="73" spans="1:4" x14ac:dyDescent="0.2">
      <c r="A73" s="126"/>
      <c r="B73" s="126"/>
      <c r="C73" s="126">
        <v>54</v>
      </c>
      <c r="D73" s="126" t="s">
        <v>222</v>
      </c>
    </row>
    <row r="74" spans="1:4" x14ac:dyDescent="0.2">
      <c r="A74" s="126"/>
      <c r="B74" s="126"/>
      <c r="C74" s="126">
        <v>55</v>
      </c>
      <c r="D74" s="126" t="s">
        <v>223</v>
      </c>
    </row>
    <row r="75" spans="1:4" x14ac:dyDescent="0.2">
      <c r="A75" s="126"/>
      <c r="B75" s="126"/>
      <c r="C75" s="126">
        <v>56</v>
      </c>
      <c r="D75" s="126" t="s">
        <v>224</v>
      </c>
    </row>
    <row r="76" spans="1:4" x14ac:dyDescent="0.2">
      <c r="A76" s="126"/>
      <c r="B76" s="126"/>
      <c r="C76" s="126">
        <v>57</v>
      </c>
      <c r="D76" s="126" t="s">
        <v>225</v>
      </c>
    </row>
    <row r="77" spans="1:4" x14ac:dyDescent="0.2">
      <c r="A77" s="126"/>
      <c r="B77" s="126"/>
      <c r="C77" s="126"/>
      <c r="D77" s="126"/>
    </row>
    <row r="78" spans="1:4" x14ac:dyDescent="0.2">
      <c r="A78" s="126">
        <v>17</v>
      </c>
      <c r="B78" s="126" t="s">
        <v>226</v>
      </c>
      <c r="C78" s="126">
        <v>58</v>
      </c>
      <c r="D78" s="126" t="s">
        <v>227</v>
      </c>
    </row>
    <row r="79" spans="1:4" x14ac:dyDescent="0.2">
      <c r="A79" s="126"/>
      <c r="B79" s="126"/>
      <c r="C79" s="126">
        <v>59</v>
      </c>
      <c r="D79" s="126" t="s">
        <v>132</v>
      </c>
    </row>
    <row r="80" spans="1:4" x14ac:dyDescent="0.2">
      <c r="A80" s="126"/>
      <c r="B80" s="126"/>
      <c r="C80" s="126">
        <v>60</v>
      </c>
      <c r="D80" s="126" t="s">
        <v>228</v>
      </c>
    </row>
    <row r="81" spans="1:4" x14ac:dyDescent="0.2">
      <c r="A81" s="126"/>
      <c r="B81" s="126"/>
      <c r="C81" s="126">
        <v>61</v>
      </c>
      <c r="D81" s="126" t="s">
        <v>229</v>
      </c>
    </row>
    <row r="82" spans="1:4" x14ac:dyDescent="0.2">
      <c r="A82" s="126"/>
      <c r="B82" s="126"/>
      <c r="C82" s="126">
        <v>62</v>
      </c>
      <c r="D82" s="126" t="s">
        <v>230</v>
      </c>
    </row>
    <row r="83" spans="1:4" x14ac:dyDescent="0.2">
      <c r="A83" s="126"/>
      <c r="B83" s="126"/>
      <c r="C83" s="126">
        <v>63</v>
      </c>
      <c r="D83" s="126" t="s">
        <v>231</v>
      </c>
    </row>
    <row r="84" spans="1:4" x14ac:dyDescent="0.2">
      <c r="A84" s="126"/>
      <c r="B84" s="126"/>
      <c r="C84" s="126"/>
      <c r="D84" s="126"/>
    </row>
    <row r="85" spans="1:4" x14ac:dyDescent="0.2">
      <c r="A85" s="126">
        <v>18</v>
      </c>
      <c r="B85" s="126" t="s">
        <v>232</v>
      </c>
      <c r="C85" s="126">
        <v>64</v>
      </c>
      <c r="D85" s="126" t="s">
        <v>233</v>
      </c>
    </row>
    <row r="86" spans="1:4" x14ac:dyDescent="0.2">
      <c r="A86" s="126"/>
      <c r="B86" s="126"/>
      <c r="C86" s="126"/>
      <c r="D86" s="126"/>
    </row>
    <row r="87" spans="1:4" x14ac:dyDescent="0.2">
      <c r="A87" s="126">
        <v>19</v>
      </c>
      <c r="B87" s="126" t="s">
        <v>72</v>
      </c>
      <c r="C87" s="126">
        <v>65</v>
      </c>
      <c r="D87" s="126" t="s">
        <v>72</v>
      </c>
    </row>
    <row r="88" spans="1:4" x14ac:dyDescent="0.2">
      <c r="A88" s="126"/>
      <c r="B88" s="126"/>
      <c r="C88" s="126"/>
      <c r="D88" s="126"/>
    </row>
    <row r="89" spans="1:4" x14ac:dyDescent="0.2">
      <c r="A89" s="126">
        <v>20</v>
      </c>
      <c r="B89" s="126" t="s">
        <v>73</v>
      </c>
      <c r="C89" s="126">
        <v>66</v>
      </c>
      <c r="D89" s="126" t="s">
        <v>234</v>
      </c>
    </row>
    <row r="90" spans="1:4" x14ac:dyDescent="0.2">
      <c r="A90" s="126"/>
      <c r="B90" s="126"/>
      <c r="C90" s="126">
        <v>67</v>
      </c>
      <c r="D90" s="126" t="s">
        <v>235</v>
      </c>
    </row>
    <row r="91" spans="1:4" x14ac:dyDescent="0.2">
      <c r="A91" s="126"/>
      <c r="B91" s="126"/>
      <c r="C91" s="126">
        <v>68</v>
      </c>
      <c r="D91" s="126" t="s">
        <v>236</v>
      </c>
    </row>
    <row r="92" spans="1:4" x14ac:dyDescent="0.2">
      <c r="A92" s="126"/>
      <c r="B92" s="126"/>
      <c r="C92" s="126"/>
      <c r="D92" s="126"/>
    </row>
    <row r="93" spans="1:4" x14ac:dyDescent="0.2">
      <c r="A93" s="126">
        <v>21</v>
      </c>
      <c r="B93" s="126" t="s">
        <v>99</v>
      </c>
      <c r="C93" s="126">
        <v>69</v>
      </c>
      <c r="D93" s="126" t="s">
        <v>237</v>
      </c>
    </row>
    <row r="94" spans="1:4" x14ac:dyDescent="0.2">
      <c r="A94" s="126"/>
      <c r="B94" s="126"/>
      <c r="C94" s="126">
        <v>70</v>
      </c>
      <c r="D94" s="126" t="s">
        <v>238</v>
      </c>
    </row>
    <row r="95" spans="1:4" x14ac:dyDescent="0.2">
      <c r="A95" s="126"/>
      <c r="B95" s="126"/>
      <c r="C95" s="126">
        <v>71</v>
      </c>
      <c r="D95" s="126" t="s">
        <v>239</v>
      </c>
    </row>
    <row r="96" spans="1:4" x14ac:dyDescent="0.2">
      <c r="A96" s="126"/>
      <c r="B96" s="126"/>
      <c r="C96" s="126">
        <v>72</v>
      </c>
      <c r="D96" s="126" t="s">
        <v>240</v>
      </c>
    </row>
    <row r="97" spans="1:4" x14ac:dyDescent="0.2">
      <c r="A97" s="126"/>
      <c r="B97" s="126"/>
      <c r="C97" s="126"/>
      <c r="D97" s="126"/>
    </row>
    <row r="98" spans="1:4" x14ac:dyDescent="0.2">
      <c r="A98" s="126">
        <v>22</v>
      </c>
      <c r="B98" s="126" t="s">
        <v>241</v>
      </c>
      <c r="C98" s="126">
        <v>73</v>
      </c>
      <c r="D98" s="126" t="s">
        <v>133</v>
      </c>
    </row>
    <row r="99" spans="1:4" x14ac:dyDescent="0.2">
      <c r="A99" s="126"/>
      <c r="B99" s="126"/>
      <c r="C99" s="126">
        <v>74</v>
      </c>
      <c r="D99" s="126" t="s">
        <v>242</v>
      </c>
    </row>
    <row r="100" spans="1:4" x14ac:dyDescent="0.2">
      <c r="A100" s="126"/>
      <c r="B100" s="126"/>
      <c r="C100" s="126">
        <v>75</v>
      </c>
      <c r="D100" s="126" t="s">
        <v>243</v>
      </c>
    </row>
    <row r="101" spans="1:4" x14ac:dyDescent="0.2">
      <c r="A101"/>
      <c r="B101"/>
      <c r="C101" s="89"/>
      <c r="D101"/>
    </row>
    <row r="102" spans="1:4" x14ac:dyDescent="0.2">
      <c r="A102" s="17" t="s">
        <v>244</v>
      </c>
      <c r="B102" s="89"/>
      <c r="C102" s="89"/>
      <c r="D102"/>
    </row>
    <row r="103" spans="1:4" x14ac:dyDescent="0.2">
      <c r="A103" s="89"/>
      <c r="B103" s="89"/>
      <c r="C103" s="89"/>
      <c r="D103"/>
    </row>
    <row r="104" spans="1:4" x14ac:dyDescent="0.2">
      <c r="A104" s="10"/>
      <c r="B104" s="126" t="s">
        <v>356</v>
      </c>
      <c r="C104" s="10"/>
      <c r="D104" s="126" t="s">
        <v>355</v>
      </c>
    </row>
    <row r="105" spans="1:4" x14ac:dyDescent="0.2">
      <c r="A105" s="10"/>
      <c r="B105" s="10"/>
      <c r="C105" s="10"/>
      <c r="D105" s="10"/>
    </row>
    <row r="106" spans="1:4" x14ac:dyDescent="0.2">
      <c r="A106" s="10">
        <v>1</v>
      </c>
      <c r="B106" s="10" t="s">
        <v>245</v>
      </c>
      <c r="C106" s="10">
        <v>1</v>
      </c>
      <c r="D106" s="10" t="s">
        <v>168</v>
      </c>
    </row>
    <row r="107" spans="1:4" x14ac:dyDescent="0.2">
      <c r="A107" s="10"/>
      <c r="B107" s="10"/>
      <c r="C107" s="10">
        <v>2</v>
      </c>
      <c r="D107" s="10" t="s">
        <v>169</v>
      </c>
    </row>
    <row r="108" spans="1:4" x14ac:dyDescent="0.2">
      <c r="A108" s="10"/>
      <c r="B108" s="10"/>
      <c r="C108" s="10">
        <v>24</v>
      </c>
      <c r="D108" s="10" t="s">
        <v>189</v>
      </c>
    </row>
    <row r="109" spans="1:4" x14ac:dyDescent="0.2">
      <c r="A109" s="10"/>
      <c r="B109" s="10"/>
      <c r="C109" s="10">
        <v>25</v>
      </c>
      <c r="D109" s="10" t="s">
        <v>191</v>
      </c>
    </row>
    <row r="110" spans="1:4" x14ac:dyDescent="0.2">
      <c r="A110" s="10"/>
      <c r="B110" s="10"/>
      <c r="C110" s="10">
        <v>26</v>
      </c>
      <c r="D110" s="10" t="s">
        <v>192</v>
      </c>
    </row>
    <row r="111" spans="1:4" x14ac:dyDescent="0.2">
      <c r="A111" s="10"/>
      <c r="B111" s="10"/>
      <c r="C111" s="10">
        <v>27</v>
      </c>
      <c r="D111" s="10" t="s">
        <v>193</v>
      </c>
    </row>
    <row r="112" spans="1:4" x14ac:dyDescent="0.2">
      <c r="A112" s="10"/>
      <c r="B112" s="10"/>
      <c r="C112" s="10"/>
      <c r="D112" s="10"/>
    </row>
    <row r="113" spans="1:4" x14ac:dyDescent="0.2">
      <c r="A113" s="10">
        <v>2</v>
      </c>
      <c r="B113" s="10" t="s">
        <v>101</v>
      </c>
      <c r="C113" s="10">
        <v>3</v>
      </c>
      <c r="D113" s="10" t="s">
        <v>171</v>
      </c>
    </row>
    <row r="114" spans="1:4" x14ac:dyDescent="0.2">
      <c r="A114" s="10"/>
      <c r="B114" s="10"/>
      <c r="C114" s="10">
        <v>4</v>
      </c>
      <c r="D114" s="10" t="s">
        <v>172</v>
      </c>
    </row>
    <row r="115" spans="1:4" x14ac:dyDescent="0.2">
      <c r="A115" s="10"/>
      <c r="B115" s="10"/>
      <c r="C115" s="10">
        <v>5</v>
      </c>
      <c r="D115" s="10" t="s">
        <v>175</v>
      </c>
    </row>
    <row r="116" spans="1:4" x14ac:dyDescent="0.2">
      <c r="A116" s="10"/>
      <c r="B116" s="10"/>
      <c r="C116" s="10">
        <v>6</v>
      </c>
      <c r="D116" s="10" t="s">
        <v>176</v>
      </c>
    </row>
    <row r="117" spans="1:4" x14ac:dyDescent="0.2">
      <c r="A117" s="10"/>
      <c r="B117" s="10"/>
      <c r="C117" s="10">
        <v>7</v>
      </c>
      <c r="D117" s="10" t="s">
        <v>177</v>
      </c>
    </row>
    <row r="118" spans="1:4" x14ac:dyDescent="0.2">
      <c r="A118" s="10"/>
      <c r="B118" s="10"/>
      <c r="C118" s="10">
        <v>8</v>
      </c>
      <c r="D118" s="10" t="s">
        <v>178</v>
      </c>
    </row>
    <row r="119" spans="1:4" x14ac:dyDescent="0.2">
      <c r="A119" s="10"/>
      <c r="B119" s="10"/>
      <c r="C119" s="10">
        <v>9</v>
      </c>
      <c r="D119" s="10" t="s">
        <v>179</v>
      </c>
    </row>
    <row r="120" spans="1:4" x14ac:dyDescent="0.2">
      <c r="A120" s="10"/>
      <c r="B120" s="10"/>
      <c r="C120" s="10">
        <v>10</v>
      </c>
      <c r="D120" s="10" t="s">
        <v>180</v>
      </c>
    </row>
    <row r="121" spans="1:4" x14ac:dyDescent="0.2">
      <c r="A121" s="10"/>
      <c r="B121" s="10"/>
      <c r="C121" s="10">
        <v>11</v>
      </c>
      <c r="D121" s="10" t="s">
        <v>70</v>
      </c>
    </row>
    <row r="122" spans="1:4" x14ac:dyDescent="0.2">
      <c r="A122" s="10"/>
      <c r="B122" s="10"/>
      <c r="C122" s="10">
        <v>12</v>
      </c>
      <c r="D122" s="10" t="s">
        <v>181</v>
      </c>
    </row>
    <row r="123" spans="1:4" x14ac:dyDescent="0.2">
      <c r="A123" s="10"/>
      <c r="B123" s="10"/>
      <c r="C123" s="10">
        <v>13</v>
      </c>
      <c r="D123" s="10" t="s">
        <v>182</v>
      </c>
    </row>
    <row r="124" spans="1:4" x14ac:dyDescent="0.2">
      <c r="A124" s="10"/>
      <c r="B124" s="10"/>
      <c r="C124" s="10">
        <v>14</v>
      </c>
      <c r="D124" s="10" t="s">
        <v>128</v>
      </c>
    </row>
    <row r="125" spans="1:4" x14ac:dyDescent="0.2">
      <c r="A125" s="10"/>
      <c r="B125" s="10"/>
      <c r="C125" s="10">
        <v>15</v>
      </c>
      <c r="D125" s="10" t="s">
        <v>129</v>
      </c>
    </row>
    <row r="126" spans="1:4" x14ac:dyDescent="0.2">
      <c r="A126" s="10"/>
      <c r="B126" s="10"/>
      <c r="C126" s="10">
        <v>16</v>
      </c>
      <c r="D126" s="10" t="s">
        <v>173</v>
      </c>
    </row>
    <row r="127" spans="1:4" x14ac:dyDescent="0.2">
      <c r="A127" s="10"/>
      <c r="B127" s="10"/>
      <c r="C127" s="10">
        <v>17</v>
      </c>
      <c r="D127" s="10" t="s">
        <v>95</v>
      </c>
    </row>
    <row r="128" spans="1:4" x14ac:dyDescent="0.2">
      <c r="A128" s="10"/>
      <c r="B128" s="10"/>
      <c r="C128" s="10">
        <v>18</v>
      </c>
      <c r="D128" s="10" t="s">
        <v>174</v>
      </c>
    </row>
    <row r="129" spans="1:4" x14ac:dyDescent="0.2">
      <c r="A129" s="10"/>
      <c r="B129" s="10"/>
      <c r="C129" s="10">
        <v>19</v>
      </c>
      <c r="D129" s="10" t="s">
        <v>183</v>
      </c>
    </row>
    <row r="130" spans="1:4" x14ac:dyDescent="0.2">
      <c r="A130" s="10"/>
      <c r="B130" s="10"/>
      <c r="C130" s="10">
        <v>20</v>
      </c>
      <c r="D130" s="10" t="s">
        <v>184</v>
      </c>
    </row>
    <row r="131" spans="1:4" x14ac:dyDescent="0.2">
      <c r="A131" s="10"/>
      <c r="B131" s="10"/>
      <c r="C131" s="10">
        <v>21</v>
      </c>
      <c r="D131" s="10" t="s">
        <v>185</v>
      </c>
    </row>
    <row r="132" spans="1:4" x14ac:dyDescent="0.2">
      <c r="A132" s="10"/>
      <c r="B132" s="10"/>
      <c r="C132" s="10">
        <v>22</v>
      </c>
      <c r="D132" s="10" t="s">
        <v>186</v>
      </c>
    </row>
    <row r="133" spans="1:4" x14ac:dyDescent="0.2">
      <c r="A133" s="10"/>
      <c r="B133" s="10"/>
      <c r="C133" s="10">
        <v>23</v>
      </c>
      <c r="D133" s="10" t="s">
        <v>187</v>
      </c>
    </row>
    <row r="134" spans="1:4" x14ac:dyDescent="0.2">
      <c r="A134" s="10"/>
      <c r="B134" s="10"/>
      <c r="C134" s="10"/>
      <c r="D134" s="10"/>
    </row>
    <row r="135" spans="1:4" x14ac:dyDescent="0.2">
      <c r="A135" s="10">
        <v>3</v>
      </c>
      <c r="B135" s="10" t="s">
        <v>71</v>
      </c>
      <c r="C135" s="10">
        <v>28</v>
      </c>
      <c r="D135" s="10" t="s">
        <v>194</v>
      </c>
    </row>
    <row r="136" spans="1:4" x14ac:dyDescent="0.2">
      <c r="A136" s="10"/>
      <c r="B136" s="10"/>
      <c r="C136" s="10">
        <v>29</v>
      </c>
      <c r="D136" s="10" t="s">
        <v>195</v>
      </c>
    </row>
    <row r="137" spans="1:4" x14ac:dyDescent="0.2">
      <c r="A137" s="10"/>
      <c r="B137" s="10"/>
      <c r="C137" s="10">
        <v>30</v>
      </c>
      <c r="D137" s="10" t="s">
        <v>196</v>
      </c>
    </row>
    <row r="138" spans="1:4" x14ac:dyDescent="0.2">
      <c r="A138" s="10"/>
      <c r="B138" s="10"/>
      <c r="C138" s="10"/>
      <c r="D138" s="10"/>
    </row>
    <row r="139" spans="1:4" x14ac:dyDescent="0.2">
      <c r="A139" s="10">
        <v>4</v>
      </c>
      <c r="B139" s="10" t="s">
        <v>246</v>
      </c>
      <c r="C139" s="10">
        <v>31</v>
      </c>
      <c r="D139" s="10" t="s">
        <v>197</v>
      </c>
    </row>
    <row r="140" spans="1:4" x14ac:dyDescent="0.2">
      <c r="A140" s="10"/>
      <c r="B140" s="10"/>
      <c r="C140" s="10">
        <v>32</v>
      </c>
      <c r="D140" s="10" t="s">
        <v>198</v>
      </c>
    </row>
    <row r="141" spans="1:4" x14ac:dyDescent="0.2">
      <c r="A141" s="10"/>
      <c r="B141" s="10"/>
      <c r="C141" s="10">
        <v>33</v>
      </c>
      <c r="D141" s="10" t="s">
        <v>199</v>
      </c>
    </row>
    <row r="142" spans="1:4" x14ac:dyDescent="0.2">
      <c r="A142" s="10"/>
      <c r="B142" s="10"/>
      <c r="C142" s="10">
        <v>34</v>
      </c>
      <c r="D142" s="10" t="s">
        <v>201</v>
      </c>
    </row>
    <row r="143" spans="1:4" x14ac:dyDescent="0.2">
      <c r="A143" s="10"/>
      <c r="B143" s="10"/>
      <c r="C143" s="10">
        <v>35</v>
      </c>
      <c r="D143" s="10" t="s">
        <v>202</v>
      </c>
    </row>
    <row r="144" spans="1:4" x14ac:dyDescent="0.2">
      <c r="A144" s="10"/>
      <c r="B144" s="10"/>
      <c r="C144" s="10">
        <v>36</v>
      </c>
      <c r="D144" s="10" t="s">
        <v>203</v>
      </c>
    </row>
    <row r="145" spans="1:4" x14ac:dyDescent="0.2">
      <c r="A145" s="10"/>
      <c r="B145" s="10"/>
      <c r="C145" s="10">
        <v>37</v>
      </c>
      <c r="D145" s="10" t="s">
        <v>204</v>
      </c>
    </row>
    <row r="146" spans="1:4" x14ac:dyDescent="0.2">
      <c r="A146" s="10"/>
      <c r="B146" s="10"/>
      <c r="C146" s="10">
        <v>38</v>
      </c>
      <c r="D146" s="10" t="s">
        <v>205</v>
      </c>
    </row>
    <row r="147" spans="1:4" x14ac:dyDescent="0.2">
      <c r="A147" s="10"/>
      <c r="B147" s="10"/>
      <c r="C147" s="10">
        <v>39</v>
      </c>
      <c r="D147" s="10" t="s">
        <v>207</v>
      </c>
    </row>
    <row r="148" spans="1:4" x14ac:dyDescent="0.2">
      <c r="A148" s="10"/>
      <c r="B148" s="10"/>
      <c r="C148" s="10">
        <v>40</v>
      </c>
      <c r="D148" s="10" t="s">
        <v>208</v>
      </c>
    </row>
    <row r="149" spans="1:4" x14ac:dyDescent="0.2">
      <c r="A149" s="10"/>
      <c r="B149" s="10"/>
      <c r="C149" s="10"/>
      <c r="D149" s="10"/>
    </row>
    <row r="150" spans="1:4" x14ac:dyDescent="0.2">
      <c r="A150" s="10">
        <v>5</v>
      </c>
      <c r="B150" s="10" t="s">
        <v>247</v>
      </c>
      <c r="C150" s="10">
        <v>41</v>
      </c>
      <c r="D150" s="10" t="s">
        <v>130</v>
      </c>
    </row>
    <row r="151" spans="1:4" x14ac:dyDescent="0.2">
      <c r="A151" s="10"/>
      <c r="B151" s="10"/>
      <c r="C151" s="10">
        <v>42</v>
      </c>
      <c r="D151" s="10" t="s">
        <v>209</v>
      </c>
    </row>
    <row r="152" spans="1:4" x14ac:dyDescent="0.2">
      <c r="A152" s="10"/>
      <c r="B152" s="10"/>
      <c r="C152" s="10">
        <v>43</v>
      </c>
      <c r="D152" s="10" t="s">
        <v>210</v>
      </c>
    </row>
    <row r="153" spans="1:4" x14ac:dyDescent="0.2">
      <c r="A153" s="10"/>
      <c r="B153" s="10"/>
      <c r="C153" s="10">
        <v>44</v>
      </c>
      <c r="D153" s="10" t="s">
        <v>98</v>
      </c>
    </row>
    <row r="154" spans="1:4" x14ac:dyDescent="0.2">
      <c r="A154" s="10"/>
      <c r="B154" s="10"/>
      <c r="C154" s="10">
        <v>45</v>
      </c>
      <c r="D154" s="10" t="s">
        <v>212</v>
      </c>
    </row>
    <row r="155" spans="1:4" x14ac:dyDescent="0.2">
      <c r="A155" s="10"/>
      <c r="B155" s="10"/>
      <c r="C155" s="10">
        <v>46</v>
      </c>
      <c r="D155" s="10" t="s">
        <v>213</v>
      </c>
    </row>
    <row r="156" spans="1:4" x14ac:dyDescent="0.2">
      <c r="A156" s="10"/>
      <c r="B156" s="10"/>
      <c r="C156" s="10">
        <v>47</v>
      </c>
      <c r="D156" s="10" t="s">
        <v>131</v>
      </c>
    </row>
    <row r="157" spans="1:4" x14ac:dyDescent="0.2">
      <c r="A157" s="10"/>
      <c r="B157" s="10"/>
      <c r="C157" s="10">
        <v>48</v>
      </c>
      <c r="D157" s="10" t="s">
        <v>215</v>
      </c>
    </row>
    <row r="158" spans="1:4" x14ac:dyDescent="0.2">
      <c r="A158" s="10"/>
      <c r="B158" s="10"/>
      <c r="C158" s="10">
        <v>49</v>
      </c>
      <c r="D158" s="10" t="s">
        <v>216</v>
      </c>
    </row>
    <row r="159" spans="1:4" x14ac:dyDescent="0.2">
      <c r="A159" s="10"/>
      <c r="B159" s="10"/>
      <c r="C159" s="10">
        <v>50</v>
      </c>
      <c r="D159" s="10" t="s">
        <v>217</v>
      </c>
    </row>
    <row r="160" spans="1:4" x14ac:dyDescent="0.2">
      <c r="A160" s="10"/>
      <c r="B160" s="10"/>
      <c r="C160" s="10">
        <v>51</v>
      </c>
      <c r="D160" s="10" t="s">
        <v>219</v>
      </c>
    </row>
    <row r="161" spans="1:4" x14ac:dyDescent="0.2">
      <c r="A161" s="10"/>
      <c r="B161" s="10"/>
      <c r="C161" s="10">
        <v>52</v>
      </c>
      <c r="D161" s="10" t="s">
        <v>220</v>
      </c>
    </row>
    <row r="162" spans="1:4" x14ac:dyDescent="0.2">
      <c r="A162" s="10"/>
      <c r="B162" s="10"/>
      <c r="C162" s="10">
        <v>53</v>
      </c>
      <c r="D162" s="10" t="s">
        <v>221</v>
      </c>
    </row>
    <row r="163" spans="1:4" x14ac:dyDescent="0.2">
      <c r="A163" s="10"/>
      <c r="B163" s="10"/>
      <c r="C163" s="10">
        <v>54</v>
      </c>
      <c r="D163" s="10" t="s">
        <v>222</v>
      </c>
    </row>
    <row r="164" spans="1:4" x14ac:dyDescent="0.2">
      <c r="A164" s="10"/>
      <c r="B164" s="10"/>
      <c r="C164" s="10">
        <v>55</v>
      </c>
      <c r="D164" s="10" t="s">
        <v>223</v>
      </c>
    </row>
    <row r="165" spans="1:4" x14ac:dyDescent="0.2">
      <c r="A165" s="10"/>
      <c r="B165" s="10"/>
      <c r="C165" s="10">
        <v>56</v>
      </c>
      <c r="D165" s="10" t="s">
        <v>224</v>
      </c>
    </row>
    <row r="166" spans="1:4" x14ac:dyDescent="0.2">
      <c r="A166" s="10"/>
      <c r="B166" s="10"/>
      <c r="C166" s="10">
        <v>57</v>
      </c>
      <c r="D166" s="10" t="s">
        <v>225</v>
      </c>
    </row>
    <row r="167" spans="1:4" x14ac:dyDescent="0.2">
      <c r="A167" s="10"/>
      <c r="B167" s="10"/>
      <c r="C167" s="10">
        <v>58</v>
      </c>
      <c r="D167" s="10" t="s">
        <v>227</v>
      </c>
    </row>
    <row r="168" spans="1:4" x14ac:dyDescent="0.2">
      <c r="A168" s="10"/>
      <c r="B168" s="10"/>
      <c r="C168" s="10">
        <v>59</v>
      </c>
      <c r="D168" s="10" t="s">
        <v>132</v>
      </c>
    </row>
    <row r="169" spans="1:4" x14ac:dyDescent="0.2">
      <c r="A169" s="10"/>
      <c r="B169" s="10"/>
      <c r="C169" s="10">
        <v>60</v>
      </c>
      <c r="D169" s="10" t="s">
        <v>228</v>
      </c>
    </row>
    <row r="170" spans="1:4" x14ac:dyDescent="0.2">
      <c r="A170" s="10"/>
      <c r="B170" s="10"/>
      <c r="C170" s="10">
        <v>61</v>
      </c>
      <c r="D170" s="10" t="s">
        <v>229</v>
      </c>
    </row>
    <row r="171" spans="1:4" x14ac:dyDescent="0.2">
      <c r="A171" s="10"/>
      <c r="B171" s="10"/>
      <c r="C171" s="10">
        <v>62</v>
      </c>
      <c r="D171" s="10" t="s">
        <v>230</v>
      </c>
    </row>
    <row r="172" spans="1:4" x14ac:dyDescent="0.2">
      <c r="A172" s="10"/>
      <c r="B172" s="10"/>
      <c r="C172" s="10">
        <v>63</v>
      </c>
      <c r="D172" s="10" t="s">
        <v>231</v>
      </c>
    </row>
    <row r="173" spans="1:4" x14ac:dyDescent="0.2">
      <c r="A173" s="10"/>
      <c r="B173" s="10"/>
      <c r="C173" s="10">
        <v>69</v>
      </c>
      <c r="D173" s="10" t="s">
        <v>237</v>
      </c>
    </row>
    <row r="174" spans="1:4" x14ac:dyDescent="0.2">
      <c r="A174" s="10"/>
      <c r="B174" s="10"/>
      <c r="C174" s="10">
        <v>70</v>
      </c>
      <c r="D174" s="10" t="s">
        <v>238</v>
      </c>
    </row>
    <row r="175" spans="1:4" x14ac:dyDescent="0.2">
      <c r="A175" s="10"/>
      <c r="B175" s="10"/>
      <c r="C175" s="10">
        <v>71</v>
      </c>
      <c r="D175" s="10" t="s">
        <v>239</v>
      </c>
    </row>
    <row r="176" spans="1:4" x14ac:dyDescent="0.2">
      <c r="A176" s="10"/>
      <c r="B176" s="10"/>
      <c r="C176" s="10">
        <v>72</v>
      </c>
      <c r="D176" s="10" t="s">
        <v>240</v>
      </c>
    </row>
    <row r="177" spans="1:6" x14ac:dyDescent="0.2">
      <c r="A177" s="10"/>
      <c r="B177" s="10"/>
      <c r="C177" s="10">
        <v>73</v>
      </c>
      <c r="D177" s="10" t="s">
        <v>133</v>
      </c>
    </row>
    <row r="178" spans="1:6" x14ac:dyDescent="0.2">
      <c r="A178" s="10"/>
      <c r="B178" s="10"/>
      <c r="C178" s="10">
        <v>74</v>
      </c>
      <c r="D178" s="10" t="s">
        <v>242</v>
      </c>
    </row>
    <row r="179" spans="1:6" x14ac:dyDescent="0.2">
      <c r="A179" s="10"/>
      <c r="B179" s="10"/>
      <c r="C179" s="10">
        <v>75</v>
      </c>
      <c r="D179" s="10" t="s">
        <v>243</v>
      </c>
    </row>
    <row r="180" spans="1:6" x14ac:dyDescent="0.2">
      <c r="A180" s="10"/>
      <c r="B180" s="10"/>
      <c r="C180" s="10"/>
      <c r="D180" s="10"/>
    </row>
    <row r="181" spans="1:6" x14ac:dyDescent="0.2">
      <c r="A181" s="10">
        <v>6</v>
      </c>
      <c r="B181" s="10" t="s">
        <v>248</v>
      </c>
      <c r="C181" s="10">
        <v>64</v>
      </c>
      <c r="D181" s="10" t="s">
        <v>233</v>
      </c>
    </row>
    <row r="182" spans="1:6" x14ac:dyDescent="0.2">
      <c r="A182" s="10"/>
      <c r="B182" s="10"/>
      <c r="C182" s="10">
        <v>65</v>
      </c>
      <c r="D182" s="10" t="s">
        <v>72</v>
      </c>
    </row>
    <row r="183" spans="1:6" x14ac:dyDescent="0.2">
      <c r="A183" s="10"/>
      <c r="B183" s="10"/>
      <c r="C183" s="10">
        <v>66</v>
      </c>
      <c r="D183" s="10" t="s">
        <v>234</v>
      </c>
    </row>
    <row r="184" spans="1:6" x14ac:dyDescent="0.2">
      <c r="A184" s="10"/>
      <c r="B184" s="10"/>
      <c r="C184" s="10">
        <v>67</v>
      </c>
      <c r="D184" s="10" t="s">
        <v>235</v>
      </c>
    </row>
    <row r="185" spans="1:6" x14ac:dyDescent="0.2">
      <c r="A185" s="10"/>
      <c r="B185" s="10"/>
      <c r="C185" s="10">
        <v>68</v>
      </c>
      <c r="D185" s="10" t="s">
        <v>236</v>
      </c>
    </row>
    <row r="186" spans="1:6" x14ac:dyDescent="0.2">
      <c r="A186"/>
      <c r="B186"/>
      <c r="C186" s="89"/>
      <c r="D186"/>
    </row>
    <row r="187" spans="1:6" x14ac:dyDescent="0.2">
      <c r="A187" s="17" t="s">
        <v>429</v>
      </c>
      <c r="B187"/>
      <c r="C187" s="89"/>
      <c r="D187"/>
    </row>
    <row r="188" spans="1:6" x14ac:dyDescent="0.2">
      <c r="A188"/>
      <c r="B188"/>
    </row>
    <row r="189" spans="1:6" x14ac:dyDescent="0.2">
      <c r="A189"/>
      <c r="B189" s="126" t="s">
        <v>356</v>
      </c>
      <c r="C189" s="126"/>
      <c r="D189" s="126" t="s">
        <v>354</v>
      </c>
    </row>
    <row r="190" spans="1:6" x14ac:dyDescent="0.2">
      <c r="A190"/>
      <c r="B190"/>
      <c r="C190" s="126"/>
      <c r="D190" s="126"/>
      <c r="E190" s="126"/>
      <c r="F190" s="126"/>
    </row>
    <row r="191" spans="1:6" x14ac:dyDescent="0.2">
      <c r="A191" s="10">
        <v>1</v>
      </c>
      <c r="B191" s="10" t="s">
        <v>245</v>
      </c>
      <c r="C191" s="126">
        <v>1</v>
      </c>
      <c r="D191" s="126" t="s">
        <v>167</v>
      </c>
    </row>
    <row r="192" spans="1:6" x14ac:dyDescent="0.2">
      <c r="A192"/>
      <c r="B192"/>
      <c r="C192" s="126">
        <v>2</v>
      </c>
      <c r="D192" s="126" t="s">
        <v>94</v>
      </c>
      <c r="E192" s="126"/>
      <c r="F192" s="126"/>
    </row>
    <row r="193" spans="1:6" x14ac:dyDescent="0.2">
      <c r="A193"/>
      <c r="B193"/>
      <c r="C193" s="126">
        <v>6</v>
      </c>
      <c r="D193" s="126" t="s">
        <v>188</v>
      </c>
    </row>
    <row r="194" spans="1:6" x14ac:dyDescent="0.2">
      <c r="A194"/>
      <c r="B194"/>
      <c r="C194" s="126">
        <v>7</v>
      </c>
      <c r="D194" s="126" t="s">
        <v>190</v>
      </c>
      <c r="E194" s="126"/>
      <c r="F194" s="126"/>
    </row>
    <row r="195" spans="1:6" x14ac:dyDescent="0.2">
      <c r="A195"/>
      <c r="B195"/>
      <c r="C195" s="89"/>
      <c r="D195"/>
      <c r="E195" s="126"/>
      <c r="F195" s="126"/>
    </row>
    <row r="196" spans="1:6" x14ac:dyDescent="0.2">
      <c r="A196" s="10">
        <v>2</v>
      </c>
      <c r="B196" s="10" t="s">
        <v>101</v>
      </c>
      <c r="C196" s="126">
        <v>3</v>
      </c>
      <c r="D196" s="126" t="s">
        <v>170</v>
      </c>
    </row>
    <row r="197" spans="1:6" x14ac:dyDescent="0.2">
      <c r="A197"/>
      <c r="B197"/>
      <c r="C197" s="126">
        <v>4</v>
      </c>
      <c r="D197" s="126" t="s">
        <v>69</v>
      </c>
      <c r="E197" s="126"/>
      <c r="F197" s="126"/>
    </row>
    <row r="198" spans="1:6" x14ac:dyDescent="0.2">
      <c r="A198"/>
      <c r="B198"/>
      <c r="C198" s="126">
        <v>5</v>
      </c>
      <c r="D198" s="126" t="s">
        <v>96</v>
      </c>
      <c r="E198" s="126"/>
      <c r="F198" s="126"/>
    </row>
    <row r="199" spans="1:6" x14ac:dyDescent="0.2">
      <c r="A199"/>
      <c r="B199"/>
      <c r="C199" s="89"/>
      <c r="D199"/>
      <c r="E199" s="126"/>
      <c r="F199" s="126"/>
    </row>
    <row r="200" spans="1:6" x14ac:dyDescent="0.2">
      <c r="A200" s="10">
        <v>3</v>
      </c>
      <c r="B200" s="10" t="s">
        <v>71</v>
      </c>
      <c r="C200" s="126">
        <v>8</v>
      </c>
      <c r="D200" s="126" t="s">
        <v>71</v>
      </c>
    </row>
    <row r="201" spans="1:6" x14ac:dyDescent="0.2">
      <c r="A201"/>
      <c r="B201"/>
      <c r="C201" s="89"/>
      <c r="D201"/>
      <c r="E201" s="126"/>
      <c r="F201" s="126"/>
    </row>
    <row r="202" spans="1:6" x14ac:dyDescent="0.2">
      <c r="A202" s="10">
        <v>4</v>
      </c>
      <c r="B202" s="10" t="s">
        <v>246</v>
      </c>
      <c r="C202" s="126">
        <v>9</v>
      </c>
      <c r="D202" s="126" t="s">
        <v>97</v>
      </c>
      <c r="E202" s="126"/>
      <c r="F202" s="126"/>
    </row>
    <row r="203" spans="1:6" x14ac:dyDescent="0.2">
      <c r="A203"/>
      <c r="B203"/>
      <c r="C203" s="126">
        <v>10</v>
      </c>
      <c r="D203" s="126" t="s">
        <v>200</v>
      </c>
      <c r="E203" s="126"/>
      <c r="F203" s="126"/>
    </row>
    <row r="204" spans="1:6" x14ac:dyDescent="0.2">
      <c r="A204"/>
      <c r="B204"/>
      <c r="C204" s="126">
        <v>11</v>
      </c>
      <c r="D204" s="126" t="s">
        <v>206</v>
      </c>
      <c r="E204" s="126"/>
      <c r="F204" s="126"/>
    </row>
    <row r="205" spans="1:6" x14ac:dyDescent="0.2">
      <c r="A205"/>
      <c r="B205"/>
      <c r="C205" s="89"/>
      <c r="D205"/>
      <c r="E205" s="126"/>
      <c r="F205" s="126"/>
    </row>
    <row r="206" spans="1:6" x14ac:dyDescent="0.2">
      <c r="A206" s="10">
        <v>5</v>
      </c>
      <c r="B206" s="10" t="s">
        <v>247</v>
      </c>
      <c r="C206" s="126">
        <v>12</v>
      </c>
      <c r="D206" s="126" t="s">
        <v>100</v>
      </c>
      <c r="E206" s="126"/>
      <c r="F206" s="126"/>
    </row>
    <row r="207" spans="1:6" x14ac:dyDescent="0.2">
      <c r="A207"/>
      <c r="B207"/>
      <c r="C207" s="126">
        <v>13</v>
      </c>
      <c r="D207" s="126" t="s">
        <v>211</v>
      </c>
      <c r="E207" s="126"/>
      <c r="F207" s="126"/>
    </row>
    <row r="208" spans="1:6" x14ac:dyDescent="0.2">
      <c r="A208"/>
      <c r="B208"/>
      <c r="C208" s="126">
        <v>14</v>
      </c>
      <c r="D208" s="126" t="s">
        <v>214</v>
      </c>
      <c r="E208" s="126"/>
      <c r="F208" s="126"/>
    </row>
    <row r="209" spans="1:6" x14ac:dyDescent="0.2">
      <c r="A209"/>
      <c r="B209"/>
      <c r="C209" s="126">
        <v>15</v>
      </c>
      <c r="D209" s="126" t="s">
        <v>217</v>
      </c>
      <c r="E209" s="126"/>
      <c r="F209" s="126"/>
    </row>
    <row r="210" spans="1:6" x14ac:dyDescent="0.2">
      <c r="A210"/>
      <c r="B210"/>
      <c r="C210" s="126">
        <v>16</v>
      </c>
      <c r="D210" s="126" t="s">
        <v>218</v>
      </c>
      <c r="E210" s="126"/>
      <c r="F210" s="126"/>
    </row>
    <row r="211" spans="1:6" x14ac:dyDescent="0.2">
      <c r="A211"/>
      <c r="B211"/>
      <c r="C211" s="126">
        <v>17</v>
      </c>
      <c r="D211" s="126" t="s">
        <v>226</v>
      </c>
      <c r="E211" s="126"/>
      <c r="F211" s="126"/>
    </row>
    <row r="212" spans="1:6" x14ac:dyDescent="0.2">
      <c r="A212"/>
      <c r="B212"/>
      <c r="C212" s="126">
        <v>21</v>
      </c>
      <c r="D212" s="126" t="s">
        <v>99</v>
      </c>
      <c r="E212" s="126"/>
      <c r="F212" s="126"/>
    </row>
    <row r="213" spans="1:6" x14ac:dyDescent="0.2">
      <c r="A213"/>
      <c r="B213"/>
      <c r="C213" s="126">
        <v>22</v>
      </c>
      <c r="D213" s="126" t="s">
        <v>241</v>
      </c>
      <c r="E213" s="126"/>
      <c r="F213" s="126"/>
    </row>
    <row r="214" spans="1:6" x14ac:dyDescent="0.2">
      <c r="A214"/>
      <c r="B214"/>
      <c r="C214" s="126"/>
      <c r="D214" s="126"/>
      <c r="E214" s="126"/>
      <c r="F214" s="126"/>
    </row>
    <row r="215" spans="1:6" x14ac:dyDescent="0.2">
      <c r="A215" s="10">
        <v>6</v>
      </c>
      <c r="B215" s="10" t="s">
        <v>248</v>
      </c>
      <c r="C215" s="126">
        <v>18</v>
      </c>
      <c r="D215" s="126" t="s">
        <v>232</v>
      </c>
      <c r="E215" s="126"/>
      <c r="F215" s="126"/>
    </row>
    <row r="216" spans="1:6" x14ac:dyDescent="0.2">
      <c r="A216"/>
      <c r="B216"/>
      <c r="C216" s="126">
        <v>19</v>
      </c>
      <c r="D216" s="126" t="s">
        <v>72</v>
      </c>
      <c r="E216" s="126"/>
      <c r="F216" s="126"/>
    </row>
    <row r="217" spans="1:6" x14ac:dyDescent="0.2">
      <c r="A217"/>
      <c r="B217"/>
      <c r="C217" s="126">
        <v>20</v>
      </c>
      <c r="D217" s="126" t="s">
        <v>73</v>
      </c>
    </row>
    <row r="218" spans="1:6" x14ac:dyDescent="0.2">
      <c r="A218"/>
      <c r="B218"/>
      <c r="C218" s="126"/>
      <c r="D218" s="126"/>
      <c r="E218" s="126"/>
      <c r="F218" s="126"/>
    </row>
    <row r="219" spans="1:6" x14ac:dyDescent="0.2">
      <c r="A219"/>
      <c r="B219"/>
      <c r="C219" s="89"/>
      <c r="D219"/>
      <c r="E219" s="126"/>
      <c r="F219" s="126"/>
    </row>
    <row r="220" spans="1:6" x14ac:dyDescent="0.2">
      <c r="A220" s="15" t="s">
        <v>502</v>
      </c>
      <c r="B220" s="89"/>
      <c r="C220" s="126"/>
      <c r="D220" s="126"/>
      <c r="E220" s="126"/>
      <c r="F220" s="126"/>
    </row>
    <row r="221" spans="1:6" x14ac:dyDescent="0.2">
      <c r="A221" s="89" t="s">
        <v>11</v>
      </c>
      <c r="B221" s="89"/>
      <c r="C221" s="126"/>
      <c r="D221" s="126"/>
    </row>
    <row r="222" spans="1:6" x14ac:dyDescent="0.2">
      <c r="A222" s="89" t="s">
        <v>11</v>
      </c>
      <c r="B222" s="89"/>
      <c r="C222" s="126"/>
      <c r="D222" s="126"/>
      <c r="E222" s="126"/>
      <c r="F222" s="126"/>
    </row>
    <row r="223" spans="1:6" x14ac:dyDescent="0.2">
      <c r="A223" s="89"/>
      <c r="B223" s="89" t="s">
        <v>357</v>
      </c>
      <c r="C223" s="89"/>
      <c r="D223" s="89" t="s">
        <v>503</v>
      </c>
      <c r="E223" s="126"/>
      <c r="F223" s="126"/>
    </row>
    <row r="224" spans="1:6" x14ac:dyDescent="0.2">
      <c r="A224" s="89" t="s">
        <v>11</v>
      </c>
      <c r="B224" s="89"/>
      <c r="C224" s="89"/>
      <c r="D224" s="89"/>
      <c r="E224" s="126"/>
      <c r="F224" s="126"/>
    </row>
    <row r="225" spans="1:6" x14ac:dyDescent="0.2">
      <c r="A225" s="89">
        <v>1</v>
      </c>
      <c r="B225" s="126" t="s">
        <v>328</v>
      </c>
      <c r="C225" s="89">
        <v>1</v>
      </c>
      <c r="D225" s="126" t="s">
        <v>471</v>
      </c>
      <c r="E225" s="126"/>
      <c r="F225" s="126"/>
    </row>
    <row r="226" spans="1:6" x14ac:dyDescent="0.2">
      <c r="A226" s="89"/>
      <c r="B226" s="89"/>
      <c r="C226" s="89">
        <v>2</v>
      </c>
      <c r="D226" s="126" t="s">
        <v>472</v>
      </c>
      <c r="E226" s="126"/>
      <c r="F226" s="126"/>
    </row>
    <row r="227" spans="1:6" x14ac:dyDescent="0.2">
      <c r="A227" s="89"/>
      <c r="B227" s="89"/>
      <c r="C227" s="89"/>
      <c r="D227" s="126"/>
    </row>
    <row r="228" spans="1:6" x14ac:dyDescent="0.2">
      <c r="A228" s="89">
        <v>2</v>
      </c>
      <c r="B228" s="126" t="s">
        <v>329</v>
      </c>
      <c r="C228" s="89">
        <v>3</v>
      </c>
      <c r="D228" s="126" t="s">
        <v>473</v>
      </c>
      <c r="E228" s="126"/>
      <c r="F228" s="126"/>
    </row>
    <row r="229" spans="1:6" x14ac:dyDescent="0.2">
      <c r="A229" s="89"/>
      <c r="B229" s="89"/>
      <c r="C229" s="89">
        <v>4</v>
      </c>
      <c r="D229" s="126" t="s">
        <v>474</v>
      </c>
      <c r="E229" s="126"/>
      <c r="F229" s="126"/>
    </row>
    <row r="230" spans="1:6" x14ac:dyDescent="0.2">
      <c r="A230" s="89"/>
      <c r="B230" s="89"/>
      <c r="C230" s="89">
        <v>5</v>
      </c>
      <c r="D230" s="126" t="s">
        <v>475</v>
      </c>
    </row>
    <row r="231" spans="1:6" x14ac:dyDescent="0.2">
      <c r="A231" s="89"/>
      <c r="B231" s="89"/>
      <c r="C231" s="89">
        <v>6</v>
      </c>
      <c r="D231" s="126" t="s">
        <v>476</v>
      </c>
      <c r="E231" s="126"/>
      <c r="F231" s="126"/>
    </row>
    <row r="232" spans="1:6" x14ac:dyDescent="0.2">
      <c r="A232" s="89"/>
      <c r="B232" s="126"/>
      <c r="C232" s="89"/>
      <c r="D232" s="126"/>
      <c r="E232" s="126"/>
      <c r="F232" s="126"/>
    </row>
    <row r="233" spans="1:6" x14ac:dyDescent="0.2">
      <c r="A233" s="89">
        <v>3</v>
      </c>
      <c r="B233" s="126" t="s">
        <v>498</v>
      </c>
      <c r="C233" s="89">
        <v>7</v>
      </c>
      <c r="D233" s="126" t="s">
        <v>477</v>
      </c>
      <c r="E233" s="126"/>
      <c r="F233" s="126"/>
    </row>
    <row r="234" spans="1:6" x14ac:dyDescent="0.2">
      <c r="A234" s="89"/>
      <c r="B234" s="89"/>
      <c r="C234" s="89">
        <v>8</v>
      </c>
      <c r="D234" s="126" t="s">
        <v>478</v>
      </c>
    </row>
    <row r="235" spans="1:6" x14ac:dyDescent="0.2">
      <c r="A235" s="89"/>
      <c r="B235" s="89"/>
      <c r="C235" s="89">
        <v>9</v>
      </c>
      <c r="D235" s="126" t="s">
        <v>479</v>
      </c>
      <c r="E235" s="126"/>
      <c r="F235" s="126"/>
    </row>
    <row r="236" spans="1:6" x14ac:dyDescent="0.2">
      <c r="A236" s="89"/>
      <c r="B236" s="89"/>
      <c r="C236" s="89">
        <v>10</v>
      </c>
      <c r="D236" s="126" t="s">
        <v>480</v>
      </c>
      <c r="E236" s="126"/>
      <c r="F236" s="126"/>
    </row>
    <row r="237" spans="1:6" x14ac:dyDescent="0.2">
      <c r="A237" s="89"/>
      <c r="B237" s="89"/>
      <c r="C237" s="89">
        <v>11</v>
      </c>
      <c r="D237" s="126" t="s">
        <v>481</v>
      </c>
      <c r="E237" s="126"/>
      <c r="F237" s="126"/>
    </row>
    <row r="238" spans="1:6" x14ac:dyDescent="0.2">
      <c r="A238" s="89"/>
      <c r="B238" s="89"/>
      <c r="C238" s="89"/>
      <c r="D238" s="126"/>
    </row>
    <row r="239" spans="1:6" x14ac:dyDescent="0.2">
      <c r="A239" s="89">
        <v>4</v>
      </c>
      <c r="B239" s="126" t="s">
        <v>499</v>
      </c>
      <c r="C239" s="89">
        <v>12</v>
      </c>
      <c r="D239" s="126" t="s">
        <v>482</v>
      </c>
      <c r="E239" s="126"/>
      <c r="F239" s="126"/>
    </row>
    <row r="240" spans="1:6" x14ac:dyDescent="0.2">
      <c r="A240" s="89"/>
      <c r="B240" s="89"/>
      <c r="C240" s="89">
        <v>13</v>
      </c>
      <c r="D240" s="126" t="s">
        <v>483</v>
      </c>
      <c r="E240" s="126"/>
      <c r="F240" s="126"/>
    </row>
    <row r="241" spans="1:6" x14ac:dyDescent="0.2">
      <c r="A241" s="89"/>
      <c r="B241" s="89"/>
      <c r="C241" s="89"/>
      <c r="D241"/>
      <c r="E241" s="126"/>
      <c r="F241" s="126"/>
    </row>
    <row r="242" spans="1:6" x14ac:dyDescent="0.2">
      <c r="A242" s="89">
        <v>5</v>
      </c>
      <c r="B242" s="126" t="s">
        <v>330</v>
      </c>
      <c r="C242" s="89">
        <v>14</v>
      </c>
      <c r="D242" s="126" t="s">
        <v>484</v>
      </c>
    </row>
    <row r="243" spans="1:6" x14ac:dyDescent="0.2">
      <c r="A243" s="89"/>
      <c r="B243" s="89"/>
      <c r="C243" s="89">
        <v>15</v>
      </c>
      <c r="D243" s="126" t="s">
        <v>485</v>
      </c>
      <c r="E243" s="126"/>
      <c r="F243" s="126"/>
    </row>
    <row r="244" spans="1:6" x14ac:dyDescent="0.2">
      <c r="A244" s="89"/>
      <c r="B244" s="89"/>
      <c r="C244" s="89">
        <v>16</v>
      </c>
      <c r="D244" s="126" t="s">
        <v>486</v>
      </c>
    </row>
    <row r="245" spans="1:6" x14ac:dyDescent="0.2">
      <c r="A245" s="89"/>
      <c r="B245" s="89"/>
      <c r="C245" s="89">
        <v>17</v>
      </c>
      <c r="D245" s="126" t="s">
        <v>487</v>
      </c>
      <c r="E245" s="126"/>
      <c r="F245" s="126"/>
    </row>
    <row r="246" spans="1:6" x14ac:dyDescent="0.2">
      <c r="A246" s="89"/>
      <c r="B246" s="89"/>
      <c r="C246" s="89"/>
      <c r="D246"/>
      <c r="E246" s="126"/>
      <c r="F246" s="126"/>
    </row>
    <row r="247" spans="1:6" x14ac:dyDescent="0.2">
      <c r="A247" s="89">
        <v>6</v>
      </c>
      <c r="B247" s="126" t="s">
        <v>500</v>
      </c>
      <c r="C247" s="89">
        <v>18</v>
      </c>
      <c r="D247" s="126" t="s">
        <v>488</v>
      </c>
      <c r="E247" s="126"/>
      <c r="F247" s="126"/>
    </row>
    <row r="248" spans="1:6" x14ac:dyDescent="0.2">
      <c r="A248" s="89"/>
      <c r="B248" s="89"/>
      <c r="C248" s="89">
        <v>19</v>
      </c>
      <c r="D248" s="126" t="s">
        <v>489</v>
      </c>
      <c r="E248" s="126"/>
      <c r="F248" s="126"/>
    </row>
    <row r="249" spans="1:6" x14ac:dyDescent="0.2">
      <c r="A249" s="89"/>
      <c r="B249" s="89"/>
      <c r="C249" s="89">
        <v>20</v>
      </c>
      <c r="D249" s="126" t="s">
        <v>490</v>
      </c>
      <c r="E249" s="126"/>
      <c r="F249" s="126"/>
    </row>
    <row r="250" spans="1:6" x14ac:dyDescent="0.2">
      <c r="A250" s="89"/>
      <c r="B250" s="89"/>
      <c r="C250" s="89"/>
      <c r="D250" s="89"/>
      <c r="E250" s="126"/>
      <c r="F250" s="126"/>
    </row>
    <row r="251" spans="1:6" x14ac:dyDescent="0.2">
      <c r="A251" s="89">
        <v>7</v>
      </c>
      <c r="B251" s="126" t="s">
        <v>501</v>
      </c>
      <c r="C251" s="89">
        <v>21</v>
      </c>
      <c r="D251" s="126" t="s">
        <v>491</v>
      </c>
      <c r="E251" s="126"/>
      <c r="F251" s="126"/>
    </row>
    <row r="252" spans="1:6" x14ac:dyDescent="0.2">
      <c r="A252" s="89"/>
      <c r="B252" s="89"/>
      <c r="C252" s="89">
        <v>22</v>
      </c>
      <c r="D252" s="126" t="s">
        <v>492</v>
      </c>
    </row>
    <row r="253" spans="1:6" x14ac:dyDescent="0.2">
      <c r="A253" s="89"/>
      <c r="B253" s="89"/>
      <c r="C253" s="89"/>
      <c r="D253" s="126"/>
      <c r="E253" s="126"/>
      <c r="F253" s="126"/>
    </row>
    <row r="254" spans="1:6" x14ac:dyDescent="0.2">
      <c r="A254" s="89">
        <v>8</v>
      </c>
      <c r="B254" s="126" t="s">
        <v>331</v>
      </c>
      <c r="C254" s="89">
        <v>23</v>
      </c>
      <c r="D254" s="126" t="s">
        <v>493</v>
      </c>
      <c r="E254" s="126"/>
      <c r="F254" s="126"/>
    </row>
    <row r="255" spans="1:6" ht="12" customHeight="1" x14ac:dyDescent="0.2">
      <c r="A255" s="89"/>
      <c r="B255" s="89"/>
      <c r="C255" s="89">
        <v>24</v>
      </c>
      <c r="D255" s="126" t="s">
        <v>494</v>
      </c>
      <c r="E255" s="126"/>
      <c r="F255" s="126"/>
    </row>
    <row r="256" spans="1:6" x14ac:dyDescent="0.2">
      <c r="A256" s="89"/>
      <c r="B256" s="89"/>
      <c r="C256" s="89"/>
      <c r="D256" s="89"/>
      <c r="E256" s="126"/>
      <c r="F256" s="126"/>
    </row>
    <row r="257" spans="1:6" x14ac:dyDescent="0.2">
      <c r="A257" s="89">
        <v>9</v>
      </c>
      <c r="B257" s="126" t="s">
        <v>9</v>
      </c>
      <c r="C257" s="89">
        <v>25</v>
      </c>
      <c r="D257" s="126" t="s">
        <v>495</v>
      </c>
      <c r="E257" s="126"/>
      <c r="F257" s="126"/>
    </row>
    <row r="258" spans="1:6" x14ac:dyDescent="0.2">
      <c r="A258" s="89"/>
      <c r="B258" s="89"/>
      <c r="C258" s="89">
        <v>26</v>
      </c>
      <c r="D258" t="s">
        <v>496</v>
      </c>
      <c r="E258" s="126"/>
      <c r="F258" s="126"/>
    </row>
    <row r="259" spans="1:6" x14ac:dyDescent="0.2">
      <c r="A259" s="89"/>
      <c r="B259"/>
      <c r="C259" s="89"/>
      <c r="D259"/>
      <c r="E259" s="126"/>
      <c r="F259" s="126"/>
    </row>
    <row r="260" spans="1:6" x14ac:dyDescent="0.2">
      <c r="A260" s="15" t="s">
        <v>358</v>
      </c>
      <c r="B260" s="89"/>
      <c r="C260" s="89"/>
      <c r="D260"/>
    </row>
    <row r="261" spans="1:6" x14ac:dyDescent="0.2">
      <c r="A261" s="89"/>
      <c r="B261" s="89"/>
      <c r="C261" s="89"/>
      <c r="D261"/>
    </row>
    <row r="262" spans="1:6" x14ac:dyDescent="0.2">
      <c r="B262" s="89" t="s">
        <v>360</v>
      </c>
      <c r="D262" s="89" t="s">
        <v>359</v>
      </c>
    </row>
    <row r="264" spans="1:6" x14ac:dyDescent="0.2">
      <c r="A264" s="14">
        <v>1</v>
      </c>
      <c r="B264" s="126" t="s">
        <v>444</v>
      </c>
      <c r="C264" s="14">
        <v>1</v>
      </c>
      <c r="D264" s="126" t="s">
        <v>443</v>
      </c>
    </row>
    <row r="265" spans="1:6" x14ac:dyDescent="0.2">
      <c r="C265" s="14">
        <v>2</v>
      </c>
      <c r="D265" s="126" t="s">
        <v>445</v>
      </c>
      <c r="E265" s="126"/>
      <c r="F265" s="126"/>
    </row>
    <row r="266" spans="1:6" x14ac:dyDescent="0.2">
      <c r="E266" s="126"/>
      <c r="F266" s="126"/>
    </row>
    <row r="267" spans="1:6" x14ac:dyDescent="0.2">
      <c r="A267" s="14">
        <v>2</v>
      </c>
      <c r="B267" s="126" t="s">
        <v>446</v>
      </c>
      <c r="C267" s="14">
        <v>3</v>
      </c>
      <c r="D267" s="126" t="s">
        <v>447</v>
      </c>
      <c r="E267" s="126"/>
      <c r="F267" s="126"/>
    </row>
    <row r="268" spans="1:6" x14ac:dyDescent="0.2">
      <c r="C268" s="14">
        <v>4</v>
      </c>
      <c r="D268" s="126" t="s">
        <v>449</v>
      </c>
    </row>
    <row r="269" spans="1:6" x14ac:dyDescent="0.2">
      <c r="C269" s="14">
        <v>5</v>
      </c>
      <c r="D269" s="126" t="s">
        <v>451</v>
      </c>
    </row>
    <row r="271" spans="1:6" x14ac:dyDescent="0.2">
      <c r="A271" s="14">
        <v>3</v>
      </c>
      <c r="B271" s="126" t="s">
        <v>448</v>
      </c>
      <c r="C271" s="14">
        <v>6</v>
      </c>
      <c r="D271" s="126" t="s">
        <v>448</v>
      </c>
    </row>
    <row r="273" spans="1:4" x14ac:dyDescent="0.2">
      <c r="A273" s="14">
        <v>4</v>
      </c>
      <c r="B273" s="126" t="s">
        <v>450</v>
      </c>
      <c r="C273" s="14">
        <v>7</v>
      </c>
      <c r="D273" s="126" t="s">
        <v>450</v>
      </c>
    </row>
    <row r="275" spans="1:4" x14ac:dyDescent="0.2">
      <c r="A275" s="14">
        <v>5</v>
      </c>
      <c r="B275" s="126" t="s">
        <v>452</v>
      </c>
      <c r="C275" s="14">
        <v>8</v>
      </c>
      <c r="D275" s="126" t="s">
        <v>452</v>
      </c>
    </row>
    <row r="277" spans="1:4" x14ac:dyDescent="0.2">
      <c r="A277" s="14">
        <v>6</v>
      </c>
      <c r="B277" s="126" t="s">
        <v>333</v>
      </c>
      <c r="C277" s="14">
        <v>9</v>
      </c>
      <c r="D277" s="126" t="s">
        <v>333</v>
      </c>
    </row>
  </sheetData>
  <phoneticPr fontId="4" type="noConversion"/>
  <pageMargins left="0.35433070866141736" right="0.35433070866141736" top="0.78740157480314965" bottom="0.59055118110236227" header="0.51181102362204722" footer="0.51181102362204722"/>
  <pageSetup paperSize="9" scale="74" fitToHeight="0" orientation="portrait" r:id="rId1"/>
  <headerFooter alignWithMargins="0"/>
  <rowBreaks count="5" manualBreakCount="5">
    <brk id="45" max="16383" man="1"/>
    <brk id="100" max="16383" man="1"/>
    <brk id="138" max="16383" man="1"/>
    <brk id="185" max="16383" man="1"/>
    <brk id="258" max="16383" man="1"/>
  </rowBreak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1ED900E45533240984673D798A9AA08" ma:contentTypeVersion="18" ma:contentTypeDescription="Create a new document." ma:contentTypeScope="" ma:versionID="15f0d26db7c1564040d7f5be0145604e">
  <xsd:schema xmlns:xsd="http://www.w3.org/2001/XMLSchema" xmlns:xs="http://www.w3.org/2001/XMLSchema" xmlns:p="http://schemas.microsoft.com/office/2006/metadata/properties" xmlns:ns2="591b7eeb-5105-4999-94f6-a746eb4c6310" xmlns:ns3="22f0be0a-36a8-4d1a-945f-e8a2e9519595" xmlns:ns4="8c566321-f672-4e06-a901-b5e72b4c4357" targetNamespace="http://schemas.microsoft.com/office/2006/metadata/properties" ma:root="true" ma:fieldsID="b17cfbfa745902b07c223910e92a04e6" ns2:_="" ns3:_="" ns4:_="">
    <xsd:import namespace="591b7eeb-5105-4999-94f6-a746eb4c6310"/>
    <xsd:import namespace="22f0be0a-36a8-4d1a-945f-e8a2e9519595"/>
    <xsd:import namespace="8c566321-f672-4e06-a901-b5e72b4c43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4:TaxCatchAll" minOccurs="0"/>
                <xsd:element ref="ns2:MediaServiceDateTaken" minOccurs="0"/>
                <xsd:element ref="ns2:MediaLengthInSeconds" minOccurs="0"/>
                <xsd:element ref="ns2:MediaServiceLocation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91b7eeb-5105-4999-94f6-a746eb4c631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ec07c698-60f5-424f-b9af-f4c59398b51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21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3" nillable="true" ma:displayName="Location" ma:indexed="true" ma:internalName="MediaServiceLocation" ma:readOnly="true">
      <xsd:simpleType>
        <xsd:restriction base="dms:Text"/>
      </xsd:simple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2f0be0a-36a8-4d1a-945f-e8a2e9519595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c566321-f672-4e06-a901-b5e72b4c4357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a6fc1f59-704c-443d-8adf-ed44e3904037}" ma:internalName="TaxCatchAll" ma:showField="CatchAllData" ma:web="22f0be0a-36a8-4d1a-945f-e8a2e951959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57E70AD-C18E-4BE5-9865-011810E1CB87}"/>
</file>

<file path=customXml/itemProps2.xml><?xml version="1.0" encoding="utf-8"?>
<ds:datastoreItem xmlns:ds="http://schemas.openxmlformats.org/officeDocument/2006/customXml" ds:itemID="{8A95BB96-2E54-4B2F-B7CC-F0EE9B8229B3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31</vt:i4>
      </vt:variant>
    </vt:vector>
  </HeadingPairs>
  <TitlesOfParts>
    <vt:vector size="66" baseType="lpstr">
      <vt:lpstr>Stored</vt:lpstr>
      <vt:lpstr>Warning</vt:lpstr>
      <vt:lpstr>Info</vt:lpstr>
      <vt:lpstr>Manager</vt:lpstr>
      <vt:lpstr>Contents</vt:lpstr>
      <vt:lpstr>Ind T1</vt:lpstr>
      <vt:lpstr>Ind T2</vt:lpstr>
      <vt:lpstr>Ind T4</vt:lpstr>
      <vt:lpstr>Ind T5</vt:lpstr>
      <vt:lpstr>Ind T6</vt:lpstr>
      <vt:lpstr>Ind F1</vt:lpstr>
      <vt:lpstr>Ind F2</vt:lpstr>
      <vt:lpstr>Ind Occ T1</vt:lpstr>
      <vt:lpstr>Ind Occ T2</vt:lpstr>
      <vt:lpstr>Occ T1</vt:lpstr>
      <vt:lpstr>Occ T2</vt:lpstr>
      <vt:lpstr>Occ T3</vt:lpstr>
      <vt:lpstr>Occ T4</vt:lpstr>
      <vt:lpstr>Occ T5</vt:lpstr>
      <vt:lpstr>Occ F1</vt:lpstr>
      <vt:lpstr>Occ F2</vt:lpstr>
      <vt:lpstr>Occ F3</vt:lpstr>
      <vt:lpstr>Occ F4</vt:lpstr>
      <vt:lpstr>Occ F5</vt:lpstr>
      <vt:lpstr>Qual T1</vt:lpstr>
      <vt:lpstr>Qual F1</vt:lpstr>
      <vt:lpstr>ShiftShare T1</vt:lpstr>
      <vt:lpstr>RD T1</vt:lpstr>
      <vt:lpstr>RD F1</vt:lpstr>
      <vt:lpstr>Basic T1</vt:lpstr>
      <vt:lpstr>Basic T2</vt:lpstr>
      <vt:lpstr>Basic T3</vt:lpstr>
      <vt:lpstr>name</vt:lpstr>
      <vt:lpstr>aggregation</vt:lpstr>
      <vt:lpstr>AggregationTables</vt:lpstr>
      <vt:lpstr>'Basic T1'!Print_Area</vt:lpstr>
      <vt:lpstr>'Basic T2'!Print_Area</vt:lpstr>
      <vt:lpstr>'Basic T3'!Print_Area</vt:lpstr>
      <vt:lpstr>BasicTable5!Print_Area</vt:lpstr>
      <vt:lpstr>'Ind F1'!Print_Area</vt:lpstr>
      <vt:lpstr>'Ind F2'!Print_Area</vt:lpstr>
      <vt:lpstr>'Ind Occ T1'!Print_Area</vt:lpstr>
      <vt:lpstr>'Ind Occ T2'!Print_Area</vt:lpstr>
      <vt:lpstr>'Ind T1'!Print_Area</vt:lpstr>
      <vt:lpstr>'Ind T2'!Print_Area</vt:lpstr>
      <vt:lpstr>'Ind T4'!Print_Area</vt:lpstr>
      <vt:lpstr>'Ind T5'!Print_Area</vt:lpstr>
      <vt:lpstr>'Ind T6'!Print_Area</vt:lpstr>
      <vt:lpstr>Manager!Print_Area</vt:lpstr>
      <vt:lpstr>'Occ F1'!Print_Area</vt:lpstr>
      <vt:lpstr>'Occ F2'!Print_Area</vt:lpstr>
      <vt:lpstr>'Occ F3'!Print_Area</vt:lpstr>
      <vt:lpstr>'Occ F4'!Print_Area</vt:lpstr>
      <vt:lpstr>'Occ F5'!Print_Area</vt:lpstr>
      <vt:lpstr>'Occ T1'!Print_Area</vt:lpstr>
      <vt:lpstr>'Occ T2'!Print_Area</vt:lpstr>
      <vt:lpstr>'Occ T3'!Print_Area</vt:lpstr>
      <vt:lpstr>'Occ T4'!Print_Area</vt:lpstr>
      <vt:lpstr>'Occ T5'!Print_Area</vt:lpstr>
      <vt:lpstr>'Qual F1'!Print_Area</vt:lpstr>
      <vt:lpstr>'Qual T1'!Print_Area</vt:lpstr>
      <vt:lpstr>'RD F1'!Print_Area</vt:lpstr>
      <vt:lpstr>'RD T1'!Print_Area</vt:lpstr>
      <vt:lpstr>'ShiftShare T1'!Print_Area</vt:lpstr>
      <vt:lpstr>'Basic T3'!Print_Titles</vt:lpstr>
      <vt:lpstr>SummaryTable12!Print_Titles</vt:lpstr>
    </vt:vector>
  </TitlesOfParts>
  <Company>University of Warwick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 Services</dc:creator>
  <cp:lastModifiedBy>Day, Rosie</cp:lastModifiedBy>
  <cp:lastPrinted>2022-11-08T11:16:28Z</cp:lastPrinted>
  <dcterms:created xsi:type="dcterms:W3CDTF">2006-08-30T09:48:05Z</dcterms:created>
  <dcterms:modified xsi:type="dcterms:W3CDTF">2024-02-29T15:50:08Z</dcterms:modified>
</cp:coreProperties>
</file>